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.r\Desktop\Glia submission\"/>
    </mc:Choice>
  </mc:AlternateContent>
  <bookViews>
    <workbookView xWindow="0" yWindow="0" windowWidth="17328" windowHeight="9816"/>
  </bookViews>
  <sheets>
    <sheet name="Fig. 1c" sheetId="1" r:id="rId1"/>
    <sheet name="Fig. 1e" sheetId="2" r:id="rId2"/>
    <sheet name="Fig. 2d" sheetId="6" r:id="rId3"/>
    <sheet name="Fig. 3b" sheetId="8" r:id="rId4"/>
    <sheet name="Fig. 3c" sheetId="9" r:id="rId5"/>
    <sheet name="Fig. 3d" sheetId="5" r:id="rId6"/>
    <sheet name="Fig. 4b" sheetId="11" r:id="rId7"/>
    <sheet name="Fig. 4d" sheetId="10" r:id="rId8"/>
    <sheet name="Fig. 4f" sheetId="28" r:id="rId9"/>
    <sheet name="Fig. 6c,d" sheetId="12" r:id="rId10"/>
    <sheet name="Fig. 6f" sheetId="14" r:id="rId11"/>
    <sheet name="Fig. 6g" sheetId="13" r:id="rId12"/>
    <sheet name="Fig. 7d" sheetId="3" r:id="rId13"/>
    <sheet name="Fig. 7f" sheetId="32" r:id="rId14"/>
    <sheet name="Fig. 8c" sheetId="33" r:id="rId15"/>
    <sheet name="Fig. 8f" sheetId="30" r:id="rId16"/>
    <sheet name="Fig. 8i" sheetId="16" r:id="rId17"/>
    <sheet name="Fig. 8j" sheetId="29" r:id="rId18"/>
    <sheet name="Fig. 9d" sheetId="17" r:id="rId19"/>
    <sheet name="Fig. 9e" sheetId="19" r:id="rId20"/>
    <sheet name="Fig. 9f" sheetId="18" r:id="rId21"/>
    <sheet name="Fig. S1b,c" sheetId="27" r:id="rId22"/>
    <sheet name="Fig. S2c" sheetId="26" r:id="rId23"/>
    <sheet name="Fig. S3c" sheetId="21" r:id="rId24"/>
    <sheet name="Fig. S3e" sheetId="22" r:id="rId25"/>
    <sheet name="Fig. S3f" sheetId="23" r:id="rId26"/>
    <sheet name="Fig. S3h" sheetId="24" r:id="rId27"/>
    <sheet name="Fig. S3i" sheetId="25" r:id="rId28"/>
    <sheet name="Fig. S5b" sheetId="34" r:id="rId29"/>
  </sheets>
  <calcPr calcId="162913"/>
</workbook>
</file>

<file path=xl/calcChain.xml><?xml version="1.0" encoding="utf-8"?>
<calcChain xmlns="http://schemas.openxmlformats.org/spreadsheetml/2006/main">
  <c r="E57" i="30" l="1"/>
  <c r="F57" i="30"/>
  <c r="D57" i="30"/>
  <c r="E22" i="30"/>
  <c r="F22" i="30"/>
  <c r="D22" i="30"/>
  <c r="F14" i="2"/>
  <c r="A190" i="6" l="1"/>
  <c r="A191" i="6" l="1"/>
  <c r="B191" i="6"/>
  <c r="C191" i="6"/>
  <c r="D191" i="6"/>
  <c r="E191" i="6"/>
  <c r="F191" i="6"/>
  <c r="B190" i="6"/>
  <c r="C190" i="6"/>
  <c r="D190" i="6"/>
  <c r="E190" i="6"/>
  <c r="F190" i="6"/>
  <c r="C35" i="27"/>
  <c r="C26" i="29"/>
  <c r="D56" i="29"/>
  <c r="E56" i="29"/>
  <c r="C56" i="29"/>
  <c r="D55" i="29"/>
  <c r="E55" i="29"/>
  <c r="C55" i="29"/>
  <c r="D69" i="16"/>
  <c r="E69" i="16"/>
  <c r="C69" i="16"/>
  <c r="D68" i="16"/>
  <c r="E68" i="16"/>
  <c r="C68" i="16"/>
  <c r="C59" i="10"/>
  <c r="C57" i="10"/>
  <c r="C55" i="10"/>
  <c r="C53" i="10"/>
  <c r="C51" i="10"/>
  <c r="B60" i="10"/>
  <c r="B59" i="10"/>
  <c r="B58" i="10"/>
  <c r="B57" i="10"/>
  <c r="C56" i="10"/>
  <c r="B56" i="10"/>
  <c r="B55" i="10"/>
  <c r="B54" i="10"/>
  <c r="B53" i="10"/>
  <c r="B52" i="10"/>
  <c r="B51" i="10"/>
  <c r="B50" i="10"/>
  <c r="C60" i="10"/>
  <c r="C52" i="10"/>
  <c r="C54" i="10"/>
  <c r="C58" i="10"/>
  <c r="C50" i="10"/>
  <c r="C10" i="5" l="1"/>
  <c r="B10" i="5"/>
  <c r="C9" i="5"/>
  <c r="B9" i="5"/>
  <c r="D5" i="5"/>
  <c r="D10" i="5" s="1"/>
  <c r="D4" i="5"/>
  <c r="D9" i="5" s="1"/>
  <c r="E20" i="5"/>
  <c r="D21" i="5"/>
  <c r="D20" i="5"/>
  <c r="C21" i="5"/>
  <c r="C20" i="5"/>
  <c r="B21" i="5"/>
  <c r="B20" i="5"/>
  <c r="E21" i="5"/>
  <c r="E16" i="5"/>
  <c r="E15" i="5"/>
  <c r="E202" i="34" l="1"/>
  <c r="E92" i="34"/>
  <c r="B8" i="33" l="1"/>
  <c r="D35" i="27" l="1"/>
  <c r="E33" i="27"/>
  <c r="E32" i="27"/>
  <c r="E31" i="27"/>
  <c r="E30" i="27"/>
  <c r="E29" i="27"/>
  <c r="E27" i="27"/>
  <c r="E26" i="27"/>
  <c r="E36" i="27" s="1"/>
  <c r="E35" i="27" l="1"/>
  <c r="F43" i="19"/>
  <c r="B96" i="17"/>
  <c r="E96" i="17"/>
  <c r="E95" i="17"/>
  <c r="B95" i="17"/>
  <c r="E43" i="17"/>
  <c r="E44" i="17"/>
  <c r="B44" i="17"/>
  <c r="B43" i="17"/>
  <c r="D47" i="29" l="1"/>
  <c r="E26" i="29"/>
  <c r="E25" i="29"/>
  <c r="D26" i="29"/>
  <c r="D25" i="29"/>
  <c r="C25" i="29"/>
  <c r="D59" i="16"/>
  <c r="D60" i="16" s="1"/>
  <c r="D32" i="16"/>
  <c r="C32" i="16"/>
  <c r="C31" i="16"/>
  <c r="F21" i="30" l="1"/>
  <c r="E56" i="30"/>
  <c r="D21" i="30"/>
  <c r="C140" i="13" l="1"/>
  <c r="C152" i="13"/>
  <c r="C149" i="13"/>
  <c r="C115" i="13"/>
  <c r="C119" i="13"/>
  <c r="C139" i="13"/>
  <c r="C193" i="13"/>
  <c r="C186" i="13"/>
  <c r="G193" i="13"/>
  <c r="E193" i="13"/>
  <c r="G186" i="13"/>
  <c r="E186" i="13"/>
  <c r="E152" i="13"/>
  <c r="G152" i="13"/>
  <c r="G149" i="13"/>
  <c r="E149" i="13"/>
  <c r="G140" i="13"/>
  <c r="E140" i="13"/>
  <c r="G139" i="13"/>
  <c r="E139" i="13"/>
  <c r="G119" i="13"/>
  <c r="E119" i="13"/>
  <c r="E115" i="13"/>
  <c r="G115" i="13"/>
  <c r="G110" i="13"/>
  <c r="E110" i="13"/>
  <c r="G97" i="13"/>
  <c r="E97" i="13"/>
  <c r="G91" i="13"/>
  <c r="E91" i="13"/>
  <c r="D19" i="14"/>
  <c r="C19" i="14"/>
  <c r="D64" i="12"/>
  <c r="E64" i="12"/>
  <c r="D63" i="12"/>
  <c r="E63" i="12"/>
  <c r="E32" i="12"/>
  <c r="E33" i="12" s="1"/>
  <c r="E31" i="11" l="1"/>
  <c r="D31" i="11"/>
  <c r="E32" i="11"/>
  <c r="D32" i="11"/>
  <c r="D260" i="9" l="1"/>
  <c r="D256" i="9"/>
  <c r="D257" i="9" s="1"/>
  <c r="D207" i="9"/>
  <c r="D205" i="9"/>
  <c r="D199" i="9"/>
  <c r="D191" i="9"/>
  <c r="D192" i="9" s="1"/>
  <c r="D187" i="9"/>
  <c r="D185" i="9"/>
  <c r="D183" i="9"/>
  <c r="D181" i="9"/>
  <c r="D174" i="9"/>
  <c r="D175" i="9" s="1"/>
  <c r="D154" i="9"/>
  <c r="D151" i="9"/>
  <c r="D146" i="9"/>
  <c r="D135" i="9"/>
  <c r="D136" i="9" s="1"/>
  <c r="D137" i="9" s="1"/>
  <c r="D138" i="9" s="1"/>
  <c r="D80" i="9"/>
  <c r="D66" i="9"/>
  <c r="D56" i="9"/>
  <c r="D54" i="9"/>
  <c r="D48" i="9"/>
  <c r="D49" i="9" s="1"/>
  <c r="D50" i="9" s="1"/>
  <c r="D44" i="9"/>
  <c r="D45" i="9" s="1"/>
  <c r="D46" i="9" s="1"/>
  <c r="D41" i="9"/>
  <c r="D39" i="9"/>
  <c r="D27" i="9"/>
  <c r="D22" i="9"/>
  <c r="D23" i="9" s="1"/>
  <c r="D19" i="9"/>
  <c r="D17" i="9"/>
  <c r="D14" i="9"/>
  <c r="D5" i="9"/>
  <c r="D139" i="9" l="1"/>
  <c r="C14" i="8" l="1"/>
  <c r="D13" i="2"/>
  <c r="C13" i="2"/>
  <c r="D26" i="1"/>
  <c r="C26" i="1"/>
  <c r="F56" i="30" l="1"/>
  <c r="D56" i="30"/>
  <c r="E21" i="30"/>
  <c r="E87" i="12" l="1"/>
  <c r="E88" i="12" s="1"/>
  <c r="E107" i="12"/>
  <c r="D107" i="12"/>
  <c r="E106" i="12"/>
  <c r="D106" i="12"/>
  <c r="C93" i="12"/>
  <c r="C60" i="12"/>
  <c r="C63" i="12" l="1"/>
  <c r="C64" i="12"/>
  <c r="C106" i="12"/>
  <c r="C107" i="12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35" i="19"/>
  <c r="F36" i="19"/>
  <c r="F37" i="19"/>
  <c r="F38" i="19"/>
  <c r="F39" i="19"/>
  <c r="F40" i="19"/>
  <c r="F41" i="19"/>
  <c r="F42" i="19"/>
  <c r="F44" i="19"/>
  <c r="F45" i="19"/>
  <c r="F46" i="19"/>
  <c r="F47" i="19"/>
  <c r="F34" i="19"/>
  <c r="F67" i="19" l="1"/>
  <c r="F68" i="19"/>
  <c r="F48" i="19"/>
  <c r="F49" i="19"/>
  <c r="F24" i="26"/>
  <c r="D61" i="21" l="1"/>
  <c r="F30" i="19" l="1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16" i="1" l="1"/>
  <c r="E15" i="1"/>
  <c r="E14" i="1"/>
  <c r="E13" i="1"/>
  <c r="E12" i="1"/>
  <c r="E11" i="1"/>
  <c r="E10" i="1"/>
  <c r="E27" i="1" l="1"/>
  <c r="E26" i="1"/>
  <c r="F2" i="2"/>
  <c r="F29" i="18" l="1"/>
  <c r="F28" i="18"/>
  <c r="F12" i="18"/>
  <c r="F11" i="18"/>
  <c r="F27" i="18" l="1"/>
  <c r="F26" i="18"/>
  <c r="F10" i="18"/>
  <c r="F9" i="18"/>
  <c r="F16" i="18" l="1"/>
  <c r="F17" i="18"/>
  <c r="F34" i="18"/>
  <c r="F33" i="18"/>
  <c r="D31" i="16"/>
  <c r="E28" i="16"/>
  <c r="E27" i="16"/>
  <c r="E26" i="16"/>
  <c r="E32" i="16" s="1"/>
  <c r="E31" i="16" l="1"/>
  <c r="D8" i="14"/>
  <c r="C8" i="14" s="1"/>
  <c r="AA39" i="12" l="1"/>
  <c r="Z39" i="12"/>
  <c r="Y39" i="12"/>
  <c r="V39" i="12"/>
  <c r="U39" i="12"/>
  <c r="T39" i="12"/>
  <c r="C45" i="8" l="1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11" i="8"/>
  <c r="F27" i="8"/>
  <c r="F10" i="8"/>
  <c r="F26" i="8"/>
  <c r="F9" i="8"/>
  <c r="F25" i="8"/>
  <c r="F8" i="8"/>
  <c r="F24" i="8"/>
  <c r="F7" i="8"/>
  <c r="F23" i="8"/>
  <c r="F6" i="8"/>
  <c r="F22" i="8"/>
  <c r="F5" i="8"/>
  <c r="F21" i="8"/>
  <c r="F4" i="8"/>
  <c r="F20" i="8"/>
  <c r="F3" i="8"/>
  <c r="F19" i="8"/>
  <c r="F9" i="2" l="1"/>
  <c r="F8" i="2"/>
  <c r="F7" i="2"/>
  <c r="F6" i="2"/>
  <c r="F5" i="2"/>
  <c r="F3" i="2"/>
  <c r="F13" i="2" s="1"/>
</calcChain>
</file>

<file path=xl/sharedStrings.xml><?xml version="1.0" encoding="utf-8"?>
<sst xmlns="http://schemas.openxmlformats.org/spreadsheetml/2006/main" count="3595" uniqueCount="672">
  <si>
    <t>age</t>
  </si>
  <si>
    <t>P5</t>
  </si>
  <si>
    <t>P6</t>
  </si>
  <si>
    <t>+</t>
  </si>
  <si>
    <t>-</t>
  </si>
  <si>
    <t>P11</t>
  </si>
  <si>
    <t>P12</t>
  </si>
  <si>
    <t>mouse#1</t>
  </si>
  <si>
    <t>mouse#2</t>
  </si>
  <si>
    <t>mouse#3</t>
  </si>
  <si>
    <t>mouse#4</t>
  </si>
  <si>
    <t>P10</t>
  </si>
  <si>
    <t>P13</t>
  </si>
  <si>
    <t>P7</t>
  </si>
  <si>
    <t>delta Vm</t>
  </si>
  <si>
    <t>MEAN</t>
  </si>
  <si>
    <t>mouse#5</t>
  </si>
  <si>
    <t>#060219</t>
  </si>
  <si>
    <t>P4</t>
  </si>
  <si>
    <t>#180319</t>
  </si>
  <si>
    <t>#190319</t>
  </si>
  <si>
    <t>#200319</t>
  </si>
  <si>
    <t>#210319</t>
  </si>
  <si>
    <t>#250319</t>
  </si>
  <si>
    <t>#260319</t>
  </si>
  <si>
    <t>BaCl2</t>
  </si>
  <si>
    <t>burst duration (ms)</t>
  </si>
  <si>
    <t xml:space="preserve"> burst frequency (Hz)</t>
  </si>
  <si>
    <t>%</t>
  </si>
  <si>
    <t xml:space="preserve">Frequ. N oscill. </t>
  </si>
  <si>
    <t>Ampl N oscill. (mV)</t>
  </si>
  <si>
    <t>Duration N oscill (s)</t>
  </si>
  <si>
    <t>Hb9</t>
  </si>
  <si>
    <t>P8</t>
  </si>
  <si>
    <t>TTX+Cocktail</t>
  </si>
  <si>
    <t>TOTAL</t>
  </si>
  <si>
    <t>ROIs nb</t>
  </si>
  <si>
    <t>preceding Neuronal Oscill.</t>
  </si>
  <si>
    <t>During Neuronal Oscill.</t>
  </si>
  <si>
    <t>K6Ca0.9</t>
  </si>
  <si>
    <t>TTX</t>
  </si>
  <si>
    <t>Amplitude</t>
  </si>
  <si>
    <t>Duration</t>
  </si>
  <si>
    <t>Frequency</t>
  </si>
  <si>
    <t>50 / UG / ROI:{61ecaa71-82d5-4cad-a609-9089c1ccd882} [scalar]</t>
  </si>
  <si>
    <t>65 / UG / ROI:{1ea8c3df-9ed2-472b-99d2-f3393005b1df} [scalar]</t>
  </si>
  <si>
    <t>55 / UG / ROI:{2fa6801e-82fe-48fa-bb5e-d45bb77d29de} [scalar]</t>
  </si>
  <si>
    <t>72 / UG / ROI:{0265f94e-77ee-4b48-a830-4d5d11a53c29} [scalar]</t>
  </si>
  <si>
    <t>56 / UG / ROI:{4cfe8047-5aa4-4d9f-8795-a9eee6e1a7dc} [scalar]</t>
  </si>
  <si>
    <t>73 / UG / ROI:{adc7700b-ea46-4779-a74e-55cbd7514d4b} [scalar]</t>
  </si>
  <si>
    <t>57 / UG / ROI:{b56b70eb-83eb-4c38-bd57-00ce35724f86} [scalar]</t>
  </si>
  <si>
    <t>79 / UG / ROI:{dcbe21a6-f6e9-4f43-9894-2b4e5a93885f} [scalar]</t>
  </si>
  <si>
    <t>63 / UG / ROI:{92608e00-8741-4bf7-b647-5d2ec7984650} [scalar]</t>
  </si>
  <si>
    <t>80 / UG / ROI:{35bc96eb-95ee-4c79-b190-6795246082fa} [scalar]</t>
  </si>
  <si>
    <t>64 / UG / ROI:{985a0030-4671-47f0-8666-ad92cbf06a70} [scalar]</t>
  </si>
  <si>
    <t>82 / UG / ROI:{b8286bae-e413-4252-8964-82ee127f265a} [scalar]</t>
  </si>
  <si>
    <t>69 / UG / ROI:{7a519f7c-1abf-4555-9f30-8769c2fc3076} [scalar]</t>
  </si>
  <si>
    <t>94 / UG / ROI:{a3a3873d-f511-49e5-b4c9-ceb644e7cd13} [scalar]</t>
  </si>
  <si>
    <t>81 / UG / ROI:{a40039ca-2d5e-4171-aae1-84c1da2072e8} [scalar]</t>
  </si>
  <si>
    <t>21 / UG / ROI:{27d92ade-9b48-418d-8939-0f56970e4c29} [scalar]</t>
  </si>
  <si>
    <t>90 / UG / ROI:{46a6a85e-4f25-4701-b826-1bc176bfa93a} [scalar]</t>
  </si>
  <si>
    <t>22 / UG / ROI:{85c15a4d-24d3-4828-870d-921b95bb965f} [scalar]</t>
  </si>
  <si>
    <t>95 / UG / ROI:{1e81f2e6-9793-4ab2-9baf-15ff8738ab70} [scalar]</t>
  </si>
  <si>
    <t>23 / UG / ROI:{4a2f7073-c536-4116-9c93-e33fbd7df8fc} [scalar]</t>
  </si>
  <si>
    <t>31 / UG / ROI:{8d65fe94-8d07-46e3-a8cc-1d852f198863} [scalar]</t>
  </si>
  <si>
    <t>24 / UG / ROI:{e69c91ad-8571-4e37-8820-52b1f226b09e} [scalar]</t>
  </si>
  <si>
    <t>10 / UG / ROI:{ffa7a1e6-53d2-4b41-a21c-03a802235e94} [scalar]</t>
  </si>
  <si>
    <t>37 / UG / ROI:{f1e6cce3-4891-4b25-8e4e-f621833452e5} [scalar]</t>
  </si>
  <si>
    <t>80 / UG / ROI:{feb1a90b-0f13-4e86-b384-9768709b3ee7} [scalar]</t>
  </si>
  <si>
    <t>79 / UG / ROI:{dea4c5a1-7417-47d3-8ed2-41893253983e} [scalar]</t>
  </si>
  <si>
    <t>32 / UG / ROI:{fa53e7a7-633a-43bc-a357-657f2833e00c} [scalar]</t>
  </si>
  <si>
    <t>105 / UG / ROI:{ce8f3b9d-bdf8-4db2-8afa-9eefe7013a7a} [scalar]</t>
  </si>
  <si>
    <t>48 / UG / ROI:{f99d8553-617d-4491-b6f3-9258191130e1} [scalar]</t>
  </si>
  <si>
    <t>106 / UG / ROI:{ccde13fa-e9ac-4668-8476-357ae6e2034d} [scalar]</t>
  </si>
  <si>
    <t>101 / UG / ROI:{f74efe73-5098-42d8-b7a7-255b4c433560} [scalar]</t>
  </si>
  <si>
    <t>36 / UG / ROI:{c1e6db97-fc3c-45b0-a56a-22b6ccaa35f9} [scalar]</t>
  </si>
  <si>
    <t>42 / UG / ROI:{f1a57071-7e7e-4e4d-8f91-ad26b322ee47} [scalar]</t>
  </si>
  <si>
    <t>68 / UG / ROI:{b98ccd53-677e-44a6-beda-2051e5a02bc2} [scalar]</t>
  </si>
  <si>
    <t>81 / UG / ROI:{f031151f-d752-4ae2-8a5f-dc3992cce07c} [scalar]</t>
  </si>
  <si>
    <t>45 / UG / ROI:{b2db4215-d3a9-4b43-95f9-f4340ae0a952} [scalar]</t>
  </si>
  <si>
    <t>86 / UG / ROI:{e45dbe90-0561-4ae4-a891-c646aae0aa39} [scalar]</t>
  </si>
  <si>
    <t>78 / UG / ROI:{aa93e3df-e5d4-4506-a2b1-73dd1e4bf983} [scalar]</t>
  </si>
  <si>
    <t>12 / UG / ROI:{cb5f102d-5b08-4682-b115-e0b45eab3df4} [scalar]</t>
  </si>
  <si>
    <t>40 / UG / ROI:{9c1440b9-7717-4c07-93e5-ba66834a74f1} [scalar]</t>
  </si>
  <si>
    <t>4 / UG / ROI:{c3bd91d8-8e35-4d2c-bfe6-2d50452ea226} [scalar]</t>
  </si>
  <si>
    <t>41 / UG / ROI:{889e1d88-c21c-4799-90f1-ad8f53cc045f} [scalar]</t>
  </si>
  <si>
    <t>69 / UG / ROI:{beed0f2a-9f44-4d7b-aa9a-951a7d32d482} [scalar]</t>
  </si>
  <si>
    <t>77 / UG / ROI:{7e4196f1-8179-4d1e-9664-aa5865a5e5b4} [scalar]</t>
  </si>
  <si>
    <t>72 / UG / ROI:{b60a6265-7024-478f-a4b6-54cef5de4ce1} [scalar]</t>
  </si>
  <si>
    <t>65 / UG / ROI:{5744a985-8be9-447b-b75a-dcc9a8140f87} [scalar]</t>
  </si>
  <si>
    <t>71 / UG / ROI:{b1c82067-9c61-47e9-aa6c-4d88bd2a5dc8} [scalar]</t>
  </si>
  <si>
    <t>39 / UG / ROI:{506a33bb-3229-4dbf-9270-d269652a4c27} [scalar]</t>
  </si>
  <si>
    <t>46 / UG / ROI:{a0e917fd-b10c-43d6-9693-a9dda7e19db3} [scalar]</t>
  </si>
  <si>
    <t>75 / UG / ROI:{4a4057ab-6db6-4e25-b27b-7d47d49bc74c} [scalar]</t>
  </si>
  <si>
    <t>64 / UG / ROI:{9eef0781-77fc-40e4-aaee-30d49d9ddcaa} [scalar]</t>
  </si>
  <si>
    <t>76 / UG / ROI:{440b2ab6-0a09-4629-bb1b-1fc4cb041c61} [scalar]</t>
  </si>
  <si>
    <t>15 / UG / ROI:{9d527389-9fda-4ad2-b459-25281c4c5960} [scalar]</t>
  </si>
  <si>
    <t>35 / UG / ROI:{2f19c41a-4144-4fa7-9267-f535b3fd86f6} [scalar]</t>
  </si>
  <si>
    <t>95 / UG / ROI:{99bd996c-0ca5-4870-a25a-b6f4aede2bad} [scalar]</t>
  </si>
  <si>
    <t>82 / UG / ROI:{29c2fab8-283a-471b-ab1b-2c5a1ad94fbe} [scalar]</t>
  </si>
  <si>
    <t>87 / UG / ROI:{98efc95c-c9a9-445f-97f4-145bac00a860} [scalar]</t>
  </si>
  <si>
    <t>94 / UG / ROI:{23c6cac8-2859-4003-9b19-b6a58b37465a} [scalar]</t>
  </si>
  <si>
    <t>83 / UG / ROI:{94b6dd0c-3c7d-4054-a803-0c73801a1fb2} [scalar]</t>
  </si>
  <si>
    <t>58 / UG / ROI:{20dba9a0-6e62-458f-9378-91198d21e758} [scalar]</t>
  </si>
  <si>
    <t>30 / UG / ROI:{93c97ac6-6621-407c-b783-01984af04e9e} [scalar]</t>
  </si>
  <si>
    <t>66 / UG / ROI:{06f1f8aa-a2d7-4be1-8c7d-32e756b6f04e} [scalar]</t>
  </si>
  <si>
    <t>18 / UG / ROI:{92182ab4-67ad-4dd2-8111-296775506f4f} [scalar]</t>
  </si>
  <si>
    <t>23 / UG / ROI:{89f5e93f-27d2-4a31-90d4-7b4c6cdf6c3d} [scalar]</t>
  </si>
  <si>
    <t>53 / UG / ROI:{89870af1-66d9-43d7-8418-d9ec928d0c40} [scalar]</t>
  </si>
  <si>
    <t>60 / UG / ROI:{7b5e73ea-970f-4ea2-a2fb-2a8db3a4698f} [scalar]</t>
  </si>
  <si>
    <t>84 / UG / ROI:{72e4070c-89fa-4171-b249-f32241dc3a34} [scalar]</t>
  </si>
  <si>
    <t>28 / UG / ROI:{704c7c94-b3d5-426e-a985-6b13a6f1df6f} [scalar]</t>
  </si>
  <si>
    <t>9 / UG / ROI:{68e92676-353d-42df-8f17-41fbc1922542} [scalar]</t>
  </si>
  <si>
    <t>3 / UG / ROI:{67ec7af9-bf97-452b-8904-87729d3057ea} [scalar]</t>
  </si>
  <si>
    <t>14 / UG / ROI:{632d2091-f553-40a8-ba2d-bd2d204bbeb6} [scalar]</t>
  </si>
  <si>
    <t>29 / UG / ROI:{5c7d7850-74f4-492e-b22c-275b9616a8d4} [scalar]</t>
  </si>
  <si>
    <t>43 / UG / ROI:{5a43ead6-beff-4b72-ba04-7534043b0439} [scalar]</t>
  </si>
  <si>
    <t>67 / UG / ROI:{578866ee-3e4e-4fcc-b646-47ead6446fb3} [scalar]</t>
  </si>
  <si>
    <t>55 / UG / ROI:{54f835ed-3ca1-42e5-9ff8-5968b48cd097} [scalar]</t>
  </si>
  <si>
    <t>5 / UG / ROI:{54af73b5-e651-459d-a7f6-d0c63a5f1868} [scalar]</t>
  </si>
  <si>
    <t>88 / UG / ROI:{504fa79d-b783-4cf8-b093-a4e1d576f690} [scalar]</t>
  </si>
  <si>
    <t>74 / UG / ROI:{3fd27614-aa09-4a24-8957-5e4c2b945176} [scalar]</t>
  </si>
  <si>
    <t>85 / UG / ROI:{3e1bd585-74ff-42e3-b064-ee0c8bac1e86} [scalar]</t>
  </si>
  <si>
    <t>13 / UG / ROI:{39de65ee-fbbf-41ee-b0dc-2b4027d5f918} [scalar]</t>
  </si>
  <si>
    <t>100 / UG / ROI:{29b8ee5d-6585-4037-9886-ce3387c6c812} [scalar]</t>
  </si>
  <si>
    <t>92 / UG / ROI:{283bc225-98a6-4c07-9b9c-4a834fb1b502} [scalar]</t>
  </si>
  <si>
    <t>59 / UG / ROI:{19d9c942-9c99-4b99-8b52-6deb1ddfbd7f} [scalar]</t>
  </si>
  <si>
    <t>33 / UG / ROI:{16e273bb-e41f-4fbc-a89f-893ba4fef084} [scalar]</t>
  </si>
  <si>
    <t>6 / UG / ROI:{0c3e156b-49a7-46a9-b193-0bdeddfaad06} [scalar]</t>
  </si>
  <si>
    <t>16 / UG / ROI:{0897ce56-c0bc-4a8d-b426-456ca0387e11} [scalar]</t>
  </si>
  <si>
    <t>Oscillation nb</t>
  </si>
  <si>
    <t>Oscillation duration (s)</t>
  </si>
  <si>
    <t>Ampl</t>
  </si>
  <si>
    <t>62 / UG / ROI:{ec5358b3-d7df-4568-8e5b-5d53973f11cb} [scalar]</t>
  </si>
  <si>
    <t>3 / UG / ROI:{f4c87c37-08c4-42f6-b9a5-8c2ebc60e809} [scalar]</t>
  </si>
  <si>
    <t>54 / UG / ROI:{dd054dbf-7e6c-44e4-91bc-553d679ee4f8} [scalar]</t>
  </si>
  <si>
    <t>58 / UG / ROI:{f4015c1d-5cb1-4bf8-8d0c-ae71fec51096} [scalar]</t>
  </si>
  <si>
    <t>57 / UG / ROI:{dcfb4d73-4b44-4731-a47d-a1917f46c07c} [scalar]</t>
  </si>
  <si>
    <t>46 / UG / ROI:{e8ce2880-5b29-4422-85cb-73de787ac68d} [scalar]</t>
  </si>
  <si>
    <t>29 / UG / ROI:{d849d29e-dd33-4833-8705-b948f9ae7f23} [scalar]</t>
  </si>
  <si>
    <t>37 / UG / ROI:{dfbe4644-4cde-4cef-9ac9-e3a12ab4957d} [scalar]</t>
  </si>
  <si>
    <t>36 / UG / ROI:{d6987d50-aa32-4671-af59-4c72f306cedd} [scalar]</t>
  </si>
  <si>
    <t>28 / UG / ROI:{da527644-097b-4b32-aa89-449e6c3c7aa8} [scalar]</t>
  </si>
  <si>
    <t>10 / UG / ROI:{d0961b36-6998-4a2d-8be7-1f36af2afb33} [scalar]</t>
  </si>
  <si>
    <t>63 / UG / ROI:{c9d2c393-113c-4202-853b-e1d2fdb15477} [scalar]</t>
  </si>
  <si>
    <t>23 / UG / ROI:{c5586178-3c97-4e56-a766-53d1cba22cb0} [scalar]</t>
  </si>
  <si>
    <t>78 / UG / ROI:{c2b1e17b-2ad7-42b0-84ce-8e1105389fe2} [scalar]</t>
  </si>
  <si>
    <t>38 / UG / ROI:{b0bd7cc9-1b1f-48c3-b8f6-8e2bc71f74f3} [scalar]</t>
  </si>
  <si>
    <t>24 / UG / ROI:{c1d3ae77-347f-4699-bb34-e00c53c5d9d6} [scalar]</t>
  </si>
  <si>
    <t>59 / UG / ROI:{af157066-d4ef-4a3d-a2d0-fd2f43014a90} [scalar]</t>
  </si>
  <si>
    <t>26 / UG / ROI:{997f65b1-3fe7-4124-96cf-4492dd14a19f} [scalar]</t>
  </si>
  <si>
    <t>1 / UG / ROI:{acfe0a0c-1111-4a21-b3af-bf47e0b69993} [scalar]</t>
  </si>
  <si>
    <t>60 / UG / ROI:{97f9d2d8-51b8-41d0-a755-e5fef07085f8} [scalar]</t>
  </si>
  <si>
    <t>2 / UG / ROI:{acaf9643-f035-4521-be4e-97675d668305} [scalar]</t>
  </si>
  <si>
    <t>50 / UG / ROI:{8333e1c5-ad0c-4c63-a057-d3dd90fb1a04} [scalar]</t>
  </si>
  <si>
    <t>14 / UG / ROI:{a2f5980e-7466-4170-8bee-9541c8cb1e10} [scalar]</t>
  </si>
  <si>
    <t>27 / UG / ROI:{78844eb9-4681-4b54-a254-77c6b5470f89} [scalar]</t>
  </si>
  <si>
    <t>19 / UG / ROI:{959eb71c-b95a-45b3-a2af-42643cceca65} [scalar]</t>
  </si>
  <si>
    <t>64 / UG / ROI:{673e2e4a-9ad8-44e9-99ec-c2ca881a542d} [scalar]</t>
  </si>
  <si>
    <t>44 / UG / ROI:{7626a152-2d39-40f4-9f58-fdbcbf07ea4f} [scalar]</t>
  </si>
  <si>
    <t>22 / UG / ROI:{421a8e62-c7fd-4b5a-abd7-875679141a9a} [scalar]</t>
  </si>
  <si>
    <t>30 / UG / ROI:{6509f4cb-102f-473f-bee0-d8e4e301855f} [scalar]</t>
  </si>
  <si>
    <t>41 / UG / ROI:{2e49b047-672c-4e50-a075-cc0735ea497a} [scalar]</t>
  </si>
  <si>
    <t>15 / UG / ROI:{5766d20d-27e6-45aa-9989-88b583f46df0} [scalar]</t>
  </si>
  <si>
    <t>9 / UG / ROI:{0d8bd380-5b3d-4fa7-8268-c99e4807ec1a} [scalar]</t>
  </si>
  <si>
    <t>48 / UG / ROI:{4cc65582-ef55-4d56-afe7-8f2a002f76ca} [scalar]</t>
  </si>
  <si>
    <t>25 / UG / ROI:{062fe5c1-4e16-41c9-9f75-303cf23a0711} [scalar]</t>
  </si>
  <si>
    <t>40 / UG / ROI:{2bfef81e-0ced-43c7-aa9b-b4aca4d86dd8} [scalar]</t>
  </si>
  <si>
    <t>61 / UG / ROI:{03ad15a1-f551-48e5-9698-8b883fd5d3e2} [scalar]</t>
  </si>
  <si>
    <t>11 / UG / ROI:{14eb519c-bf2c-4666-8d62-986244da76f5} [scalar]</t>
  </si>
  <si>
    <t>56 / UG / ROI:{f7f6231d-c423-446a-8f3d-b2fe340d3a97} [scalar]</t>
  </si>
  <si>
    <t>75 / UG / ROI:{1400218c-c119-4108-b4ce-37b0fcc21ec7} [scalar]</t>
  </si>
  <si>
    <t>52 / UG / ROI:{7857e1ca-ea7e-453c-9eaa-1af63940187b} [scalar]</t>
  </si>
  <si>
    <t>10 / UG / ROI:{ffa42132-0c4c-414b-a521-9f864bbe459d} [scalar]</t>
  </si>
  <si>
    <t>46 / UG / ROI:{76393e44-468c-4441-bbc2-63197f8ab463} [scalar]</t>
  </si>
  <si>
    <t>16 / UG / ROI:{e83e9031-31b4-4bfd-a5dc-d4405c4f6ae6} [scalar]</t>
  </si>
  <si>
    <t>9 / UG / ROI:{71c0b857-3bd4-48e5-b04d-56ef80e86ea2} [scalar]</t>
  </si>
  <si>
    <t>47 / UG / ROI:{e5e12f96-1356-43fb-a775-7d7f4ab8b149} [scalar]</t>
  </si>
  <si>
    <t>59 / UG / ROI:{6d86671a-d4bb-4194-86cf-d9ef89b6b02a} [scalar]</t>
  </si>
  <si>
    <t>60 / UG / ROI:{deaecc27-7848-4cac-a3b5-def49c9aab90} [scalar]</t>
  </si>
  <si>
    <t>30 / UG / ROI:{6c53f8fe-f92c-40f7-a3c5-3d767b2c9392} [scalar]</t>
  </si>
  <si>
    <t>35 / UG / ROI:{db618c75-cea7-422b-b115-ffda0a0d4d97} [scalar]</t>
  </si>
  <si>
    <t>14 / UG / ROI:{5ae54eec-14ca-4d2c-9650-5a7130805efd} [scalar]</t>
  </si>
  <si>
    <t>49 / UG / ROI:{d70c6fb4-6a4a-4552-a1e6-788f6f6536c5} [scalar]</t>
  </si>
  <si>
    <t>58 / UG / ROI:{589c19ce-f16b-4011-84f2-e78b0dec4a20} [scalar]</t>
  </si>
  <si>
    <t>41 / UG / ROI:{d5bdb7f7-0971-4fbf-979d-07ac4673594a} [scalar]</t>
  </si>
  <si>
    <t>7 / UG / ROI:{4e48eafe-34f6-4c67-9bb2-45519d2c3326} [scalar]</t>
  </si>
  <si>
    <t>26 / UG / ROI:{d22801d2-f7a9-4646-b2fb-7e114f2b9a90} [scalar]</t>
  </si>
  <si>
    <t>19 / UG / ROI:{4546b5fc-c5af-4f48-a38d-40d1edc489d9} [scalar]</t>
  </si>
  <si>
    <t>38 / UG / ROI:{c430a102-cf65-4d83-8348-73f1419e546f} [scalar]</t>
  </si>
  <si>
    <t>57 / UG / ROI:{2673e774-ebb3-4772-abd6-5fadccc4fc6a} [scalar]</t>
  </si>
  <si>
    <t>61 / UG / ROI:{c31b7cc0-d370-40f2-8145-b73d4ee30403} [scalar]</t>
  </si>
  <si>
    <t>55 / UG / ROI:{205f23ee-b4da-429b-8093-b5461608e9d7} [scalar]</t>
  </si>
  <si>
    <t>34 / UG / ROI:{c0ec6be4-b299-4c55-83cb-4c981837a50c} [scalar]</t>
  </si>
  <si>
    <t>65 / UG / ROI:{02005239-0fc7-4acb-b1da-17dd9992e887} [scalar]</t>
  </si>
  <si>
    <t>54 / UG / ROI:{bf723f79-d02f-43ca-9673-9496ce5e6b03} [scalar]</t>
  </si>
  <si>
    <t>25 / UG / ROI:{a2a15c02-c13d-4b26-9863-91b3aa0b75b7} [scalar]</t>
  </si>
  <si>
    <t>3 / UG / ROI:{a0a94e23-8f23-4172-b147-6b176847e8fd} [scalar]</t>
  </si>
  <si>
    <t>64 / UG / ROI:{945276b6-cb85-4651-b410-c7165d2fa4b7} [scalar]</t>
  </si>
  <si>
    <t>36 / UG / ROI:{8bdd88b5-2229-432b-99d2-4a7c877b98fb} [scalar]</t>
  </si>
  <si>
    <t>15 / UG / ROI:{8a83f051-8462-4391-9281-54a9b2b8e7a5} [scalar]</t>
  </si>
  <si>
    <t>11 / UG / ROI:{85881448-d853-427c-adf8-60eef1d944c9} [scalar]</t>
  </si>
  <si>
    <t>1 / UG / ROI:{82013ba3-2704-4c78-a03f-15fd7684dd49} [scalar]</t>
  </si>
  <si>
    <t>4 / UG / ROI:{6e91e446-b062-4a8e-8634-97f73a688ff9} [scalar]</t>
  </si>
  <si>
    <t>28 / UG / ROI:{5f9f1766-8895-4257-b478-24c7a1405e4a} [scalar]</t>
  </si>
  <si>
    <t>8 / UG / ROI:{5ac5d596-4d06-433a-9180-57b0efaf21eb} [scalar]</t>
  </si>
  <si>
    <t>45 / UG / ROI:{4b68c16d-c9b2-4abf-acb8-13c760bc8d0d} [scalar]</t>
  </si>
  <si>
    <t>21 / UG / ROI:{458eb611-b352-46f0-a2e2-85264d5350ee} [scalar]</t>
  </si>
  <si>
    <t>17 / UG / ROI:{455069a4-fc01-4550-8a06-bfd6595e4ea3} [scalar]</t>
  </si>
  <si>
    <t>62 / UG / ROI:{3b5c6d88-0b59-490f-8949-e9b39e8722f7} [scalar]</t>
  </si>
  <si>
    <t>31 / UG / ROI:{3603a8d1-90fe-4485-9231-bc92f352967b} [scalar]</t>
  </si>
  <si>
    <t>12 / UG / ROI:{338132a3-26c5-46af-ae4f-d5ad748356d9} [scalar]</t>
  </si>
  <si>
    <t>40 / UG / ROI:{2d98cce7-45ea-4e75-88a5-a15cbe140be0} [scalar]</t>
  </si>
  <si>
    <t>68 / UG / ROI:{2aa0adc6-ef88-4896-86f7-534c01c368d0} [scalar]</t>
  </si>
  <si>
    <t>24 / UG / ROI:{22951c08-7eb2-4a2a-8350-9daa31c8dabc} [scalar]</t>
  </si>
  <si>
    <t>66 / UG / ROI:{22032ebe-6f41-41eb-91c1-eb0a3e592266} [scalar]</t>
  </si>
  <si>
    <t>44 / UG / ROI:{21fcabd0-a3de-4848-aa44-72ab1b7ed1d4} [scalar]</t>
  </si>
  <si>
    <t>2 / UG / ROI:{108a2908-39f6-46b9-a80c-797a9385cf19} [scalar]</t>
  </si>
  <si>
    <t>29 / UG / ROI:{0b5b4614-acb9-4b45-a7e5-d5006304e447} [scalar]</t>
  </si>
  <si>
    <t>43 / UG / ROI:{c9b6b44c-8b20-4a2b-bbb8-7bbf75c2ea80} [scalar]</t>
  </si>
  <si>
    <t>55 / UG / ROI:{deab92be-b1e9-476a-85d2-ae3660a6327b} [scalar]</t>
  </si>
  <si>
    <t>44 / UG / ROI:{8845c3b0-38ca-43e7-b64b-d4d57b755e1b} [scalar]</t>
  </si>
  <si>
    <t>56 / UG / ROI:{8915f8b0-014d-4281-ba6a-16ba81a85a22} [scalar]</t>
  </si>
  <si>
    <t>45 / UG / ROI:{55b95493-827a-4514-88bf-d5266484e164} [scalar]</t>
  </si>
  <si>
    <t>58 / UG / ROI:{9fb255b6-908b-44f9-bc2d-6f2bdf88122c} [scalar]</t>
  </si>
  <si>
    <t>46 / UG / ROI:{734a442a-d309-4004-9206-2822d8897b74} [scalar]</t>
  </si>
  <si>
    <t>62 / UG / ROI:{8c6eddf4-fc8c-4275-96c2-df45697f50a3} [scalar]</t>
  </si>
  <si>
    <t>47 / UG / ROI:{2accb21c-fe3f-49c0-b100-31b6136019fc} [scalar]</t>
  </si>
  <si>
    <t>63 / UG / ROI:{121127fe-2c4e-4545-9bec-59ebb7ce48b4} [scalar]</t>
  </si>
  <si>
    <t>49 / UG / ROI:{8dabb563-4228-4462-814b-c2169b3f5314} [scalar]</t>
  </si>
  <si>
    <t>68 / UG / ROI:{6c5dce39-722c-4bb0-8ed5-c846577f57a7} [scalar]</t>
  </si>
  <si>
    <t>50 / UG / ROI:{88b22bd8-6b7b-4233-8ea0-2a6925778cd6} [scalar]</t>
  </si>
  <si>
    <t>71 / UG / ROI:{482413cb-d1c8-46f8-a61b-2f50a1f800dc} [scalar]</t>
  </si>
  <si>
    <t>51 / UG / ROI:{bd7f68a9-6b96-43ff-a933-d9fc84744457} [scalar]</t>
  </si>
  <si>
    <t>73 / UG / ROI:{fd03bae9-1366-4516-a98e-8dc93aa4e578} [scalar]</t>
  </si>
  <si>
    <t>52 / UG / ROI:{8e96ec3c-a56c-4f46-b41d-027dc6a7366e} [scalar]</t>
  </si>
  <si>
    <t>74 / UG / ROI:{8bddd391-7d48-4c00-8e90-3c7f8bc1447c} [scalar]</t>
  </si>
  <si>
    <t>60 / UG / ROI:{736655b1-ee20-4be0-b0af-a29b15fdd67d} [scalar]</t>
  </si>
  <si>
    <t>53 / UG / ROI:{f99675fb-1dfc-4d5c-9614-a5a0a02a0a25} [scalar]</t>
  </si>
  <si>
    <t>76 / UG / ROI:{49d3ac25-d192-4393-9d95-e6f9db7c5b17} [scalar]</t>
  </si>
  <si>
    <t>54 / UG / ROI:{e8cb9482-34c4-4899-a140-06c276a7f6b2} [scalar]</t>
  </si>
  <si>
    <t>26 / UG / ROI:{0c080ea0-9650-4538-903b-b8c944f7a8fb} [scalar]</t>
  </si>
  <si>
    <t>60 / UG / ROI:{f54ce51a-2c1c-437c-9e70-352441831522} [scalar]</t>
  </si>
  <si>
    <t>27 / UG / ROI:{fdfff5e0-c347-4259-8ca3-3a74cd3d1d46} [scalar]</t>
  </si>
  <si>
    <t>61 / UG / ROI:{9ad9538c-419f-478f-b4d8-6b3d2e485088} [scalar]</t>
  </si>
  <si>
    <t>31 / UG / ROI:{4739eb7b-e967-4ebb-8b9a-5d5a8929f49f} [scalar]</t>
  </si>
  <si>
    <t>64 / UG / ROI:{e3a1bf56-8bf4-4ecc-954e-d829445a141d} [scalar]</t>
  </si>
  <si>
    <t>33 / UG / ROI:{baac73cb-8432-4c18-9ba9-88d5290372a5} [scalar]</t>
  </si>
  <si>
    <t>65 / UG / ROI:{145d79a8-01dd-4a83-9e75-8d3af8781031} [scalar]</t>
  </si>
  <si>
    <t>34 / UG / ROI:{55c1eca4-3c6c-482a-8b6c-34ee3ffd8237} [scalar]</t>
  </si>
  <si>
    <t>67 / UG / ROI:{e599e593-7c24-490d-b6c2-0ca6b3f5daed} [scalar]</t>
  </si>
  <si>
    <t>69 / UG / ROI:{2211dae1-ae6c-4fb2-8e15-2edf167c09a6} [scalar]</t>
  </si>
  <si>
    <t>66 / UG / ROI:{4d4daca0-8aef-48da-bde0-02bf28f13f3d} [scalar]</t>
  </si>
  <si>
    <t>72 / UG / ROI:{a0f70231-9af4-49e9-b8f4-3349449fb2a3} [scalar]</t>
  </si>
  <si>
    <t>77 / UG / ROI:{7a1f2eaa-e8dd-4ef1-a70a-11d311e4bc03} [scalar]</t>
  </si>
  <si>
    <t>78 / UG / ROI:{8cd37cf0-e273-437e-906f-5fef42c07aa2} [scalar]</t>
  </si>
  <si>
    <t>74 / UG / ROI:{4a40ba36-94a4-4447-aa80-f06bca4f7aaa} [scalar]</t>
  </si>
  <si>
    <t>80 / UG / ROI:{128fc41a-c9e3-4545-88f6-f59e2ab7c6fd} [scalar]</t>
  </si>
  <si>
    <t>77 / UG / ROI:{0440aa76-6250-446f-81cf-f2bfa7f1ffc9} [scalar]</t>
  </si>
  <si>
    <t>22 / UG / ROI:{9a67fcc5-64b2-4bba-ae7f-ee9701d375d8} [scalar]</t>
  </si>
  <si>
    <t>78 / UG / ROI:{f06cb5b2-7dff-4b1e-8f62-b957f21bf9c8} [scalar]</t>
  </si>
  <si>
    <t>23 / UG / ROI:{746309b4-635d-4836-aa01-09cf17b6cf39} [scalar]</t>
  </si>
  <si>
    <t>24 / UG / ROI:{18f02320-770a-41d7-b147-4159e636c63c} [scalar]</t>
  </si>
  <si>
    <t>25 / UG / ROI:{f887e0fa-6499-4b7f-8749-81ee41b8d67b} [scalar]</t>
  </si>
  <si>
    <t>29 / UG / ROI:{1c7bd608-f912-4142-bb28-6443d369a916} [scalar]</t>
  </si>
  <si>
    <t>83 / UG / ROI:{a292f965-e51f-4476-b3e5-e0ca105c5685} [scalar]</t>
  </si>
  <si>
    <t>35 / UG / ROI:{c896637d-1af9-4391-8304-a0111e493230} [scalar]</t>
  </si>
  <si>
    <t>84 / UG / ROI:{80df1143-de85-4e14-9342-eec552186906} [scalar]</t>
  </si>
  <si>
    <t>37 / UG / ROI:{f59b4ab4-42ea-4bc1-83eb-66af8e0925c8} [scalar]</t>
  </si>
  <si>
    <t>97 / UG / ROI:{8b597905-ae4f-4aad-b604-a088b70e27d1} [scalar]</t>
  </si>
  <si>
    <t>52 / UG / ROI:{1c346fbc-aa5c-4101-9d23-3482b4e034a7} [scalar]</t>
  </si>
  <si>
    <t>59 / UG / ROI:{af9b3abc-751c-4fd5-a212-700a467fab13} [scalar]</t>
  </si>
  <si>
    <t>62 / UG / ROI:{af553b69-d2c7-44ea-82c6-0ee70c781584} [scalar]</t>
  </si>
  <si>
    <t>68 / UG / ROI:{9c4a0ba8-df49-46d8-83a7-9c4700de72ea} [scalar]</t>
  </si>
  <si>
    <t>71 / UG / ROI:{d51feab4-e19e-48f0-a3e1-f29b3451e9bd} [scalar]</t>
  </si>
  <si>
    <t>76 / UG / ROI:{ed6f66af-7c44-42d8-a363-a81574640027} [scalar]</t>
  </si>
  <si>
    <t>70 / UG / ROI:{a268c60e-3edb-45f4-a522-12cf73636482} [scalar]</t>
  </si>
  <si>
    <t>85 / UG / ROI:{97c3e383-2f6d-4a47-8dc8-67a4adbe9285} [scalar]</t>
  </si>
  <si>
    <t>89 / UG / ROI:{31dd12ba-a65e-4e08-8e24-73fbe8d218ca} [scalar]</t>
  </si>
  <si>
    <t>93 / UG / ROI:{12d85cba-f2d5-4666-8d5d-4ffa49a94016} [scalar]</t>
  </si>
  <si>
    <t>96 / UG / ROI:{d7942148-dbb2-4b87-849e-d2fccb800fa8} [scalar]</t>
  </si>
  <si>
    <t>63 / UG / ROI:{f56ea316-a6b4-4615-af29-c682617b9051} [scalar]</t>
  </si>
  <si>
    <t>73 / UG / ROI:{f407ff06-278e-497d-be19-98f2bb0e238d} [scalar]</t>
  </si>
  <si>
    <t>50 / UG / ROI:{f2ff0174-e03c-4c59-9112-d77ec176c516} [scalar]</t>
  </si>
  <si>
    <t>56 / UG / ROI:{cadde401-ebc3-41ea-9e2c-e3461131b44f} [scalar]</t>
  </si>
  <si>
    <t>49 / UG / ROI:{c88c2719-b647-48cf-9835-18d860db6d28} [scalar]</t>
  </si>
  <si>
    <t>57 / UG / ROI:{c45f769a-97d4-4b20-ae1f-f73c69b09131} [scalar]</t>
  </si>
  <si>
    <t>21 / UG / ROI:{b4f9adf6-5ff4-4726-bf32-50fa54319c61} [scalar]</t>
  </si>
  <si>
    <t>19 / UG / ROI:{b09367e5-2dc6-498c-ac7f-5db9240dcf25} [scalar]</t>
  </si>
  <si>
    <t>44 / UG / ROI:{ae3a3f55-bd56-4bfd-80a1-87167b5ffb75} [scalar]</t>
  </si>
  <si>
    <t>52 / UG / ROI:{a737724f-1e77-4893-8df4-3fd3fa5afeb3} [scalar]</t>
  </si>
  <si>
    <t>54 / UG / ROI:{896bedd3-5925-45c2-adeb-bb15f3c77af7} [scalar]</t>
  </si>
  <si>
    <t>25 / UG / ROI:{6770a01f-70aa-42cc-b358-af07619df9e6} [scalar]</t>
  </si>
  <si>
    <t>24 / UG / ROI:{5b763779-f488-4ab9-af79-9c83e5eb3707} [scalar]</t>
  </si>
  <si>
    <t>51 / UG / ROI:{55620d49-2d2d-4105-a488-02c1567ff906} [scalar]</t>
  </si>
  <si>
    <t>31 / UG / ROI:{1ce6a609-ac30-47d0-8e58-e0f40ae7e239} [scalar]</t>
  </si>
  <si>
    <t>62 / UG / ROI:{1812592b-b334-427c-9058-60e71cbcfb6b} [scalar]</t>
  </si>
  <si>
    <t>97 / UG / ROI:{094aa799-be9d-43b1-8670-ef3f72f378a2} [scalar]</t>
  </si>
  <si>
    <t>17 / UG / ROI:{08287867-f86b-4dac-9387-5a7a200c063d} [scalar]</t>
  </si>
  <si>
    <t>61 / UG / ROI:{00aaec65-1ec2-4f4e-9da8-394127aa392c} [scalar]</t>
  </si>
  <si>
    <t>P16</t>
  </si>
  <si>
    <t>Slice 3 210225 P13</t>
  </si>
  <si>
    <t>mouse#2 P16</t>
  </si>
  <si>
    <t>mouse#1 P16</t>
  </si>
  <si>
    <t>mouse#3 P13</t>
  </si>
  <si>
    <t>P9</t>
  </si>
  <si>
    <t>Vrest</t>
  </si>
  <si>
    <t>Rin</t>
  </si>
  <si>
    <t>astro1</t>
  </si>
  <si>
    <t>astro2</t>
  </si>
  <si>
    <t>astro3</t>
  </si>
  <si>
    <t>astro4</t>
  </si>
  <si>
    <t>Duration (s)</t>
  </si>
  <si>
    <t>Cocktail-induced depol (mV)</t>
  </si>
  <si>
    <t>#150120 IN1</t>
  </si>
  <si>
    <t>#150120 IN2</t>
  </si>
  <si>
    <t>#150120 IN4</t>
  </si>
  <si>
    <t>130220 IN2</t>
  </si>
  <si>
    <t>130220 IN3</t>
  </si>
  <si>
    <t>130220 IN1</t>
  </si>
  <si>
    <t>TTX+Cocktail monoamines</t>
  </si>
  <si>
    <t>Hb9 GFP+</t>
  </si>
  <si>
    <t>69 / UG / ROI:{d260ca9f-212d-4cc0-98d3-cbe8c5e31022} [scalar]</t>
  </si>
  <si>
    <t>55 / UG / ROI:{68824a4f-b11b-4d7f-9ca0-02ba9b3d87cb} [scalar]</t>
  </si>
  <si>
    <t>49 / UG / ROI:{2db03c6c-396a-49f8-9a71-27ccd08ad8ad} [scalar]</t>
  </si>
  <si>
    <t>37 / UG / ROI:{08e7e2da-1a9b-4601-a6ee-d46edab108ea} [scalar]</t>
  </si>
  <si>
    <t>38 / UG / ROI:{f6dc8abc-9a91-414c-acc7-bd8ca347dc3c} [scalar]</t>
  </si>
  <si>
    <t>39 / UG / ROI:{54b8e751-1076-47b4-a992-ae752eb03c11} [scalar]</t>
  </si>
  <si>
    <t>75 / UG / ROI:{86de47b9-8a72-413e-ab17-6baf3c115996} [scalar]</t>
  </si>
  <si>
    <t>Ampl (mV)</t>
  </si>
  <si>
    <t>Frequency (Hz)</t>
  </si>
  <si>
    <t>Distance moved</t>
  </si>
  <si>
    <t>Velocity</t>
  </si>
  <si>
    <t>Movement</t>
  </si>
  <si>
    <t>center-point</t>
  </si>
  <si>
    <t>Moving / center-point</t>
  </si>
  <si>
    <t>Not Moving / center-point</t>
  </si>
  <si>
    <t>Total</t>
  </si>
  <si>
    <t>Mean</t>
  </si>
  <si>
    <t>Cumulative Duration</t>
  </si>
  <si>
    <t>cm</t>
  </si>
  <si>
    <t>cm/s</t>
  </si>
  <si>
    <t>Stand (s)</t>
  </si>
  <si>
    <t xml:space="preserve">Swing (s) </t>
  </si>
  <si>
    <t>Stand (%)</t>
  </si>
  <si>
    <t xml:space="preserve">Swing (%) </t>
  </si>
  <si>
    <t>Base of Support (cm)</t>
  </si>
  <si>
    <t>Regularity Index (%)</t>
  </si>
  <si>
    <t>Run Avg Speed (cm/s)</t>
  </si>
  <si>
    <t>#171221</t>
  </si>
  <si>
    <t xml:space="preserve"> burst amplitude (mV)</t>
  </si>
  <si>
    <t>RVL2</t>
  </si>
  <si>
    <t>RVL2l-RVL2r</t>
  </si>
  <si>
    <t>Cross-correlogram coefficient factor</t>
  </si>
  <si>
    <t>mouse#6</t>
  </si>
  <si>
    <t>mouse#7</t>
  </si>
  <si>
    <t>mouse#8</t>
  </si>
  <si>
    <t>mouse#9</t>
  </si>
  <si>
    <t>mouse#10</t>
  </si>
  <si>
    <t>mouse#11</t>
  </si>
  <si>
    <t>mouse#12</t>
  </si>
  <si>
    <t>mouse#13</t>
  </si>
  <si>
    <t>mouse#14</t>
  </si>
  <si>
    <t>mouse#15</t>
  </si>
  <si>
    <t>mouse#16</t>
  </si>
  <si>
    <t>Astrocytes</t>
  </si>
  <si>
    <t>P=0.4754</t>
  </si>
  <si>
    <t>P=0.1076</t>
  </si>
  <si>
    <t>Neurons</t>
  </si>
  <si>
    <t>P&lt;0.0001</t>
  </si>
  <si>
    <t>Strain</t>
  </si>
  <si>
    <t>Manip</t>
  </si>
  <si>
    <t>Trial 1 (s)</t>
  </si>
  <si>
    <t>Trial 2 (s)</t>
  </si>
  <si>
    <t>Trial 3 (s)</t>
  </si>
  <si>
    <t>Mean 3 Trials (s)</t>
  </si>
  <si>
    <t>astro5</t>
  </si>
  <si>
    <t>Rin (Mohm)</t>
  </si>
  <si>
    <t>astro6</t>
  </si>
  <si>
    <t>astro7</t>
  </si>
  <si>
    <t>SEM</t>
  </si>
  <si>
    <t>Vm (mV)</t>
  </si>
  <si>
    <t>N</t>
  </si>
  <si>
    <t>Peak Ikir at -140mV</t>
  </si>
  <si>
    <t>P14</t>
  </si>
  <si>
    <t>Ba2+</t>
  </si>
  <si>
    <t>&lt;0.0001</t>
  </si>
  <si>
    <t>Are the slopes equal?</t>
  </si>
  <si>
    <t>F = 168.4. DFn = 1, DFd = 26</t>
  </si>
  <si>
    <t>If the overall slopes were identical, there is less than a 0.01% chance of randomly choosing</t>
  </si>
  <si>
    <t>data points with slopes this different. You can conclude that the differences between the slopes are</t>
  </si>
  <si>
    <t>extremely significant.</t>
  </si>
  <si>
    <t>Wilcoxon matched-pairs signed rank test</t>
  </si>
  <si>
    <t>P value</t>
  </si>
  <si>
    <t>TTX+cocktail</t>
  </si>
  <si>
    <t>150120 IN1</t>
  </si>
  <si>
    <t>150120 IN2</t>
  </si>
  <si>
    <t>211020 IN1</t>
  </si>
  <si>
    <t>211020 IN2</t>
  </si>
  <si>
    <t>150120 IN4</t>
  </si>
  <si>
    <t>Mann Whitney test</t>
  </si>
  <si>
    <t>Age</t>
  </si>
  <si>
    <t>Rest.Mb.Pot (mV)</t>
  </si>
  <si>
    <t>Astro1</t>
  </si>
  <si>
    <t>Astro2</t>
  </si>
  <si>
    <t>Astro3</t>
  </si>
  <si>
    <t>Astro4</t>
  </si>
  <si>
    <t>Astro5</t>
  </si>
  <si>
    <t>Astro6</t>
  </si>
  <si>
    <t>Astro7</t>
  </si>
  <si>
    <t>Astro8</t>
  </si>
  <si>
    <t>Dunn's multiple comparisons test</t>
  </si>
  <si>
    <t>Significant?</t>
  </si>
  <si>
    <t>Summary</t>
  </si>
  <si>
    <t>Adjusted P Value</t>
  </si>
  <si>
    <t>3 vs. 6</t>
  </si>
  <si>
    <t>No</t>
  </si>
  <si>
    <t>ns</t>
  </si>
  <si>
    <t>3 vs. 9</t>
  </si>
  <si>
    <t>Yes</t>
  </si>
  <si>
    <t>**</t>
  </si>
  <si>
    <t>3 vs. 12</t>
  </si>
  <si>
    <t>****</t>
  </si>
  <si>
    <t>Kruskal-Wallis test Multiple comparisons</t>
  </si>
  <si>
    <t>Šídák's multiple comparisons test</t>
  </si>
  <si>
    <t>Trial1</t>
  </si>
  <si>
    <t>Trial2</t>
  </si>
  <si>
    <t>Trial3</t>
  </si>
  <si>
    <t>*</t>
  </si>
  <si>
    <t>Hb9+ total</t>
  </si>
  <si>
    <t>Hb9+ oscill</t>
  </si>
  <si>
    <t>Hb9 INs</t>
  </si>
  <si>
    <t>oscillatory</t>
  </si>
  <si>
    <t>non oscillatory</t>
  </si>
  <si>
    <t>150120 IN3</t>
  </si>
  <si>
    <t>191020 IN1</t>
  </si>
  <si>
    <t>191020 IN2</t>
  </si>
  <si>
    <t>201020 IN2</t>
  </si>
  <si>
    <t>201020 IN3</t>
  </si>
  <si>
    <t>n=6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</si>
  <si>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</si>
  <si>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 value summary</t>
  </si>
  <si>
    <t>Vm astroTTX</t>
  </si>
  <si>
    <t>Vm astro TTX+cocktail</t>
  </si>
  <si>
    <t>Amplitude (df/f)</t>
  </si>
  <si>
    <t>Duration (ms)</t>
  </si>
  <si>
    <t>Frequency (Events Nb/min)</t>
  </si>
  <si>
    <t>P=0.2947</t>
  </si>
  <si>
    <t>Neuron</t>
  </si>
  <si>
    <t>ACSF K+3mM, Ca2+1.2mM vs K+6mM, Ca2+0.9mM</t>
  </si>
  <si>
    <t>TTX vs TTX+Cocktail</t>
  </si>
  <si>
    <t>Voltage (mV)</t>
  </si>
  <si>
    <t xml:space="preserve"> P12</t>
  </si>
  <si>
    <t xml:space="preserve"> P5</t>
  </si>
  <si>
    <t>Ba2+-sensitive current (pA)</t>
  </si>
  <si>
    <t>Control</t>
  </si>
  <si>
    <t>Intracellular BAPTA</t>
  </si>
  <si>
    <t>astro#1</t>
  </si>
  <si>
    <t>astro#2</t>
  </si>
  <si>
    <t>astro#3</t>
  </si>
  <si>
    <t>astro#4</t>
  </si>
  <si>
    <t>astro#5</t>
  </si>
  <si>
    <t>astro#6</t>
  </si>
  <si>
    <t>astro#7</t>
  </si>
  <si>
    <t>astro#8</t>
  </si>
  <si>
    <t>Hb9:eGFP mice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</si>
  <si>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</si>
  <si>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</si>
  <si>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</si>
  <si>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</si>
  <si>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</si>
  <si>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</si>
  <si>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</si>
  <si>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</si>
  <si>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</si>
  <si>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</si>
  <si>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</si>
  <si>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</si>
  <si>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</si>
  <si>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</si>
  <si>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</si>
  <si>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</si>
  <si>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</si>
  <si>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</si>
  <si>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</si>
  <si>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</si>
  <si>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</si>
  <si>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</si>
  <si>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</si>
  <si>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</si>
  <si>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not tested</t>
  </si>
  <si>
    <t>Frequ. N oscill. (Hz)</t>
  </si>
  <si>
    <t>Bath application of Ba2+ (100uM)</t>
  </si>
  <si>
    <t>tested, no longer bursting under Ba2+</t>
  </si>
  <si>
    <t>n=6/6 no longer bursting under Ba2+</t>
  </si>
  <si>
    <t>n=9/9 no longer bursting under Ba2+</t>
  </si>
  <si>
    <t>Total ROIs</t>
  </si>
  <si>
    <t>n=2</t>
  </si>
  <si>
    <t>n=7</t>
  </si>
  <si>
    <t>n=1</t>
  </si>
  <si>
    <t>Oscillatory aCSF</t>
  </si>
  <si>
    <t>n=0</t>
  </si>
  <si>
    <t>n=3</t>
  </si>
  <si>
    <t>n=12</t>
  </si>
  <si>
    <t>n=10</t>
  </si>
  <si>
    <t>n=25</t>
  </si>
  <si>
    <t>Still oscillating under Ba2+</t>
  </si>
  <si>
    <t>No longer oscillating under Ba2+</t>
  </si>
  <si>
    <t>68 / UG / ROI:{d260ca9f-212d-4cc0-98d3-cbe8c5e31022} [scalar]</t>
  </si>
  <si>
    <t>***</t>
  </si>
  <si>
    <t>Vrest standard aCSF (mV)</t>
  </si>
  <si>
    <t>Rin standard aCSF (pA)</t>
  </si>
  <si>
    <t>IN25</t>
  </si>
  <si>
    <t>IN26</t>
  </si>
  <si>
    <t>IN27</t>
  </si>
  <si>
    <t>IN28</t>
  </si>
  <si>
    <t>IN29</t>
  </si>
  <si>
    <t>IN30</t>
  </si>
  <si>
    <t>Vrest (mV)</t>
  </si>
  <si>
    <t>Ampl Oscill. (mV)</t>
  </si>
  <si>
    <t>Duration  Oscill. (s)</t>
  </si>
  <si>
    <t>Frequency Oscill  (Hz)</t>
  </si>
  <si>
    <t>Oscillating INs (%)</t>
  </si>
  <si>
    <t>Not Oscillating INs (%)</t>
  </si>
  <si>
    <t>Oscillating INs (nb)</t>
  </si>
  <si>
    <t>Not Oscillating INs (nb)</t>
  </si>
  <si>
    <t>Oscillations induced by TTX+Cocktail</t>
  </si>
  <si>
    <t>P3</t>
  </si>
  <si>
    <t>mouse#1 P14</t>
  </si>
  <si>
    <t>mouse#2 P14</t>
  </si>
  <si>
    <t>mouse#3 P14</t>
  </si>
  <si>
    <t>mouse#4 P14</t>
  </si>
  <si>
    <t>mouse#5 P14</t>
  </si>
  <si>
    <t>mouse#6 P14</t>
  </si>
  <si>
    <t>mouse#7 P14</t>
  </si>
  <si>
    <t>mouse#8 P14</t>
  </si>
  <si>
    <t>mouse#9 P14</t>
  </si>
  <si>
    <t>mouse#10 P18</t>
  </si>
  <si>
    <t>mouse#11 P18</t>
  </si>
  <si>
    <t>mouse#12 P18</t>
  </si>
  <si>
    <t>mouse#13 P18</t>
  </si>
  <si>
    <t>mouse#14 P18</t>
  </si>
  <si>
    <t>Mean latency to fall (s)</t>
  </si>
  <si>
    <t>ShLuci vs ShKir</t>
  </si>
  <si>
    <t>Mobility (%)</t>
  </si>
  <si>
    <t>astro8</t>
  </si>
  <si>
    <t>astro9</t>
  </si>
  <si>
    <t>astro10</t>
  </si>
  <si>
    <t>astro11</t>
  </si>
  <si>
    <t>astro12</t>
  </si>
  <si>
    <t>astro13</t>
  </si>
  <si>
    <t>astro14</t>
  </si>
  <si>
    <t>Kir4.1-ShRNA n=14 astrocytes from 4 mice</t>
  </si>
  <si>
    <t xml:space="preserve">MEAN </t>
  </si>
  <si>
    <t xml:space="preserve">SEM </t>
  </si>
  <si>
    <t>Current (pA)</t>
  </si>
  <si>
    <t>Ctrl-ShRNA</t>
  </si>
  <si>
    <t>Kir4.1-ShRNA</t>
  </si>
  <si>
    <t>Linear Regression Comp.</t>
  </si>
  <si>
    <t>Ba2+-sensitive current at -140mV</t>
  </si>
  <si>
    <t>Ba2+-sensitive Current (pA)</t>
  </si>
  <si>
    <t>F = 86.40. DFn = 1, DFd = 175</t>
  </si>
  <si>
    <t>Test</t>
  </si>
  <si>
    <t>Fisher's exact test</t>
  </si>
  <si>
    <t>One- or two-sided</t>
  </si>
  <si>
    <t>Two-sided</t>
  </si>
  <si>
    <t>Statistically significant (P &lt; 0.05)?</t>
  </si>
  <si>
    <t>astro 1</t>
  </si>
  <si>
    <t>astro 2</t>
  </si>
  <si>
    <t>astro 3</t>
  </si>
  <si>
    <t>astro 4</t>
  </si>
  <si>
    <t>astro 5</t>
  </si>
  <si>
    <t>astro 6</t>
  </si>
  <si>
    <t>astro 7</t>
  </si>
  <si>
    <t>astro 8</t>
  </si>
  <si>
    <t>astro 9</t>
  </si>
  <si>
    <t>astro 10</t>
  </si>
  <si>
    <t>astro 11</t>
  </si>
  <si>
    <t>astro 12</t>
  </si>
  <si>
    <t>astro 13</t>
  </si>
  <si>
    <t>astro 14</t>
  </si>
  <si>
    <t>astro 15</t>
  </si>
  <si>
    <t>astro 16</t>
  </si>
  <si>
    <t>astro 17</t>
  </si>
  <si>
    <t>astro 18</t>
  </si>
  <si>
    <t>astro 19</t>
  </si>
  <si>
    <t>astro 20</t>
  </si>
  <si>
    <t>astro 21</t>
  </si>
  <si>
    <t>astro 22</t>
  </si>
  <si>
    <t>astro 23</t>
  </si>
  <si>
    <t>astro 24</t>
  </si>
  <si>
    <t>astro 25</t>
  </si>
  <si>
    <t>astro 26</t>
  </si>
  <si>
    <t>astro 27</t>
  </si>
  <si>
    <t>astro 28</t>
  </si>
  <si>
    <t>GFP(+)</t>
  </si>
  <si>
    <t>MNs</t>
  </si>
  <si>
    <t>Label</t>
  </si>
  <si>
    <t>size (um2)</t>
  </si>
  <si>
    <t>MNP9(+)</t>
  </si>
  <si>
    <t>MMP9(+)</t>
  </si>
  <si>
    <t>Test for normal distribution</t>
  </si>
  <si>
    <t>Shapiro-Wilk test</t>
  </si>
  <si>
    <t>W</t>
  </si>
  <si>
    <t>Passed normality test (alpha=0.05)?</t>
  </si>
  <si>
    <t>Number of values</t>
  </si>
  <si>
    <t>Unpaired t test</t>
  </si>
  <si>
    <t>Significantly different (P &lt; 0.05)?</t>
  </si>
  <si>
    <t>ROI#1</t>
  </si>
  <si>
    <t>ROI#2</t>
  </si>
  <si>
    <t>ROI#3</t>
  </si>
  <si>
    <t>ROI#4</t>
  </si>
  <si>
    <t>ROI#5</t>
  </si>
  <si>
    <t>ROI#6</t>
  </si>
  <si>
    <t>ROI#7</t>
  </si>
  <si>
    <t>ROI#8</t>
  </si>
  <si>
    <t>ROI#9</t>
  </si>
  <si>
    <t>ROI#10</t>
  </si>
  <si>
    <t>ROI#11</t>
  </si>
  <si>
    <t>standard aCSF</t>
  </si>
  <si>
    <t>oscill. aCSF</t>
  </si>
  <si>
    <t>Oscill. aCSF</t>
  </si>
  <si>
    <t>Vrest Astro. (mV)</t>
  </si>
  <si>
    <t>Rin Astro. (Mohm)</t>
  </si>
  <si>
    <t>Neuronal oscill. in oscill. aCSF</t>
  </si>
  <si>
    <t>Neuronal oscill. in TTX + Neuromodulator Cocktail</t>
  </si>
  <si>
    <t>TTX+ Cocktail</t>
  </si>
  <si>
    <t>Cocktail</t>
  </si>
  <si>
    <t xml:space="preserve"> +Barium</t>
  </si>
  <si>
    <t>Oscill. induced by K+6mM Ca2+0.9mM</t>
  </si>
  <si>
    <t>Delta Rest.Mb.Pot (mV)</t>
  </si>
  <si>
    <t>Vrest TTX+cocktail</t>
  </si>
  <si>
    <t>Vrest TTX</t>
  </si>
  <si>
    <r>
      <t>[K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mM</t>
    </r>
  </si>
  <si>
    <t xml:space="preserve">aCSF </t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</si>
  <si>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transients</t>
    </r>
  </si>
  <si>
    <t>Neuronal</t>
  </si>
  <si>
    <t>n=12 astrocytes from 3 mice</t>
  </si>
  <si>
    <t>n=14 astrocytes from 4 mice</t>
  </si>
  <si>
    <t>n=6 astrocytes from 2 mice</t>
  </si>
  <si>
    <t>cell body cross-sectional area (um2)</t>
  </si>
  <si>
    <t>Vm astro standard aCSF</t>
  </si>
  <si>
    <t>Vm astro Oscill. aCSF</t>
  </si>
  <si>
    <t>Fig. 1c</t>
  </si>
  <si>
    <t>Fig. S1b,c</t>
  </si>
  <si>
    <t>Fig. 1e</t>
  </si>
  <si>
    <t>Fig. 2d</t>
  </si>
  <si>
    <t>Fig. 3b</t>
  </si>
  <si>
    <t>Fig. 3c</t>
  </si>
  <si>
    <t>Fig. 3d</t>
  </si>
  <si>
    <t>Fig. 4b</t>
  </si>
  <si>
    <t>Fig. 4d</t>
  </si>
  <si>
    <t>Fig. 4f</t>
  </si>
  <si>
    <t>Fig. 6c,d</t>
  </si>
  <si>
    <t>Fig. 6f</t>
  </si>
  <si>
    <t>Fig. 6g</t>
  </si>
  <si>
    <t>Fig. S2c</t>
  </si>
  <si>
    <t>Fig. 7d</t>
  </si>
  <si>
    <t>Fig. 7f</t>
  </si>
  <si>
    <t>Fig. 8c</t>
  </si>
  <si>
    <t>Fig. 8f</t>
  </si>
  <si>
    <t>Fig. 8i</t>
  </si>
  <si>
    <t>Fig. 8j</t>
  </si>
  <si>
    <t>Fig. S3c</t>
  </si>
  <si>
    <t>Fig. S3e</t>
  </si>
  <si>
    <t>Fig. S3f</t>
  </si>
  <si>
    <t>Fig. S3h</t>
  </si>
  <si>
    <t>Fig. S3i</t>
  </si>
  <si>
    <t>Fig. 9d</t>
  </si>
  <si>
    <t>Fig. 9e</t>
  </si>
  <si>
    <t>Fig. 9f</t>
  </si>
  <si>
    <t>Fig. S5b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</si>
</sst>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</font>
    <font>
      <sz val="11"/>
      <name val="Calibri"/>
      <family val="2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8"/>
      <name val="Helvetica"/>
    </font>
    <font>
      <i/>
      <sz val="10"/>
      <color rgb="FF0000FF"/>
      <name val="Arial"/>
    </font>
    <font>
      <sz val="11"/>
      <name val="Calibri"/>
      <family val="2"/>
      <scheme val="minor"/>
    </font>
    <font>
      <i/>
      <sz val="10"/>
      <name val="Arial"/>
    </font>
    <font>
      <sz val="12"/>
      <color indexed="8"/>
      <name val="Helvetica"/>
    </font>
    <font>
      <sz val="9"/>
      <name val="Arial"/>
    </font>
    <font>
      <b/>
      <sz val="10"/>
      <name val="Arial"/>
      <family val="2"/>
    </font>
    <font>
      <sz val="11"/>
      <name val="Arial"/>
    </font>
    <font>
      <sz val="9"/>
      <color rgb="FFFF000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8">
    <xf numFmtId="0" fontId="0" fillId="0" borderId="0" xfId="0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14" fontId="0" fillId="0" borderId="0" xfId="0" applyNumberFormat="1"/>
    <xf numFmtId="0" fontId="0" fillId="7" borderId="0" xfId="0" applyFill="1"/>
    <xf numFmtId="0" fontId="2" fillId="4" borderId="0" xfId="0" applyFont="1" applyFill="1"/>
    <xf numFmtId="0" fontId="0" fillId="0" borderId="0" xfId="0" applyFont="1" applyFill="1"/>
    <xf numFmtId="0" fontId="10" fillId="0" borderId="0" xfId="0" applyFont="1" applyFill="1"/>
    <xf numFmtId="0" fontId="10" fillId="0" borderId="0" xfId="0" applyFont="1"/>
    <xf numFmtId="0" fontId="0" fillId="0" borderId="0" xfId="0"/>
    <xf numFmtId="0" fontId="0" fillId="0" borderId="0" xfId="0" applyFill="1" applyBorder="1"/>
    <xf numFmtId="0" fontId="0" fillId="0" borderId="0" xfId="0"/>
    <xf numFmtId="0" fontId="12" fillId="0" borderId="0" xfId="0" applyFont="1"/>
    <xf numFmtId="0" fontId="5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 applyNumberFormat="1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10" borderId="0" xfId="0" applyFill="1"/>
    <xf numFmtId="0" fontId="0" fillId="10" borderId="0" xfId="0" applyFont="1" applyFill="1"/>
    <xf numFmtId="0" fontId="7" fillId="1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10" borderId="0" xfId="0" applyFont="1" applyFill="1"/>
    <xf numFmtId="0" fontId="2" fillId="10" borderId="0" xfId="0" applyFont="1" applyFill="1"/>
    <xf numFmtId="0" fontId="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 applyFont="1" applyFill="1"/>
    <xf numFmtId="0" fontId="3" fillId="0" borderId="0" xfId="0" applyFont="1" applyFill="1"/>
    <xf numFmtId="0" fontId="5" fillId="0" borderId="0" xfId="0" applyFont="1" applyFill="1"/>
    <xf numFmtId="0" fontId="1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49" fontId="0" fillId="0" borderId="0" xfId="0" applyNumberFormat="1" applyFont="1" applyFill="1" applyBorder="1" applyAlignment="1">
      <alignment vertical="top" wrapText="1"/>
    </xf>
    <xf numFmtId="0" fontId="18" fillId="0" borderId="0" xfId="0" applyFont="1"/>
    <xf numFmtId="0" fontId="2" fillId="0" borderId="0" xfId="0" applyFont="1" applyFill="1"/>
    <xf numFmtId="0" fontId="2" fillId="0" borderId="0" xfId="0" applyFont="1"/>
    <xf numFmtId="0" fontId="19" fillId="0" borderId="0" xfId="0" applyFont="1" applyFill="1"/>
    <xf numFmtId="0" fontId="20" fillId="0" borderId="0" xfId="0" applyFont="1"/>
    <xf numFmtId="0" fontId="0" fillId="0" borderId="0" xfId="0" applyNumberFormat="1" applyFont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49" fontId="11" fillId="0" borderId="0" xfId="0" applyNumberFormat="1" applyFont="1" applyFill="1" applyBorder="1" applyAlignment="1">
      <alignment vertical="top" wrapText="1"/>
    </xf>
    <xf numFmtId="49" fontId="3" fillId="3" borderId="0" xfId="0" applyNumberFormat="1" applyFont="1" applyFill="1" applyBorder="1" applyAlignment="1">
      <alignment vertical="top" wrapText="1"/>
    </xf>
    <xf numFmtId="0" fontId="0" fillId="3" borderId="0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9" fontId="11" fillId="9" borderId="0" xfId="0" applyNumberFormat="1" applyFont="1" applyFill="1" applyBorder="1" applyAlignment="1">
      <alignment vertical="top" wrapText="1"/>
    </xf>
    <xf numFmtId="0" fontId="0" fillId="7" borderId="0" xfId="0" applyFill="1" applyBorder="1"/>
    <xf numFmtId="0" fontId="0" fillId="0" borderId="0" xfId="0" applyNumberFormat="1" applyFont="1" applyFill="1" applyBorder="1" applyAlignment="1">
      <alignment vertical="top" wrapText="1"/>
    </xf>
    <xf numFmtId="0" fontId="0" fillId="4" borderId="0" xfId="0" applyFill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20 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/>
  </sheetViews>
  <sheetFormatPr baseColWidth="10" defaultRowHeight="14.4" x14ac:dyDescent="0.3"/>
  <cols>
    <col min="1" max="1" width="35.77734375" customWidth="1"/>
    <col min="3" max="3" width="21.77734375" customWidth="1"/>
    <col min="4" max="4" width="20" customWidth="1"/>
  </cols>
  <sheetData>
    <row r="1" spans="1:5" x14ac:dyDescent="0.3">
      <c r="A1" s="70" t="s">
        <v>643</v>
      </c>
      <c r="B1" s="71" t="s">
        <v>0</v>
      </c>
      <c r="C1" s="71" t="s">
        <v>641</v>
      </c>
      <c r="D1" s="71" t="s">
        <v>642</v>
      </c>
      <c r="E1" s="71" t="s">
        <v>14</v>
      </c>
    </row>
    <row r="2" spans="1:5" x14ac:dyDescent="0.3">
      <c r="A2" s="71" t="s">
        <v>7</v>
      </c>
      <c r="B2" s="71" t="s">
        <v>5</v>
      </c>
      <c r="C2" s="71">
        <v>-90.4</v>
      </c>
      <c r="D2" s="71">
        <v>-71.31</v>
      </c>
      <c r="E2" s="71">
        <v>19.090000000000003</v>
      </c>
    </row>
    <row r="3" spans="1:5" x14ac:dyDescent="0.3">
      <c r="A3" s="71" t="s">
        <v>8</v>
      </c>
      <c r="B3" s="71" t="s">
        <v>1</v>
      </c>
      <c r="C3" s="71">
        <v>-96.77000000000001</v>
      </c>
      <c r="D3" s="71">
        <v>-76.100000000000009</v>
      </c>
      <c r="E3" s="71">
        <v>20.67</v>
      </c>
    </row>
    <row r="4" spans="1:5" x14ac:dyDescent="0.3">
      <c r="A4" s="71" t="s">
        <v>8</v>
      </c>
      <c r="B4" s="71" t="s">
        <v>1</v>
      </c>
      <c r="C4" s="71">
        <v>-93.660000000000011</v>
      </c>
      <c r="D4" s="71">
        <v>-79.580000000000013</v>
      </c>
      <c r="E4" s="71">
        <v>14.079999999999998</v>
      </c>
    </row>
    <row r="5" spans="1:5" x14ac:dyDescent="0.3">
      <c r="A5" s="71" t="s">
        <v>9</v>
      </c>
      <c r="B5" s="71" t="s">
        <v>2</v>
      </c>
      <c r="C5" s="71">
        <v>-87.89</v>
      </c>
      <c r="D5" s="71">
        <v>-72.89</v>
      </c>
      <c r="E5" s="71">
        <v>15</v>
      </c>
    </row>
    <row r="6" spans="1:5" x14ac:dyDescent="0.3">
      <c r="A6" s="71" t="s">
        <v>9</v>
      </c>
      <c r="B6" s="71" t="s">
        <v>2</v>
      </c>
      <c r="C6" s="71">
        <v>-88</v>
      </c>
      <c r="D6" s="71">
        <v>-75.550000000000011</v>
      </c>
      <c r="E6" s="71">
        <v>12.449999999999989</v>
      </c>
    </row>
    <row r="7" spans="1:5" x14ac:dyDescent="0.3">
      <c r="A7" s="71" t="s">
        <v>10</v>
      </c>
      <c r="B7" s="71" t="s">
        <v>5</v>
      </c>
      <c r="C7" s="71">
        <v>-85.29</v>
      </c>
      <c r="D7" s="71">
        <v>-67.22</v>
      </c>
      <c r="E7" s="71">
        <v>18.070000000000007</v>
      </c>
    </row>
    <row r="8" spans="1:5" x14ac:dyDescent="0.3">
      <c r="A8" s="71" t="s">
        <v>10</v>
      </c>
      <c r="B8" s="71" t="s">
        <v>5</v>
      </c>
      <c r="C8" s="71">
        <v>-84.18</v>
      </c>
      <c r="D8" s="71">
        <v>-67.64</v>
      </c>
      <c r="E8" s="71">
        <v>16.540000000000006</v>
      </c>
    </row>
    <row r="9" spans="1:5" x14ac:dyDescent="0.3">
      <c r="A9" s="71" t="s">
        <v>16</v>
      </c>
      <c r="B9" s="71" t="s">
        <v>6</v>
      </c>
      <c r="C9" s="71">
        <v>-78.53</v>
      </c>
      <c r="D9" s="71">
        <v>-68.47</v>
      </c>
      <c r="E9" s="71">
        <v>10.060000000000002</v>
      </c>
    </row>
    <row r="10" spans="1:5" x14ac:dyDescent="0.3">
      <c r="A10" s="71" t="s">
        <v>354</v>
      </c>
      <c r="B10" s="71" t="s">
        <v>13</v>
      </c>
      <c r="C10" s="72">
        <v>-96.4</v>
      </c>
      <c r="D10" s="72">
        <v>-73.400000000000006</v>
      </c>
      <c r="E10" s="71">
        <f t="shared" ref="E10:E16" si="0">D10-C10</f>
        <v>23</v>
      </c>
    </row>
    <row r="11" spans="1:5" x14ac:dyDescent="0.3">
      <c r="A11" s="71" t="s">
        <v>354</v>
      </c>
      <c r="B11" s="71" t="s">
        <v>13</v>
      </c>
      <c r="C11" s="73">
        <v>-88.4</v>
      </c>
      <c r="D11" s="72">
        <v>-77.400000000000006</v>
      </c>
      <c r="E11" s="71">
        <f t="shared" si="0"/>
        <v>11</v>
      </c>
    </row>
    <row r="12" spans="1:5" x14ac:dyDescent="0.3">
      <c r="A12" s="71" t="s">
        <v>355</v>
      </c>
      <c r="B12" s="71" t="s">
        <v>1</v>
      </c>
      <c r="C12" s="73">
        <v>-84.4</v>
      </c>
      <c r="D12" s="72">
        <v>-76.400000000000006</v>
      </c>
      <c r="E12" s="71">
        <f t="shared" si="0"/>
        <v>8</v>
      </c>
    </row>
    <row r="13" spans="1:5" x14ac:dyDescent="0.3">
      <c r="A13" s="71" t="s">
        <v>356</v>
      </c>
      <c r="B13" s="71" t="s">
        <v>2</v>
      </c>
      <c r="C13" s="73">
        <v>-78.400000000000006</v>
      </c>
      <c r="D13" s="72">
        <v>-70.400000000000006</v>
      </c>
      <c r="E13" s="71">
        <f t="shared" si="0"/>
        <v>8</v>
      </c>
    </row>
    <row r="14" spans="1:5" x14ac:dyDescent="0.3">
      <c r="A14" s="71" t="s">
        <v>357</v>
      </c>
      <c r="B14" s="71" t="s">
        <v>305</v>
      </c>
      <c r="C14" s="73">
        <v>-86.4</v>
      </c>
      <c r="D14" s="72">
        <v>-77.400000000000006</v>
      </c>
      <c r="E14" s="71">
        <f t="shared" si="0"/>
        <v>9</v>
      </c>
    </row>
    <row r="15" spans="1:5" x14ac:dyDescent="0.3">
      <c r="A15" s="71" t="s">
        <v>358</v>
      </c>
      <c r="B15" s="71" t="s">
        <v>13</v>
      </c>
      <c r="C15" s="73">
        <v>-94.2</v>
      </c>
      <c r="D15" s="72">
        <v>-84.4</v>
      </c>
      <c r="E15" s="71">
        <f t="shared" si="0"/>
        <v>9.7999999999999972</v>
      </c>
    </row>
    <row r="16" spans="1:5" x14ac:dyDescent="0.3">
      <c r="A16" s="71" t="s">
        <v>359</v>
      </c>
      <c r="B16" s="74" t="s">
        <v>33</v>
      </c>
      <c r="C16" s="73">
        <v>-92.4</v>
      </c>
      <c r="D16" s="72">
        <v>-79.400000000000006</v>
      </c>
      <c r="E16" s="71">
        <f t="shared" si="0"/>
        <v>13</v>
      </c>
    </row>
    <row r="17" spans="1:10" x14ac:dyDescent="0.3">
      <c r="A17" s="71" t="s">
        <v>360</v>
      </c>
      <c r="B17" s="75" t="s">
        <v>33</v>
      </c>
      <c r="C17" s="71">
        <v>-88</v>
      </c>
      <c r="D17" s="71">
        <v>-80.98</v>
      </c>
      <c r="E17" s="71">
        <v>7.019999999999996</v>
      </c>
      <c r="J17" s="20"/>
    </row>
    <row r="18" spans="1:10" x14ac:dyDescent="0.3">
      <c r="A18" s="71" t="s">
        <v>361</v>
      </c>
      <c r="B18" s="75" t="s">
        <v>12</v>
      </c>
      <c r="C18" s="71">
        <v>-95.34</v>
      </c>
      <c r="D18" s="71">
        <v>-78.580000000000013</v>
      </c>
      <c r="E18" s="71">
        <v>16.759999999999991</v>
      </c>
      <c r="J18" s="20"/>
    </row>
    <row r="19" spans="1:10" x14ac:dyDescent="0.3">
      <c r="A19" s="71" t="s">
        <v>362</v>
      </c>
      <c r="B19" s="75" t="s">
        <v>2</v>
      </c>
      <c r="C19" s="71">
        <v>-93.699999999999989</v>
      </c>
      <c r="D19" s="71">
        <v>-81.53</v>
      </c>
      <c r="E19" s="71">
        <v>12.169999999999987</v>
      </c>
      <c r="J19" s="20"/>
    </row>
    <row r="20" spans="1:10" x14ac:dyDescent="0.3">
      <c r="A20" s="71" t="s">
        <v>362</v>
      </c>
      <c r="B20" s="75" t="s">
        <v>2</v>
      </c>
      <c r="C20" s="71">
        <v>-79.25</v>
      </c>
      <c r="D20" s="71">
        <v>-63.5</v>
      </c>
      <c r="E20" s="71">
        <v>15.75</v>
      </c>
      <c r="J20" s="20"/>
    </row>
    <row r="21" spans="1:10" x14ac:dyDescent="0.3">
      <c r="A21" s="71" t="s">
        <v>363</v>
      </c>
      <c r="B21" s="75" t="s">
        <v>13</v>
      </c>
      <c r="C21" s="71">
        <v>-77.98</v>
      </c>
      <c r="D21" s="71">
        <v>-62.84</v>
      </c>
      <c r="E21" s="71">
        <v>15.14</v>
      </c>
      <c r="J21" s="20"/>
    </row>
    <row r="22" spans="1:10" x14ac:dyDescent="0.3">
      <c r="A22" s="71" t="s">
        <v>363</v>
      </c>
      <c r="B22" s="75" t="s">
        <v>13</v>
      </c>
      <c r="C22" s="71">
        <v>-88.26</v>
      </c>
      <c r="D22" s="71">
        <v>-73.820000000000007</v>
      </c>
      <c r="E22" s="71">
        <v>14.439999999999998</v>
      </c>
      <c r="J22" s="20"/>
    </row>
    <row r="23" spans="1:10" x14ac:dyDescent="0.3">
      <c r="A23" s="71" t="s">
        <v>364</v>
      </c>
      <c r="B23" s="75" t="s">
        <v>33</v>
      </c>
      <c r="C23" s="71">
        <v>-81.5</v>
      </c>
      <c r="D23" s="71">
        <v>-63.4</v>
      </c>
      <c r="E23" s="71">
        <v>18.100000000000001</v>
      </c>
      <c r="J23" s="20"/>
    </row>
    <row r="24" spans="1:10" x14ac:dyDescent="0.3">
      <c r="A24" s="71"/>
      <c r="B24" s="71"/>
      <c r="C24" s="71"/>
      <c r="D24" s="71"/>
      <c r="E24" s="71"/>
    </row>
    <row r="25" spans="1:10" x14ac:dyDescent="0.3">
      <c r="A25" s="71"/>
      <c r="B25" s="71"/>
      <c r="C25" s="71"/>
      <c r="D25" s="71"/>
      <c r="E25" s="71"/>
    </row>
    <row r="26" spans="1:10" x14ac:dyDescent="0.3">
      <c r="A26" s="71"/>
      <c r="B26" s="71" t="s">
        <v>15</v>
      </c>
      <c r="C26" s="71">
        <f>AVERAGE(C2:C23)</f>
        <v>-87.697727272727278</v>
      </c>
      <c r="D26" s="71">
        <f>AVERAGE(D2:D23)</f>
        <v>-73.73681818181818</v>
      </c>
      <c r="E26" s="71">
        <f>AVERAGE(E2:E23)</f>
        <v>13.960909090909087</v>
      </c>
    </row>
    <row r="27" spans="1:10" x14ac:dyDescent="0.3">
      <c r="A27" s="71"/>
      <c r="B27" s="71" t="s">
        <v>380</v>
      </c>
      <c r="C27" s="76">
        <v>1.288</v>
      </c>
      <c r="D27" s="76">
        <v>1.3280000000000001</v>
      </c>
      <c r="E27" s="71">
        <f>STDEVA(E2:E23)/SQRT(22)</f>
        <v>0.92932617890200653</v>
      </c>
    </row>
    <row r="28" spans="1:10" x14ac:dyDescent="0.3">
      <c r="A28" s="71"/>
      <c r="B28" s="71"/>
      <c r="C28" s="71"/>
      <c r="D28" s="71"/>
      <c r="E28" s="71"/>
      <c r="F28" s="71"/>
      <c r="G28" s="71"/>
    </row>
    <row r="29" spans="1:10" x14ac:dyDescent="0.3">
      <c r="A29" s="77" t="s">
        <v>392</v>
      </c>
      <c r="E29" s="71"/>
      <c r="F29" s="71"/>
      <c r="G29" s="71"/>
    </row>
    <row r="30" spans="1:10" x14ac:dyDescent="0.3">
      <c r="A30" s="76" t="s">
        <v>393</v>
      </c>
      <c r="B30" s="76" t="s">
        <v>386</v>
      </c>
      <c r="E30" s="71"/>
      <c r="F30" s="71"/>
      <c r="G30" s="71"/>
    </row>
    <row r="31" spans="1:10" x14ac:dyDescent="0.3">
      <c r="A31" s="76" t="s">
        <v>441</v>
      </c>
      <c r="B31" s="76" t="s">
        <v>422</v>
      </c>
      <c r="E31" s="71"/>
      <c r="F31" s="71"/>
      <c r="G31" s="71"/>
    </row>
    <row r="32" spans="1:10" x14ac:dyDescent="0.3">
      <c r="C32" s="76"/>
      <c r="D32" s="71"/>
      <c r="E32" s="71"/>
      <c r="F32" s="71"/>
      <c r="G32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zoomScaleNormal="100" workbookViewId="0"/>
  </sheetViews>
  <sheetFormatPr baseColWidth="10" defaultRowHeight="14.4" x14ac:dyDescent="0.3"/>
  <cols>
    <col min="1" max="4" width="11.5546875" style="1"/>
    <col min="5" max="5" width="19.21875" style="1" customWidth="1"/>
    <col min="6" max="15" width="11.5546875" style="1"/>
  </cols>
  <sheetData>
    <row r="1" spans="1:43" x14ac:dyDescent="0.3">
      <c r="A1" s="70" t="s">
        <v>653</v>
      </c>
      <c r="B1" s="22"/>
      <c r="C1" s="2" t="s">
        <v>465</v>
      </c>
      <c r="D1" s="22" t="s">
        <v>0</v>
      </c>
      <c r="E1" s="2" t="s">
        <v>624</v>
      </c>
    </row>
    <row r="2" spans="1:43" x14ac:dyDescent="0.3">
      <c r="A2" s="1" t="s">
        <v>7</v>
      </c>
      <c r="B2" s="1" t="s">
        <v>466</v>
      </c>
      <c r="C2" s="22" t="s">
        <v>3</v>
      </c>
      <c r="D2" s="22" t="s">
        <v>305</v>
      </c>
      <c r="E2" s="22" t="s">
        <v>3</v>
      </c>
      <c r="P2" s="1"/>
    </row>
    <row r="3" spans="1:43" x14ac:dyDescent="0.3">
      <c r="A3" s="1" t="s">
        <v>8</v>
      </c>
      <c r="B3" s="1" t="s">
        <v>467</v>
      </c>
      <c r="C3" s="22" t="s">
        <v>3</v>
      </c>
      <c r="D3" s="22" t="s">
        <v>11</v>
      </c>
      <c r="E3" s="22" t="s">
        <v>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">
      <c r="A4" s="1" t="s">
        <v>9</v>
      </c>
      <c r="B4" s="1" t="s">
        <v>468</v>
      </c>
      <c r="C4" s="22" t="s">
        <v>3</v>
      </c>
      <c r="D4" s="22" t="s">
        <v>1</v>
      </c>
      <c r="E4" s="22" t="s">
        <v>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37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3">
      <c r="A5" s="1" t="s">
        <v>10</v>
      </c>
      <c r="B5" s="1" t="s">
        <v>469</v>
      </c>
      <c r="C5" s="22" t="s">
        <v>3</v>
      </c>
      <c r="D5" s="22" t="s">
        <v>1</v>
      </c>
      <c r="E5" s="22" t="s">
        <v>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3">
      <c r="A6" s="1" t="s">
        <v>10</v>
      </c>
      <c r="B6" s="1" t="s">
        <v>470</v>
      </c>
      <c r="C6" s="22" t="s">
        <v>3</v>
      </c>
      <c r="D6" s="22" t="s">
        <v>1</v>
      </c>
      <c r="E6" s="22" t="s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3">
      <c r="A7" s="1" t="s">
        <v>16</v>
      </c>
      <c r="B7" s="1" t="s">
        <v>471</v>
      </c>
      <c r="C7" s="22" t="s">
        <v>3</v>
      </c>
      <c r="D7" s="22" t="s">
        <v>1</v>
      </c>
      <c r="E7" s="2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3">
      <c r="A8" s="1" t="s">
        <v>354</v>
      </c>
      <c r="B8" s="1" t="s">
        <v>472</v>
      </c>
      <c r="C8" s="22" t="s">
        <v>3</v>
      </c>
      <c r="D8" s="22" t="s">
        <v>2</v>
      </c>
      <c r="E8" s="22" t="s">
        <v>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1" t="s">
        <v>354</v>
      </c>
      <c r="B9" s="1" t="s">
        <v>473</v>
      </c>
      <c r="C9" s="22" t="s">
        <v>3</v>
      </c>
      <c r="D9" s="22" t="s">
        <v>2</v>
      </c>
      <c r="E9" s="22" t="s">
        <v>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3">
      <c r="A10" s="1" t="s">
        <v>354</v>
      </c>
      <c r="B10" s="1" t="s">
        <v>474</v>
      </c>
      <c r="C10" s="22" t="s">
        <v>3</v>
      </c>
      <c r="D10" s="22" t="s">
        <v>2</v>
      </c>
      <c r="E10" s="22" t="s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3">
      <c r="A11" s="1" t="s">
        <v>354</v>
      </c>
      <c r="B11" s="1" t="s">
        <v>475</v>
      </c>
      <c r="C11" s="22" t="s">
        <v>3</v>
      </c>
      <c r="D11" s="22" t="s">
        <v>2</v>
      </c>
      <c r="E11" s="22" t="s">
        <v>4</v>
      </c>
      <c r="P11" s="37"/>
      <c r="Q11" s="37"/>
      <c r="R11" s="37"/>
      <c r="S11" s="1"/>
      <c r="T11" s="3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7"/>
      <c r="AF11" s="37"/>
      <c r="AG11" s="37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3">
      <c r="A12" s="1" t="s">
        <v>355</v>
      </c>
      <c r="B12" s="1" t="s">
        <v>476</v>
      </c>
      <c r="C12" s="22" t="s">
        <v>3</v>
      </c>
      <c r="D12" s="22" t="s">
        <v>13</v>
      </c>
      <c r="E12" s="22" t="s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3">
      <c r="A13" s="1" t="s">
        <v>355</v>
      </c>
      <c r="B13" s="1" t="s">
        <v>477</v>
      </c>
      <c r="C13" s="22" t="s">
        <v>3</v>
      </c>
      <c r="D13" s="22" t="s">
        <v>13</v>
      </c>
      <c r="E13" s="22" t="s"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3">
      <c r="A14" s="1" t="s">
        <v>355</v>
      </c>
      <c r="B14" s="1" t="s">
        <v>478</v>
      </c>
      <c r="C14" s="22" t="s">
        <v>3</v>
      </c>
      <c r="D14" s="22" t="s">
        <v>13</v>
      </c>
      <c r="E14" s="22" t="s"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3">
      <c r="A15" s="1" t="s">
        <v>356</v>
      </c>
      <c r="B15" s="1" t="s">
        <v>479</v>
      </c>
      <c r="C15" s="22" t="s">
        <v>3</v>
      </c>
      <c r="D15" s="22" t="s">
        <v>6</v>
      </c>
      <c r="E15" s="22" t="s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3">
      <c r="A16" s="1" t="s">
        <v>357</v>
      </c>
      <c r="B16" s="1" t="s">
        <v>480</v>
      </c>
      <c r="C16" s="22" t="s">
        <v>3</v>
      </c>
      <c r="D16" s="22" t="s">
        <v>1</v>
      </c>
      <c r="E16" s="22" t="s">
        <v>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27" x14ac:dyDescent="0.3">
      <c r="A17" s="1" t="s">
        <v>357</v>
      </c>
      <c r="B17" s="1" t="s">
        <v>481</v>
      </c>
      <c r="C17" s="22" t="s">
        <v>3</v>
      </c>
      <c r="D17" s="22" t="s">
        <v>1</v>
      </c>
      <c r="E17" s="22" t="s">
        <v>3</v>
      </c>
      <c r="P17" s="1"/>
    </row>
    <row r="18" spans="1:27" x14ac:dyDescent="0.3">
      <c r="A18" s="1" t="s">
        <v>358</v>
      </c>
      <c r="B18" s="1" t="s">
        <v>482</v>
      </c>
      <c r="C18" s="22" t="s">
        <v>3</v>
      </c>
      <c r="D18" s="22" t="s">
        <v>2</v>
      </c>
      <c r="E18" s="22" t="s">
        <v>4</v>
      </c>
      <c r="P18" s="1"/>
    </row>
    <row r="19" spans="1:27" x14ac:dyDescent="0.3">
      <c r="A19" s="1" t="s">
        <v>358</v>
      </c>
      <c r="B19" s="1" t="s">
        <v>483</v>
      </c>
      <c r="C19" s="22" t="s">
        <v>3</v>
      </c>
      <c r="D19" s="22" t="s">
        <v>2</v>
      </c>
      <c r="E19" s="22" t="s">
        <v>4</v>
      </c>
      <c r="P19" s="1"/>
    </row>
    <row r="20" spans="1:27" x14ac:dyDescent="0.3">
      <c r="A20" s="1" t="s">
        <v>359</v>
      </c>
      <c r="B20" s="1" t="s">
        <v>484</v>
      </c>
      <c r="C20" s="22" t="s">
        <v>3</v>
      </c>
      <c r="D20" s="22" t="s">
        <v>305</v>
      </c>
      <c r="E20" s="22" t="s">
        <v>3</v>
      </c>
      <c r="P20" s="1"/>
    </row>
    <row r="21" spans="1:27" x14ac:dyDescent="0.3">
      <c r="A21" s="1" t="s">
        <v>359</v>
      </c>
      <c r="B21" s="1" t="s">
        <v>485</v>
      </c>
      <c r="C21" s="22" t="s">
        <v>3</v>
      </c>
      <c r="D21" s="22" t="s">
        <v>305</v>
      </c>
      <c r="E21" s="22" t="s">
        <v>3</v>
      </c>
      <c r="P21" s="1"/>
    </row>
    <row r="22" spans="1:27" x14ac:dyDescent="0.3">
      <c r="A22" s="1" t="s">
        <v>360</v>
      </c>
      <c r="B22" s="1" t="s">
        <v>486</v>
      </c>
      <c r="C22" s="22" t="s">
        <v>3</v>
      </c>
      <c r="D22" s="22" t="s">
        <v>33</v>
      </c>
      <c r="E22" s="22" t="s">
        <v>3</v>
      </c>
      <c r="P22" s="1"/>
    </row>
    <row r="23" spans="1:27" x14ac:dyDescent="0.3">
      <c r="A23" s="1" t="s">
        <v>361</v>
      </c>
      <c r="B23" s="1" t="s">
        <v>487</v>
      </c>
      <c r="C23" s="22" t="s">
        <v>3</v>
      </c>
      <c r="D23" s="22" t="s">
        <v>12</v>
      </c>
      <c r="E23" s="22" t="s">
        <v>3</v>
      </c>
      <c r="P23" s="1"/>
    </row>
    <row r="24" spans="1:27" x14ac:dyDescent="0.3">
      <c r="A24" s="1" t="s">
        <v>362</v>
      </c>
      <c r="B24" s="1" t="s">
        <v>488</v>
      </c>
      <c r="C24" s="22" t="s">
        <v>3</v>
      </c>
      <c r="D24" s="22" t="s">
        <v>13</v>
      </c>
      <c r="E24" s="22" t="s">
        <v>3</v>
      </c>
      <c r="P24" s="1"/>
    </row>
    <row r="25" spans="1:27" x14ac:dyDescent="0.3">
      <c r="A25" s="1" t="s">
        <v>362</v>
      </c>
      <c r="B25" s="1" t="s">
        <v>489</v>
      </c>
      <c r="C25" s="1" t="s">
        <v>3</v>
      </c>
      <c r="D25" s="22" t="s">
        <v>13</v>
      </c>
      <c r="E25" s="1" t="s">
        <v>4</v>
      </c>
      <c r="P25" s="1"/>
    </row>
    <row r="26" spans="1:27" x14ac:dyDescent="0.3">
      <c r="D26" s="22"/>
      <c r="P26" s="1"/>
    </row>
    <row r="27" spans="1:27" x14ac:dyDescent="0.3">
      <c r="D27" s="1" t="s">
        <v>429</v>
      </c>
      <c r="E27" s="1">
        <v>24</v>
      </c>
      <c r="O27" s="22"/>
      <c r="P27" s="1"/>
    </row>
    <row r="28" spans="1:27" x14ac:dyDescent="0.3">
      <c r="D28" s="1" t="s">
        <v>430</v>
      </c>
      <c r="E28" s="1">
        <v>16</v>
      </c>
      <c r="O28" s="22"/>
      <c r="P28" s="1"/>
    </row>
    <row r="29" spans="1:27" x14ac:dyDescent="0.3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"/>
    </row>
    <row r="30" spans="1:27" x14ac:dyDescent="0.3">
      <c r="C30" s="22" t="s">
        <v>431</v>
      </c>
      <c r="D30" s="22"/>
      <c r="E30" s="22"/>
      <c r="F30" s="22"/>
      <c r="G30" s="22"/>
      <c r="H30" s="22"/>
      <c r="I30" s="22"/>
      <c r="J30" s="22"/>
      <c r="K30" s="22"/>
      <c r="P30" s="1"/>
    </row>
    <row r="31" spans="1:27" x14ac:dyDescent="0.3">
      <c r="C31" s="22" t="s">
        <v>39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"/>
    </row>
    <row r="32" spans="1:27" x14ac:dyDescent="0.3">
      <c r="C32" s="22" t="s">
        <v>432</v>
      </c>
      <c r="D32" s="22" t="s">
        <v>28</v>
      </c>
      <c r="E32" s="22">
        <f>1600/24</f>
        <v>66.666666666666671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"/>
      <c r="S32" s="2" t="s">
        <v>320</v>
      </c>
      <c r="T32" t="s">
        <v>29</v>
      </c>
      <c r="U32" t="s">
        <v>30</v>
      </c>
      <c r="V32" t="s">
        <v>31</v>
      </c>
      <c r="X32" s="2" t="s">
        <v>25</v>
      </c>
      <c r="Y32" t="s">
        <v>29</v>
      </c>
      <c r="Z32" t="s">
        <v>30</v>
      </c>
      <c r="AA32" t="s">
        <v>31</v>
      </c>
    </row>
    <row r="33" spans="1:27" x14ac:dyDescent="0.3">
      <c r="C33" s="22" t="s">
        <v>433</v>
      </c>
      <c r="D33" s="22" t="s">
        <v>28</v>
      </c>
      <c r="E33" s="22">
        <f>100-E32</f>
        <v>33.333333333333329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"/>
      <c r="R33" t="s">
        <v>314</v>
      </c>
      <c r="S33" t="s">
        <v>32</v>
      </c>
      <c r="T33">
        <v>1.5</v>
      </c>
      <c r="U33">
        <v>12.383333333333333</v>
      </c>
      <c r="V33">
        <v>0.62066666666666659</v>
      </c>
      <c r="Y33">
        <v>0.4</v>
      </c>
      <c r="Z33">
        <v>17.408750000000001</v>
      </c>
      <c r="AA33">
        <v>7.0462500000000006</v>
      </c>
    </row>
    <row r="34" spans="1:27" x14ac:dyDescent="0.3">
      <c r="L34" s="22"/>
      <c r="M34" s="22"/>
      <c r="N34" s="22"/>
      <c r="O34" s="22"/>
      <c r="P34" s="1"/>
      <c r="R34" t="s">
        <v>315</v>
      </c>
      <c r="S34" t="s">
        <v>32</v>
      </c>
      <c r="T34">
        <v>0.16</v>
      </c>
      <c r="U34">
        <v>29.043749999999999</v>
      </c>
      <c r="V34">
        <v>6.7437499999999995</v>
      </c>
      <c r="Y34">
        <v>0.08</v>
      </c>
      <c r="Z34">
        <v>38.805</v>
      </c>
      <c r="AA34">
        <v>11.4975</v>
      </c>
    </row>
    <row r="35" spans="1:27" x14ac:dyDescent="0.3">
      <c r="L35" s="22"/>
      <c r="M35" s="22"/>
      <c r="N35" s="22"/>
      <c r="O35" s="22"/>
      <c r="P35" s="1"/>
      <c r="R35" t="s">
        <v>316</v>
      </c>
      <c r="S35" t="s">
        <v>32</v>
      </c>
      <c r="T35">
        <v>1.1000000000000001</v>
      </c>
      <c r="U35">
        <v>7.2354545454545445</v>
      </c>
      <c r="V35">
        <v>0.64363636363636367</v>
      </c>
      <c r="Y35">
        <v>0.11666666666666667</v>
      </c>
      <c r="Z35">
        <v>11.845714285714283</v>
      </c>
      <c r="AA35">
        <v>4.1342857142857143</v>
      </c>
    </row>
    <row r="36" spans="1:27" x14ac:dyDescent="0.3">
      <c r="C36" s="2" t="s">
        <v>621</v>
      </c>
      <c r="D36" s="2" t="s">
        <v>621</v>
      </c>
      <c r="E36" s="2" t="s">
        <v>621</v>
      </c>
      <c r="F36" s="2"/>
      <c r="P36" s="1"/>
      <c r="R36" t="s">
        <v>317</v>
      </c>
      <c r="S36" t="s">
        <v>321</v>
      </c>
      <c r="T36">
        <v>2</v>
      </c>
      <c r="U36">
        <v>6.1763636363636358</v>
      </c>
      <c r="V36">
        <v>0.39909090909090916</v>
      </c>
    </row>
    <row r="37" spans="1:27" x14ac:dyDescent="0.3">
      <c r="C37" s="2" t="s">
        <v>491</v>
      </c>
      <c r="D37" s="2" t="s">
        <v>30</v>
      </c>
      <c r="E37" s="2" t="s">
        <v>31</v>
      </c>
      <c r="F37" s="2" t="s">
        <v>492</v>
      </c>
      <c r="P37" s="1"/>
      <c r="R37" t="s">
        <v>318</v>
      </c>
      <c r="S37" t="s">
        <v>321</v>
      </c>
      <c r="T37">
        <v>0.5</v>
      </c>
      <c r="U37">
        <v>32.382999999999996</v>
      </c>
      <c r="V37">
        <v>1.274</v>
      </c>
      <c r="Y37">
        <v>0.06</v>
      </c>
      <c r="Z37">
        <v>36.815000000000005</v>
      </c>
      <c r="AA37">
        <v>12.458333333333334</v>
      </c>
    </row>
    <row r="38" spans="1:27" x14ac:dyDescent="0.3">
      <c r="A38" s="1" t="s">
        <v>7</v>
      </c>
      <c r="B38" s="1" t="s">
        <v>466</v>
      </c>
      <c r="C38" s="22">
        <v>0.05</v>
      </c>
      <c r="D38" s="22">
        <v>4.546666666666666</v>
      </c>
      <c r="E38" s="22">
        <v>2.56</v>
      </c>
      <c r="F38" s="1" t="s">
        <v>493</v>
      </c>
      <c r="P38" s="1"/>
    </row>
    <row r="39" spans="1:27" x14ac:dyDescent="0.3">
      <c r="A39" s="1" t="s">
        <v>8</v>
      </c>
      <c r="B39" s="1" t="s">
        <v>467</v>
      </c>
      <c r="C39" s="22">
        <v>0.91531980454566764</v>
      </c>
      <c r="D39" s="22">
        <v>6.9701604231809897</v>
      </c>
      <c r="E39" s="22">
        <v>8.99613646477221</v>
      </c>
      <c r="F39" s="1" t="s">
        <v>493</v>
      </c>
      <c r="O39" s="22"/>
      <c r="P39" s="22"/>
      <c r="Q39" s="22"/>
      <c r="R39" s="22"/>
      <c r="S39" s="22"/>
      <c r="T39">
        <f>AVERAGE(T33:T37)</f>
        <v>1.052</v>
      </c>
      <c r="U39">
        <f>AVERAGE(U33:U37)</f>
        <v>17.4443803030303</v>
      </c>
      <c r="V39">
        <f>AVERAGE(V33:V37)</f>
        <v>1.9362287878787874</v>
      </c>
      <c r="Y39">
        <f>AVERAGE(Y33:Y37)</f>
        <v>0.16416666666666668</v>
      </c>
      <c r="Z39">
        <f>AVERAGE(Z33:Z37)</f>
        <v>26.218616071428571</v>
      </c>
      <c r="AA39">
        <f>AVERAGE(AA33:AA37)</f>
        <v>8.7840922619047621</v>
      </c>
    </row>
    <row r="40" spans="1:27" x14ac:dyDescent="0.3">
      <c r="A40" s="1" t="s">
        <v>9</v>
      </c>
      <c r="B40" s="1" t="s">
        <v>468</v>
      </c>
      <c r="C40" s="22"/>
      <c r="D40" s="22"/>
      <c r="E40" s="22"/>
      <c r="F40" s="1" t="s">
        <v>490</v>
      </c>
      <c r="O40" s="22"/>
      <c r="P40" s="22"/>
      <c r="Q40" s="22"/>
      <c r="R40" s="22"/>
      <c r="S40" s="22"/>
    </row>
    <row r="41" spans="1:27" x14ac:dyDescent="0.3">
      <c r="A41" s="1" t="s">
        <v>10</v>
      </c>
      <c r="B41" s="1" t="s">
        <v>469</v>
      </c>
      <c r="C41" s="22"/>
      <c r="D41" s="22"/>
      <c r="E41" s="22"/>
      <c r="F41" s="1" t="s">
        <v>490</v>
      </c>
      <c r="O41" s="22"/>
      <c r="P41" s="22"/>
      <c r="Q41" s="22"/>
      <c r="R41" s="22"/>
      <c r="S41" s="22"/>
    </row>
    <row r="42" spans="1:27" x14ac:dyDescent="0.3">
      <c r="A42" s="1" t="s">
        <v>10</v>
      </c>
      <c r="B42" s="1" t="s">
        <v>470</v>
      </c>
      <c r="C42" s="22">
        <v>0.27500000000000002</v>
      </c>
      <c r="D42" s="22">
        <v>5</v>
      </c>
      <c r="E42" s="22">
        <v>1.35</v>
      </c>
      <c r="F42" s="1" t="s">
        <v>490</v>
      </c>
      <c r="O42" s="22"/>
      <c r="P42" s="22"/>
      <c r="Q42" s="22"/>
      <c r="R42" s="22"/>
      <c r="S42" s="22"/>
    </row>
    <row r="43" spans="1:27" x14ac:dyDescent="0.3">
      <c r="A43" s="1" t="s">
        <v>16</v>
      </c>
      <c r="B43" s="1" t="s">
        <v>471</v>
      </c>
      <c r="C43" s="22">
        <v>0.36794738673766847</v>
      </c>
      <c r="D43" s="22">
        <v>7.1201722851266673</v>
      </c>
      <c r="E43" s="22">
        <v>2.2000000000000002</v>
      </c>
      <c r="F43" s="1" t="s">
        <v>493</v>
      </c>
      <c r="O43" s="22"/>
      <c r="P43" s="22"/>
      <c r="Q43" s="22"/>
      <c r="R43" s="22"/>
      <c r="S43" s="22"/>
    </row>
    <row r="44" spans="1:27" x14ac:dyDescent="0.3">
      <c r="A44" s="1" t="s">
        <v>354</v>
      </c>
      <c r="B44" s="1" t="s">
        <v>472</v>
      </c>
      <c r="C44" s="22">
        <v>0.53085350553194655</v>
      </c>
      <c r="D44" s="22">
        <v>5.9313309972102797</v>
      </c>
      <c r="E44" s="22">
        <v>0.96836496030367303</v>
      </c>
      <c r="F44" s="1" t="s">
        <v>493</v>
      </c>
      <c r="O44" s="22"/>
      <c r="P44" s="22"/>
      <c r="Q44" s="22"/>
      <c r="R44" s="22"/>
      <c r="S44" s="22"/>
    </row>
    <row r="45" spans="1:27" x14ac:dyDescent="0.3">
      <c r="A45" s="1" t="s">
        <v>354</v>
      </c>
      <c r="B45" s="1" t="s">
        <v>473</v>
      </c>
      <c r="C45" s="22">
        <v>0.1</v>
      </c>
      <c r="D45" s="22">
        <v>10.616856363084541</v>
      </c>
      <c r="E45" s="22">
        <v>7.0793374565972202</v>
      </c>
      <c r="F45" s="1" t="s">
        <v>493</v>
      </c>
      <c r="O45" s="22"/>
      <c r="P45" s="22"/>
      <c r="Q45" s="22"/>
      <c r="R45" s="22"/>
      <c r="S45" s="22"/>
    </row>
    <row r="46" spans="1:27" x14ac:dyDescent="0.3">
      <c r="A46" s="1" t="s">
        <v>354</v>
      </c>
      <c r="B46" s="1" t="s">
        <v>474</v>
      </c>
      <c r="C46" s="22"/>
      <c r="D46" s="22"/>
      <c r="E46" s="22"/>
      <c r="F46" s="1" t="s">
        <v>490</v>
      </c>
      <c r="O46" s="22"/>
      <c r="P46" s="22"/>
      <c r="Q46" s="22"/>
      <c r="R46" s="22"/>
      <c r="S46" s="22"/>
    </row>
    <row r="47" spans="1:27" x14ac:dyDescent="0.3">
      <c r="A47" s="1" t="s">
        <v>354</v>
      </c>
      <c r="B47" s="1" t="s">
        <v>475</v>
      </c>
      <c r="C47" s="22"/>
      <c r="D47" s="22"/>
      <c r="E47" s="22"/>
      <c r="F47" s="1" t="s">
        <v>490</v>
      </c>
      <c r="O47" s="22"/>
      <c r="P47" s="22"/>
      <c r="Q47" s="22"/>
      <c r="R47" s="22"/>
      <c r="S47" s="22"/>
    </row>
    <row r="48" spans="1:27" x14ac:dyDescent="0.3">
      <c r="A48" s="1" t="s">
        <v>355</v>
      </c>
      <c r="B48" s="1" t="s">
        <v>476</v>
      </c>
      <c r="C48" s="22"/>
      <c r="D48" s="22"/>
      <c r="E48" s="22"/>
      <c r="F48" s="1" t="s">
        <v>490</v>
      </c>
      <c r="O48" s="22"/>
      <c r="P48" s="22"/>
      <c r="Q48" s="22"/>
      <c r="R48" s="22"/>
      <c r="S48" s="22"/>
    </row>
    <row r="49" spans="1:19" x14ac:dyDescent="0.3">
      <c r="A49" s="1" t="s">
        <v>355</v>
      </c>
      <c r="B49" s="1" t="s">
        <v>477</v>
      </c>
      <c r="C49" s="22">
        <v>0.27328377787494545</v>
      </c>
      <c r="D49" s="22">
        <v>8.2680000000000007</v>
      </c>
      <c r="E49" s="22">
        <v>5.37</v>
      </c>
      <c r="F49" s="1" t="s">
        <v>493</v>
      </c>
      <c r="O49" s="22"/>
      <c r="P49" s="22"/>
      <c r="Q49" s="22"/>
      <c r="R49" s="22"/>
      <c r="S49" s="22"/>
    </row>
    <row r="50" spans="1:19" x14ac:dyDescent="0.3">
      <c r="A50" s="1" t="s">
        <v>355</v>
      </c>
      <c r="B50" s="1" t="s">
        <v>478</v>
      </c>
      <c r="C50" s="22">
        <v>0.46851178628427004</v>
      </c>
      <c r="D50" s="22">
        <v>6.4269405162179574</v>
      </c>
      <c r="E50" s="22">
        <v>1.345</v>
      </c>
      <c r="F50" s="1" t="s">
        <v>493</v>
      </c>
      <c r="O50" s="22"/>
      <c r="P50" s="22"/>
      <c r="Q50" s="22"/>
      <c r="R50" s="22"/>
      <c r="S50" s="22"/>
    </row>
    <row r="51" spans="1:19" x14ac:dyDescent="0.3">
      <c r="A51" s="1" t="s">
        <v>356</v>
      </c>
      <c r="B51" s="1" t="s">
        <v>479</v>
      </c>
      <c r="C51" s="22">
        <v>0.1</v>
      </c>
      <c r="D51" s="22">
        <v>7.5</v>
      </c>
      <c r="E51" s="22">
        <v>10.5</v>
      </c>
      <c r="F51" s="1" t="s">
        <v>490</v>
      </c>
      <c r="O51" s="22"/>
      <c r="P51" s="22"/>
      <c r="Q51" s="22"/>
      <c r="R51" s="22"/>
      <c r="S51" s="22"/>
    </row>
    <row r="52" spans="1:19" x14ac:dyDescent="0.3">
      <c r="A52" s="1" t="s">
        <v>357</v>
      </c>
      <c r="B52" s="1" t="s">
        <v>480</v>
      </c>
      <c r="C52" s="22">
        <v>0.1</v>
      </c>
      <c r="D52" s="22">
        <v>8.9633333333333329</v>
      </c>
      <c r="E52" s="22">
        <v>0.78666666666666663</v>
      </c>
      <c r="F52" s="1" t="s">
        <v>490</v>
      </c>
      <c r="O52" s="22"/>
      <c r="P52" s="22"/>
      <c r="Q52" s="22"/>
      <c r="R52" s="22"/>
      <c r="S52" s="22"/>
    </row>
    <row r="53" spans="1:19" x14ac:dyDescent="0.3">
      <c r="A53" s="1" t="s">
        <v>357</v>
      </c>
      <c r="B53" s="1" t="s">
        <v>481</v>
      </c>
      <c r="C53" s="22">
        <v>0.1</v>
      </c>
      <c r="D53" s="22">
        <v>8.36</v>
      </c>
      <c r="E53" s="22">
        <v>1.5</v>
      </c>
      <c r="F53" s="1" t="s">
        <v>490</v>
      </c>
      <c r="O53" s="22"/>
      <c r="P53" s="22"/>
      <c r="Q53" s="22"/>
      <c r="R53" s="22"/>
      <c r="S53" s="22"/>
    </row>
    <row r="54" spans="1:19" x14ac:dyDescent="0.3">
      <c r="A54" s="1" t="s">
        <v>358</v>
      </c>
      <c r="B54" s="1" t="s">
        <v>482</v>
      </c>
      <c r="C54" s="22"/>
      <c r="D54" s="22"/>
      <c r="E54" s="22"/>
      <c r="F54" s="1" t="s">
        <v>490</v>
      </c>
      <c r="O54" s="22"/>
      <c r="P54" s="22"/>
      <c r="Q54" s="22"/>
      <c r="R54" s="22"/>
      <c r="S54" s="22"/>
    </row>
    <row r="55" spans="1:19" x14ac:dyDescent="0.3">
      <c r="A55" s="1" t="s">
        <v>358</v>
      </c>
      <c r="B55" s="1" t="s">
        <v>483</v>
      </c>
      <c r="C55" s="22"/>
      <c r="D55" s="22"/>
      <c r="E55" s="22"/>
      <c r="F55" s="1" t="s">
        <v>490</v>
      </c>
      <c r="O55" s="22"/>
      <c r="P55" s="22"/>
      <c r="Q55" s="22"/>
      <c r="R55" s="22"/>
      <c r="S55" s="22"/>
    </row>
    <row r="56" spans="1:19" x14ac:dyDescent="0.3">
      <c r="A56" s="1" t="s">
        <v>359</v>
      </c>
      <c r="B56" s="1" t="s">
        <v>484</v>
      </c>
      <c r="C56" s="22">
        <v>0.40563051462196581</v>
      </c>
      <c r="D56" s="22">
        <v>4.5812849064806898</v>
      </c>
      <c r="E56" s="22">
        <v>2.1509999999999998</v>
      </c>
      <c r="F56" s="1" t="s">
        <v>490</v>
      </c>
      <c r="O56" s="22"/>
      <c r="P56" s="22"/>
      <c r="Q56" s="22"/>
      <c r="R56" s="22"/>
      <c r="S56" s="22"/>
    </row>
    <row r="57" spans="1:19" x14ac:dyDescent="0.3">
      <c r="A57" s="1" t="s">
        <v>359</v>
      </c>
      <c r="B57" s="1" t="s">
        <v>485</v>
      </c>
      <c r="C57" s="22">
        <v>0.44162478491470386</v>
      </c>
      <c r="D57" s="22">
        <v>4.6540809900729654</v>
      </c>
      <c r="E57" s="22">
        <v>5.4160000000000004</v>
      </c>
      <c r="F57" s="1" t="s">
        <v>490</v>
      </c>
      <c r="O57" s="22"/>
      <c r="P57" s="22"/>
      <c r="Q57" s="22"/>
      <c r="R57" s="22"/>
      <c r="S57" s="22"/>
    </row>
    <row r="58" spans="1:19" x14ac:dyDescent="0.3">
      <c r="A58" s="1" t="s">
        <v>360</v>
      </c>
      <c r="B58" s="1" t="s">
        <v>486</v>
      </c>
      <c r="C58" s="22">
        <v>1.5</v>
      </c>
      <c r="D58" s="22">
        <v>0.31</v>
      </c>
      <c r="E58" s="22">
        <v>2.08</v>
      </c>
      <c r="F58" s="1" t="s">
        <v>493</v>
      </c>
      <c r="O58" s="22"/>
      <c r="P58" s="22"/>
      <c r="Q58" s="22"/>
      <c r="R58" s="22"/>
      <c r="S58" s="22"/>
    </row>
    <row r="59" spans="1:19" x14ac:dyDescent="0.3">
      <c r="A59" s="1" t="s">
        <v>361</v>
      </c>
      <c r="B59" s="1" t="s">
        <v>487</v>
      </c>
      <c r="C59" s="22">
        <v>1.6</v>
      </c>
      <c r="D59" s="22">
        <v>4.1500000000000004</v>
      </c>
      <c r="E59" s="22">
        <v>0.57599999999999996</v>
      </c>
      <c r="F59" s="1" t="s">
        <v>493</v>
      </c>
      <c r="O59" s="22"/>
      <c r="P59" s="22"/>
      <c r="Q59" s="22"/>
      <c r="R59" s="22"/>
      <c r="S59" s="22"/>
    </row>
    <row r="60" spans="1:19" x14ac:dyDescent="0.3">
      <c r="A60" s="1" t="s">
        <v>362</v>
      </c>
      <c r="B60" s="1" t="s">
        <v>488</v>
      </c>
      <c r="C60" s="22">
        <f>3/10</f>
        <v>0.3</v>
      </c>
      <c r="D60" s="22">
        <v>6.44</v>
      </c>
      <c r="E60" s="22">
        <v>1.2</v>
      </c>
      <c r="F60" s="1" t="s">
        <v>490</v>
      </c>
      <c r="O60" s="22"/>
      <c r="P60" s="22"/>
      <c r="Q60" s="22"/>
      <c r="R60" s="22"/>
      <c r="S60" s="22"/>
    </row>
    <row r="61" spans="1:19" x14ac:dyDescent="0.3">
      <c r="A61" s="1" t="s">
        <v>362</v>
      </c>
      <c r="B61" s="1" t="s">
        <v>489</v>
      </c>
      <c r="F61" s="1" t="s">
        <v>490</v>
      </c>
      <c r="G61" s="22"/>
      <c r="I61" s="22"/>
      <c r="O61" s="22"/>
      <c r="P61" s="22"/>
      <c r="Q61" s="22"/>
      <c r="R61" s="22"/>
      <c r="S61" s="22"/>
    </row>
    <row r="62" spans="1:19" x14ac:dyDescent="0.3">
      <c r="G62" s="22"/>
      <c r="I62" s="22"/>
      <c r="O62" s="22"/>
      <c r="P62" s="22"/>
      <c r="Q62" s="22"/>
      <c r="R62" s="22"/>
      <c r="S62" s="22"/>
    </row>
    <row r="63" spans="1:19" x14ac:dyDescent="0.3">
      <c r="B63" s="1" t="s">
        <v>15</v>
      </c>
      <c r="C63" s="1">
        <f>AVERAGE(C38:C61)</f>
        <v>0.47051072253194798</v>
      </c>
      <c r="D63" s="1">
        <f t="shared" ref="D63:E63" si="0">AVERAGE(D38:D61)</f>
        <v>6.2399266550858812</v>
      </c>
      <c r="E63" s="1">
        <f t="shared" si="0"/>
        <v>3.3799065967712356</v>
      </c>
      <c r="G63" s="1" t="s">
        <v>495</v>
      </c>
      <c r="O63" s="22"/>
      <c r="P63" s="22"/>
      <c r="Q63" s="22"/>
      <c r="R63" s="22"/>
      <c r="S63" s="22"/>
    </row>
    <row r="64" spans="1:19" x14ac:dyDescent="0.3">
      <c r="B64" s="1" t="s">
        <v>380</v>
      </c>
      <c r="C64" s="1">
        <f>STDEVA(C38:C61)/SQRT(16)</f>
        <v>0.11875739468618193</v>
      </c>
      <c r="D64" s="1">
        <f t="shared" ref="D64:E64" si="1">STDEVA(D38:D61)/SQRT(16)</f>
        <v>0.60363728565433805</v>
      </c>
      <c r="E64" s="1">
        <f t="shared" si="1"/>
        <v>0.78060827140231259</v>
      </c>
      <c r="F64"/>
      <c r="G64"/>
      <c r="O64" s="22"/>
      <c r="P64" s="22"/>
      <c r="Q64" s="22"/>
      <c r="R64" s="22"/>
      <c r="S64" s="22"/>
    </row>
    <row r="65" spans="1:19" x14ac:dyDescent="0.3">
      <c r="B65" s="22"/>
      <c r="C65" s="22"/>
      <c r="D65" s="22"/>
      <c r="E65" s="22"/>
      <c r="F65" s="22"/>
      <c r="G65" s="22"/>
      <c r="H65" s="22"/>
      <c r="I65" s="22"/>
      <c r="O65" s="22"/>
      <c r="P65" s="22"/>
      <c r="Q65" s="22"/>
      <c r="R65" s="22"/>
      <c r="S65" s="22"/>
    </row>
    <row r="66" spans="1:19" x14ac:dyDescent="0.3">
      <c r="B66" s="22"/>
      <c r="C66" s="22"/>
      <c r="D66" s="22"/>
      <c r="E66" s="22"/>
      <c r="F66" s="22"/>
      <c r="G66" s="22"/>
      <c r="H66" s="22"/>
      <c r="I66" s="22"/>
      <c r="O66" s="22"/>
      <c r="P66" s="22"/>
      <c r="Q66" s="22"/>
      <c r="R66" s="22"/>
      <c r="S66" s="22"/>
    </row>
    <row r="67" spans="1:19" x14ac:dyDescent="0.3">
      <c r="B67" s="22"/>
      <c r="C67" s="2" t="s">
        <v>465</v>
      </c>
      <c r="D67" s="22" t="s">
        <v>0</v>
      </c>
      <c r="E67" s="2" t="s">
        <v>625</v>
      </c>
      <c r="O67" s="22"/>
      <c r="P67" s="22"/>
      <c r="Q67" s="22"/>
      <c r="R67" s="22"/>
      <c r="S67" s="22"/>
    </row>
    <row r="68" spans="1:19" x14ac:dyDescent="0.3">
      <c r="A68" s="1" t="s">
        <v>7</v>
      </c>
      <c r="B68" s="22" t="s">
        <v>395</v>
      </c>
      <c r="C68" s="22" t="s">
        <v>3</v>
      </c>
      <c r="D68" s="22" t="s">
        <v>2</v>
      </c>
      <c r="E68" s="22" t="s">
        <v>3</v>
      </c>
      <c r="O68" s="22"/>
      <c r="P68" s="22"/>
      <c r="Q68" s="22"/>
      <c r="R68" s="22"/>
      <c r="S68" s="22"/>
    </row>
    <row r="69" spans="1:19" x14ac:dyDescent="0.3">
      <c r="A69" s="1" t="s">
        <v>7</v>
      </c>
      <c r="B69" s="22" t="s">
        <v>396</v>
      </c>
      <c r="C69" s="22" t="s">
        <v>3</v>
      </c>
      <c r="D69" s="22" t="s">
        <v>2</v>
      </c>
      <c r="E69" s="22" t="s">
        <v>3</v>
      </c>
      <c r="O69" s="22"/>
      <c r="P69" s="22"/>
      <c r="Q69" s="22"/>
      <c r="R69" s="22"/>
      <c r="S69" s="22"/>
    </row>
    <row r="70" spans="1:19" x14ac:dyDescent="0.3">
      <c r="A70" s="1" t="s">
        <v>7</v>
      </c>
      <c r="B70" s="22" t="s">
        <v>434</v>
      </c>
      <c r="C70" s="22" t="s">
        <v>3</v>
      </c>
      <c r="D70" s="22" t="s">
        <v>2</v>
      </c>
      <c r="E70" s="22" t="s">
        <v>4</v>
      </c>
      <c r="P70" s="1"/>
    </row>
    <row r="71" spans="1:19" x14ac:dyDescent="0.3">
      <c r="A71" s="1" t="s">
        <v>7</v>
      </c>
      <c r="B71" s="22" t="s">
        <v>399</v>
      </c>
      <c r="C71" s="22" t="s">
        <v>3</v>
      </c>
      <c r="D71" s="22" t="s">
        <v>2</v>
      </c>
      <c r="E71" s="22" t="s">
        <v>3</v>
      </c>
      <c r="P71" s="1"/>
    </row>
    <row r="72" spans="1:19" x14ac:dyDescent="0.3">
      <c r="A72" s="1" t="s">
        <v>8</v>
      </c>
      <c r="B72" s="22" t="s">
        <v>319</v>
      </c>
      <c r="C72" s="22" t="s">
        <v>3</v>
      </c>
      <c r="D72" s="22" t="s">
        <v>11</v>
      </c>
      <c r="E72" s="22" t="s">
        <v>3</v>
      </c>
      <c r="P72" s="1"/>
    </row>
    <row r="73" spans="1:19" x14ac:dyDescent="0.3">
      <c r="A73" s="1" t="s">
        <v>8</v>
      </c>
      <c r="B73" s="22" t="s">
        <v>317</v>
      </c>
      <c r="C73" s="22" t="s">
        <v>3</v>
      </c>
      <c r="D73" s="22" t="s">
        <v>11</v>
      </c>
      <c r="E73" s="22" t="s">
        <v>3</v>
      </c>
      <c r="P73" s="1"/>
    </row>
    <row r="74" spans="1:19" x14ac:dyDescent="0.3">
      <c r="A74" s="1" t="s">
        <v>8</v>
      </c>
      <c r="B74" s="22" t="s">
        <v>318</v>
      </c>
      <c r="C74" s="22" t="s">
        <v>3</v>
      </c>
      <c r="D74" s="22" t="s">
        <v>11</v>
      </c>
      <c r="E74" s="22" t="s">
        <v>3</v>
      </c>
      <c r="P74" s="1"/>
    </row>
    <row r="75" spans="1:19" x14ac:dyDescent="0.3">
      <c r="A75" s="1" t="s">
        <v>9</v>
      </c>
      <c r="B75" s="22" t="s">
        <v>435</v>
      </c>
      <c r="C75" s="22" t="s">
        <v>4</v>
      </c>
      <c r="D75" s="22" t="s">
        <v>6</v>
      </c>
      <c r="E75" s="22" t="s">
        <v>3</v>
      </c>
      <c r="P75" s="1"/>
    </row>
    <row r="76" spans="1:19" x14ac:dyDescent="0.3">
      <c r="A76" s="1" t="s">
        <v>9</v>
      </c>
      <c r="B76" s="22" t="s">
        <v>436</v>
      </c>
      <c r="C76" s="22" t="s">
        <v>4</v>
      </c>
      <c r="D76" s="22" t="s">
        <v>6</v>
      </c>
      <c r="E76" s="22" t="s">
        <v>4</v>
      </c>
      <c r="P76" s="1"/>
    </row>
    <row r="77" spans="1:19" x14ac:dyDescent="0.3">
      <c r="A77" s="1" t="s">
        <v>10</v>
      </c>
      <c r="B77" s="22" t="s">
        <v>437</v>
      </c>
      <c r="C77" s="22" t="s">
        <v>4</v>
      </c>
      <c r="D77" s="22" t="s">
        <v>12</v>
      </c>
      <c r="E77" s="22" t="s">
        <v>3</v>
      </c>
      <c r="P77" s="1"/>
    </row>
    <row r="78" spans="1:19" x14ac:dyDescent="0.3">
      <c r="A78" s="1" t="s">
        <v>10</v>
      </c>
      <c r="B78" s="22" t="s">
        <v>438</v>
      </c>
      <c r="C78" s="22" t="s">
        <v>4</v>
      </c>
      <c r="D78" s="22" t="s">
        <v>12</v>
      </c>
      <c r="E78" s="22" t="s">
        <v>4</v>
      </c>
      <c r="P78" s="1"/>
    </row>
    <row r="79" spans="1:19" x14ac:dyDescent="0.3">
      <c r="A79" s="1" t="s">
        <v>16</v>
      </c>
      <c r="B79" s="22" t="s">
        <v>397</v>
      </c>
      <c r="C79" s="22" t="s">
        <v>4</v>
      </c>
      <c r="D79" s="22" t="s">
        <v>12</v>
      </c>
      <c r="E79" s="22" t="s">
        <v>3</v>
      </c>
      <c r="P79" s="1"/>
    </row>
    <row r="80" spans="1:19" x14ac:dyDescent="0.3">
      <c r="A80" s="1" t="s">
        <v>16</v>
      </c>
      <c r="B80" s="22" t="s">
        <v>398</v>
      </c>
      <c r="C80" s="22" t="s">
        <v>4</v>
      </c>
      <c r="D80" s="22" t="s">
        <v>12</v>
      </c>
      <c r="E80" s="22" t="s">
        <v>3</v>
      </c>
      <c r="P80" s="1"/>
    </row>
    <row r="81" spans="1:16" x14ac:dyDescent="0.3">
      <c r="B81" s="22"/>
      <c r="C81" s="22"/>
      <c r="D81" s="22"/>
      <c r="E81" s="22"/>
      <c r="P81" s="1"/>
    </row>
    <row r="82" spans="1:16" x14ac:dyDescent="0.3">
      <c r="B82" s="22"/>
      <c r="C82" s="22"/>
      <c r="D82" s="1" t="s">
        <v>429</v>
      </c>
      <c r="E82" s="22">
        <v>13</v>
      </c>
      <c r="P82" s="1"/>
    </row>
    <row r="83" spans="1:16" x14ac:dyDescent="0.3">
      <c r="D83" s="1" t="s">
        <v>430</v>
      </c>
      <c r="E83" s="22">
        <v>11</v>
      </c>
      <c r="P83" s="1"/>
    </row>
    <row r="84" spans="1:16" x14ac:dyDescent="0.3">
      <c r="D84" s="22"/>
      <c r="E84" s="22"/>
      <c r="P84" s="1"/>
    </row>
    <row r="85" spans="1:16" x14ac:dyDescent="0.3">
      <c r="C85" s="22" t="s">
        <v>431</v>
      </c>
      <c r="D85" s="22"/>
      <c r="E85" s="22"/>
      <c r="F85" s="22"/>
      <c r="G85" s="22"/>
      <c r="H85" s="22"/>
      <c r="I85" s="22"/>
      <c r="P85" s="1"/>
    </row>
    <row r="86" spans="1:16" x14ac:dyDescent="0.3">
      <c r="C86" s="22" t="s">
        <v>34</v>
      </c>
      <c r="D86" s="22"/>
      <c r="E86" s="22"/>
      <c r="F86" s="22"/>
      <c r="G86" s="22"/>
      <c r="H86" s="22"/>
      <c r="I86" s="22"/>
      <c r="P86" s="1"/>
    </row>
    <row r="87" spans="1:16" x14ac:dyDescent="0.3">
      <c r="C87" s="22" t="s">
        <v>432</v>
      </c>
      <c r="D87" s="22" t="s">
        <v>28</v>
      </c>
      <c r="E87" s="22">
        <f>1100/13</f>
        <v>84.615384615384613</v>
      </c>
      <c r="F87" s="22"/>
      <c r="G87" s="22"/>
      <c r="H87" s="22"/>
      <c r="I87" s="22"/>
      <c r="P87" s="1"/>
    </row>
    <row r="88" spans="1:16" x14ac:dyDescent="0.3">
      <c r="C88" s="22" t="s">
        <v>433</v>
      </c>
      <c r="D88" s="22" t="s">
        <v>28</v>
      </c>
      <c r="E88" s="22">
        <f>100-E87</f>
        <v>15.384615384615387</v>
      </c>
      <c r="F88" s="22"/>
      <c r="G88" s="22"/>
      <c r="H88" s="22"/>
      <c r="I88" s="22"/>
      <c r="P88" s="1"/>
    </row>
    <row r="89" spans="1:16" x14ac:dyDescent="0.3">
      <c r="E89" s="22"/>
      <c r="F89" s="22"/>
      <c r="G89" s="22"/>
      <c r="H89" s="22"/>
      <c r="I89" s="22"/>
      <c r="P89" s="1"/>
    </row>
    <row r="90" spans="1:16" x14ac:dyDescent="0.3">
      <c r="C90" s="2" t="s">
        <v>394</v>
      </c>
      <c r="D90" s="2" t="s">
        <v>394</v>
      </c>
      <c r="E90" s="2" t="s">
        <v>626</v>
      </c>
      <c r="F90" s="2" t="s">
        <v>492</v>
      </c>
      <c r="P90" s="1"/>
    </row>
    <row r="91" spans="1:16" x14ac:dyDescent="0.3">
      <c r="C91" s="22" t="s">
        <v>491</v>
      </c>
      <c r="D91" s="22" t="s">
        <v>30</v>
      </c>
      <c r="E91" s="22" t="s">
        <v>31</v>
      </c>
      <c r="P91" s="1"/>
    </row>
    <row r="92" spans="1:16" x14ac:dyDescent="0.3">
      <c r="A92" s="1" t="s">
        <v>7</v>
      </c>
      <c r="B92" s="22" t="s">
        <v>395</v>
      </c>
      <c r="C92" s="22">
        <v>1.5</v>
      </c>
      <c r="D92" s="22">
        <v>12.383333333333333</v>
      </c>
      <c r="E92" s="22">
        <v>0.62066666666666659</v>
      </c>
      <c r="F92" s="1" t="s">
        <v>493</v>
      </c>
      <c r="P92" s="1"/>
    </row>
    <row r="93" spans="1:16" x14ac:dyDescent="0.3">
      <c r="A93" s="1" t="s">
        <v>7</v>
      </c>
      <c r="B93" s="22" t="s">
        <v>396</v>
      </c>
      <c r="C93" s="22">
        <f>8/50</f>
        <v>0.16</v>
      </c>
      <c r="D93" s="22">
        <v>29.043749999999999</v>
      </c>
      <c r="E93" s="22">
        <v>6.7437499999999995</v>
      </c>
      <c r="F93" s="1" t="s">
        <v>493</v>
      </c>
      <c r="P93" s="1"/>
    </row>
    <row r="94" spans="1:16" x14ac:dyDescent="0.3">
      <c r="A94" s="1" t="s">
        <v>7</v>
      </c>
      <c r="B94" s="22" t="s">
        <v>434</v>
      </c>
      <c r="C94" s="22"/>
      <c r="D94" s="22"/>
      <c r="E94" s="22"/>
      <c r="F94" s="1" t="s">
        <v>490</v>
      </c>
      <c r="J94" s="22"/>
      <c r="K94" s="22"/>
      <c r="P94" s="1"/>
    </row>
    <row r="95" spans="1:16" x14ac:dyDescent="0.3">
      <c r="A95" s="1" t="s">
        <v>7</v>
      </c>
      <c r="B95" s="22" t="s">
        <v>399</v>
      </c>
      <c r="C95" s="22">
        <v>1.1000000000000001</v>
      </c>
      <c r="D95" s="22">
        <v>7.2354545454545445</v>
      </c>
      <c r="E95" s="22">
        <v>0.64363636363636367</v>
      </c>
      <c r="F95" s="1" t="s">
        <v>493</v>
      </c>
      <c r="J95" s="22"/>
      <c r="K95" s="22"/>
      <c r="P95" s="1"/>
    </row>
    <row r="96" spans="1:16" x14ac:dyDescent="0.3">
      <c r="A96" s="1" t="s">
        <v>8</v>
      </c>
      <c r="B96" s="22" t="s">
        <v>319</v>
      </c>
      <c r="C96" s="22">
        <v>0.60606060606060608</v>
      </c>
      <c r="D96" s="22">
        <v>8.36</v>
      </c>
      <c r="E96" s="22">
        <v>0.91</v>
      </c>
      <c r="F96" s="1" t="s">
        <v>490</v>
      </c>
      <c r="L96" s="22"/>
      <c r="M96" s="22"/>
      <c r="N96" s="22"/>
      <c r="P96" s="1"/>
    </row>
    <row r="97" spans="1:16" x14ac:dyDescent="0.3">
      <c r="A97" s="1" t="s">
        <v>8</v>
      </c>
      <c r="B97" s="22" t="s">
        <v>317</v>
      </c>
      <c r="C97" s="22">
        <v>2</v>
      </c>
      <c r="D97" s="22">
        <v>6.1763636363636358</v>
      </c>
      <c r="E97" s="22">
        <v>0.39909090909090916</v>
      </c>
      <c r="F97" s="1" t="s">
        <v>490</v>
      </c>
      <c r="L97" s="22"/>
      <c r="M97" s="22"/>
      <c r="N97" s="22"/>
      <c r="P97" s="1"/>
    </row>
    <row r="98" spans="1:16" x14ac:dyDescent="0.3">
      <c r="A98" s="1" t="s">
        <v>8</v>
      </c>
      <c r="B98" s="22" t="s">
        <v>318</v>
      </c>
      <c r="C98" s="22">
        <v>0.5</v>
      </c>
      <c r="D98" s="22">
        <v>32.382999999999996</v>
      </c>
      <c r="E98" s="22">
        <v>1.274</v>
      </c>
      <c r="F98" s="1" t="s">
        <v>493</v>
      </c>
      <c r="P98" s="1"/>
    </row>
    <row r="99" spans="1:16" x14ac:dyDescent="0.3">
      <c r="A99" s="1" t="s">
        <v>9</v>
      </c>
      <c r="B99" s="22" t="s">
        <v>435</v>
      </c>
      <c r="C99" s="22">
        <v>1</v>
      </c>
      <c r="D99" s="22">
        <v>4.18</v>
      </c>
      <c r="E99" s="22">
        <v>0.79900000000000004</v>
      </c>
      <c r="F99" s="1" t="s">
        <v>490</v>
      </c>
      <c r="P99" s="1"/>
    </row>
    <row r="100" spans="1:16" x14ac:dyDescent="0.3">
      <c r="A100" s="1" t="s">
        <v>9</v>
      </c>
      <c r="B100" s="22" t="s">
        <v>436</v>
      </c>
      <c r="C100" s="22"/>
      <c r="D100" s="22"/>
      <c r="E100" s="22"/>
      <c r="F100" s="1" t="s">
        <v>490</v>
      </c>
      <c r="P100" s="1"/>
    </row>
    <row r="101" spans="1:16" x14ac:dyDescent="0.3">
      <c r="A101" s="1" t="s">
        <v>10</v>
      </c>
      <c r="B101" s="22" t="s">
        <v>437</v>
      </c>
      <c r="C101" s="22">
        <v>2.4</v>
      </c>
      <c r="D101" s="22">
        <v>5.31</v>
      </c>
      <c r="E101" s="22">
        <v>0.43</v>
      </c>
      <c r="F101" s="1" t="s">
        <v>490</v>
      </c>
      <c r="P101" s="1"/>
    </row>
    <row r="102" spans="1:16" x14ac:dyDescent="0.3">
      <c r="A102" s="1" t="s">
        <v>10</v>
      </c>
      <c r="B102" s="22" t="s">
        <v>438</v>
      </c>
      <c r="C102" s="22"/>
      <c r="D102" s="22"/>
      <c r="E102" s="22"/>
      <c r="F102" s="1" t="s">
        <v>490</v>
      </c>
      <c r="P102" s="1"/>
    </row>
    <row r="103" spans="1:16" x14ac:dyDescent="0.3">
      <c r="A103" s="1" t="s">
        <v>16</v>
      </c>
      <c r="B103" s="22" t="s">
        <v>397</v>
      </c>
      <c r="C103" s="22">
        <v>3</v>
      </c>
      <c r="D103" s="22">
        <v>4.55</v>
      </c>
      <c r="E103" s="22">
        <v>0.1</v>
      </c>
      <c r="F103" s="1" t="s">
        <v>493</v>
      </c>
      <c r="P103" s="1"/>
    </row>
    <row r="104" spans="1:16" x14ac:dyDescent="0.3">
      <c r="A104" s="1" t="s">
        <v>16</v>
      </c>
      <c r="B104" s="22" t="s">
        <v>398</v>
      </c>
      <c r="C104" s="22">
        <v>0.83333333333333337</v>
      </c>
      <c r="D104" s="22">
        <v>22</v>
      </c>
      <c r="E104" s="22">
        <v>1.1499999999999999</v>
      </c>
      <c r="F104" s="1" t="s">
        <v>493</v>
      </c>
      <c r="P104" s="1"/>
    </row>
    <row r="105" spans="1:16" x14ac:dyDescent="0.3">
      <c r="C105" s="22"/>
      <c r="D105" s="22"/>
      <c r="E105" s="22"/>
      <c r="P105" s="1"/>
    </row>
    <row r="106" spans="1:16" x14ac:dyDescent="0.3">
      <c r="B106" s="1" t="s">
        <v>15</v>
      </c>
      <c r="C106" s="22">
        <f>AVERAGE(C92:C104)</f>
        <v>1.309939393939394</v>
      </c>
      <c r="D106" s="22">
        <f>AVERAGE(D92:D104)</f>
        <v>13.162190151515148</v>
      </c>
      <c r="E106" s="22">
        <f>AVERAGE(E92:E104)</f>
        <v>1.3070143939393937</v>
      </c>
      <c r="F106" s="1" t="s">
        <v>494</v>
      </c>
      <c r="P106" s="1"/>
    </row>
    <row r="107" spans="1:16" x14ac:dyDescent="0.3">
      <c r="B107" s="1" t="s">
        <v>380</v>
      </c>
      <c r="C107" s="22">
        <f>AVERAGE(C92:C93,C95,C98,C103:C104)</f>
        <v>1.1822222222222221</v>
      </c>
      <c r="D107" s="22">
        <f t="shared" ref="D107:E107" si="2">AVERAGE(D92:D93,D95,D98,D103:D104)</f>
        <v>17.932589646464645</v>
      </c>
      <c r="E107" s="22">
        <f t="shared" si="2"/>
        <v>1.7553421717171716</v>
      </c>
      <c r="F107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/>
  </sheetViews>
  <sheetFormatPr baseColWidth="10" defaultRowHeight="14.4" x14ac:dyDescent="0.3"/>
  <cols>
    <col min="3" max="3" width="26.77734375" customWidth="1"/>
    <col min="10" max="10" width="25.77734375" customWidth="1"/>
  </cols>
  <sheetData>
    <row r="1" spans="1:14" x14ac:dyDescent="0.3">
      <c r="A1" s="70" t="s">
        <v>654</v>
      </c>
      <c r="C1" s="2" t="s">
        <v>500</v>
      </c>
      <c r="D1" s="2" t="s">
        <v>500</v>
      </c>
      <c r="N1" s="1"/>
    </row>
    <row r="2" spans="1:14" x14ac:dyDescent="0.3">
      <c r="B2" t="s">
        <v>401</v>
      </c>
      <c r="C2" t="s">
        <v>506</v>
      </c>
      <c r="D2" s="22" t="s">
        <v>507</v>
      </c>
      <c r="N2" s="1"/>
    </row>
    <row r="3" spans="1:14" x14ac:dyDescent="0.3">
      <c r="A3" t="s">
        <v>7</v>
      </c>
      <c r="B3" t="s">
        <v>12</v>
      </c>
      <c r="C3" s="22" t="s">
        <v>499</v>
      </c>
      <c r="D3" t="s">
        <v>499</v>
      </c>
      <c r="N3" s="1"/>
    </row>
    <row r="4" spans="1:14" x14ac:dyDescent="0.3">
      <c r="A4" s="22" t="s">
        <v>8</v>
      </c>
      <c r="B4" s="22" t="s">
        <v>12</v>
      </c>
      <c r="C4" s="22" t="s">
        <v>499</v>
      </c>
      <c r="D4" s="22" t="s">
        <v>439</v>
      </c>
      <c r="N4" s="1"/>
    </row>
    <row r="5" spans="1:14" x14ac:dyDescent="0.3">
      <c r="N5" s="1"/>
    </row>
    <row r="6" spans="1:14" x14ac:dyDescent="0.3">
      <c r="B6" t="s">
        <v>496</v>
      </c>
      <c r="C6" t="s">
        <v>497</v>
      </c>
      <c r="D6" t="s">
        <v>498</v>
      </c>
      <c r="N6" s="1"/>
    </row>
    <row r="7" spans="1:14" x14ac:dyDescent="0.3">
      <c r="N7" s="1"/>
    </row>
    <row r="8" spans="1:14" x14ac:dyDescent="0.3">
      <c r="B8" t="s">
        <v>28</v>
      </c>
      <c r="C8">
        <f>100-D8</f>
        <v>22.222222222222229</v>
      </c>
      <c r="D8">
        <f>700/9</f>
        <v>77.777777777777771</v>
      </c>
      <c r="N8" s="1"/>
    </row>
    <row r="9" spans="1:14" x14ac:dyDescent="0.3">
      <c r="N9" s="1"/>
    </row>
    <row r="10" spans="1:14" x14ac:dyDescent="0.3">
      <c r="N10" s="1"/>
    </row>
    <row r="11" spans="1:14" x14ac:dyDescent="0.3">
      <c r="C11" s="2" t="s">
        <v>34</v>
      </c>
      <c r="D11" s="2" t="s">
        <v>34</v>
      </c>
      <c r="N11" s="1"/>
    </row>
    <row r="12" spans="1:14" x14ac:dyDescent="0.3">
      <c r="B12" s="22" t="s">
        <v>401</v>
      </c>
      <c r="C12" s="22" t="s">
        <v>506</v>
      </c>
      <c r="D12" s="22" t="s">
        <v>507</v>
      </c>
      <c r="N12" s="1"/>
    </row>
    <row r="13" spans="1:14" x14ac:dyDescent="0.3">
      <c r="A13" s="22" t="s">
        <v>7</v>
      </c>
      <c r="B13" t="s">
        <v>300</v>
      </c>
      <c r="C13" s="22" t="s">
        <v>499</v>
      </c>
      <c r="D13" t="s">
        <v>502</v>
      </c>
    </row>
    <row r="14" spans="1:14" x14ac:dyDescent="0.3">
      <c r="A14" s="22" t="s">
        <v>8</v>
      </c>
      <c r="B14" t="s">
        <v>300</v>
      </c>
      <c r="C14" t="s">
        <v>497</v>
      </c>
      <c r="D14" t="s">
        <v>503</v>
      </c>
    </row>
    <row r="15" spans="1:14" x14ac:dyDescent="0.3">
      <c r="A15" s="22" t="s">
        <v>9</v>
      </c>
      <c r="B15" t="s">
        <v>12</v>
      </c>
      <c r="C15" t="s">
        <v>501</v>
      </c>
      <c r="D15" t="s">
        <v>504</v>
      </c>
    </row>
    <row r="17" spans="2:4" x14ac:dyDescent="0.3">
      <c r="B17" s="22" t="s">
        <v>496</v>
      </c>
      <c r="C17" t="s">
        <v>502</v>
      </c>
      <c r="D17" t="s">
        <v>505</v>
      </c>
    </row>
    <row r="19" spans="2:4" x14ac:dyDescent="0.3">
      <c r="B19" s="22" t="s">
        <v>28</v>
      </c>
      <c r="C19">
        <f>100-D19</f>
        <v>10.714285714285708</v>
      </c>
      <c r="D19">
        <f>2500/28</f>
        <v>89.285714285714292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zoomScaleNormal="100" workbookViewId="0">
      <selection activeCell="A2" sqref="A2"/>
    </sheetView>
  </sheetViews>
  <sheetFormatPr baseColWidth="10" defaultRowHeight="14.4" x14ac:dyDescent="0.3"/>
  <sheetData>
    <row r="1" spans="1:54" x14ac:dyDescent="0.3">
      <c r="A1" s="70" t="s">
        <v>655</v>
      </c>
      <c r="C1" s="2" t="s">
        <v>621</v>
      </c>
      <c r="D1" s="2" t="s">
        <v>385</v>
      </c>
      <c r="E1" s="2" t="s">
        <v>621</v>
      </c>
      <c r="F1" s="2" t="s">
        <v>385</v>
      </c>
      <c r="G1" s="2" t="s">
        <v>621</v>
      </c>
      <c r="H1" s="2" t="s">
        <v>385</v>
      </c>
    </row>
    <row r="2" spans="1:54" x14ac:dyDescent="0.3">
      <c r="C2" s="22" t="s">
        <v>444</v>
      </c>
      <c r="D2" s="22" t="s">
        <v>444</v>
      </c>
      <c r="E2" s="22" t="s">
        <v>445</v>
      </c>
      <c r="F2" s="22" t="s">
        <v>445</v>
      </c>
      <c r="G2" s="22" t="s">
        <v>446</v>
      </c>
      <c r="H2" s="22" t="s">
        <v>446</v>
      </c>
      <c r="N2" s="22"/>
      <c r="O2" s="22"/>
      <c r="P2" s="22"/>
      <c r="Q2" s="22"/>
      <c r="R2" s="22"/>
      <c r="W2" s="22"/>
      <c r="X2" s="22"/>
      <c r="AF2" s="22"/>
      <c r="AG2" s="22"/>
      <c r="AL2" s="22"/>
      <c r="AM2" s="22"/>
      <c r="AU2" s="22"/>
      <c r="AV2" s="22"/>
      <c r="BA2" s="22"/>
      <c r="BB2" s="22"/>
    </row>
    <row r="3" spans="1:54" x14ac:dyDescent="0.3">
      <c r="A3" s="22" t="s">
        <v>7</v>
      </c>
      <c r="B3" s="7" t="s">
        <v>508</v>
      </c>
      <c r="C3">
        <v>0.28852315839007875</v>
      </c>
      <c r="D3">
        <v>0.29494372129556551</v>
      </c>
      <c r="E3">
        <v>1305.2746757374771</v>
      </c>
      <c r="F3">
        <v>1335.6840791626662</v>
      </c>
      <c r="G3">
        <v>1.263157894736842</v>
      </c>
      <c r="H3" s="22">
        <v>1.5849056603773586</v>
      </c>
      <c r="AE3" s="8"/>
      <c r="AG3" s="22"/>
      <c r="AK3" s="22"/>
      <c r="AM3" s="22"/>
      <c r="AT3" s="9"/>
      <c r="AV3" s="22"/>
      <c r="AZ3" s="22"/>
      <c r="BB3" s="22"/>
    </row>
    <row r="4" spans="1:54" x14ac:dyDescent="0.3">
      <c r="A4" s="22" t="s">
        <v>12</v>
      </c>
      <c r="B4" s="7" t="s">
        <v>322</v>
      </c>
      <c r="C4">
        <v>0.3815290391170264</v>
      </c>
      <c r="D4">
        <v>0.41485120301156286</v>
      </c>
      <c r="E4">
        <v>1303.305269333161</v>
      </c>
      <c r="F4">
        <v>1078.6265063760111</v>
      </c>
      <c r="G4" s="22">
        <v>2.5263157894736841</v>
      </c>
      <c r="H4" s="22">
        <v>4.0754716981132075</v>
      </c>
      <c r="O4" s="22"/>
      <c r="P4" s="22"/>
      <c r="AD4" s="22"/>
      <c r="AE4" s="8"/>
      <c r="AG4" s="22"/>
      <c r="AM4" s="22"/>
      <c r="AS4" s="22"/>
      <c r="AT4" s="9"/>
      <c r="AV4" s="22"/>
      <c r="BB4" s="22"/>
    </row>
    <row r="5" spans="1:54" x14ac:dyDescent="0.3">
      <c r="B5" s="7" t="s">
        <v>147</v>
      </c>
      <c r="C5">
        <v>0.31914027188862254</v>
      </c>
      <c r="D5">
        <v>0.36531867159075671</v>
      </c>
      <c r="E5">
        <v>1028.8787911044333</v>
      </c>
      <c r="F5">
        <v>1289.5600669375615</v>
      </c>
      <c r="G5" s="22">
        <v>15.789473684210526</v>
      </c>
      <c r="H5" s="22">
        <v>11.773584905660377</v>
      </c>
      <c r="O5" s="22"/>
      <c r="P5" s="22"/>
      <c r="AE5" s="8"/>
      <c r="AG5" s="22"/>
      <c r="AM5" s="22"/>
      <c r="AT5" s="9"/>
      <c r="AV5" s="22"/>
      <c r="BB5" s="22"/>
    </row>
    <row r="6" spans="1:54" x14ac:dyDescent="0.3">
      <c r="A6" s="22"/>
      <c r="B6" s="7" t="s">
        <v>149</v>
      </c>
      <c r="C6">
        <v>0.32748687003710669</v>
      </c>
      <c r="D6">
        <v>0.33360326945817037</v>
      </c>
      <c r="E6">
        <v>962.50800684969136</v>
      </c>
      <c r="F6">
        <v>1213.8970136500866</v>
      </c>
      <c r="G6" s="22">
        <v>8.2105263157894743</v>
      </c>
      <c r="H6" s="22">
        <v>7.0188679245283021</v>
      </c>
      <c r="O6" s="22"/>
      <c r="P6" s="22"/>
      <c r="AE6" s="8"/>
      <c r="AG6" s="22"/>
      <c r="AM6" s="22"/>
      <c r="AT6" s="9"/>
      <c r="AV6" s="22"/>
      <c r="BB6" s="22"/>
    </row>
    <row r="7" spans="1:54" x14ac:dyDescent="0.3">
      <c r="A7" s="22"/>
      <c r="B7" s="7" t="s">
        <v>159</v>
      </c>
      <c r="C7">
        <v>0.51208406360593062</v>
      </c>
      <c r="D7">
        <v>0.5258665254164725</v>
      </c>
      <c r="E7">
        <v>872.20259797822655</v>
      </c>
      <c r="F7">
        <v>822.22586671877332</v>
      </c>
      <c r="G7" s="22">
        <v>27.789473684210527</v>
      </c>
      <c r="H7" s="22">
        <v>30.79245283018868</v>
      </c>
      <c r="O7" s="22"/>
      <c r="P7" s="22"/>
      <c r="AE7" s="8"/>
      <c r="AG7" s="22"/>
      <c r="AM7" s="22"/>
      <c r="AT7" s="9"/>
      <c r="AV7" s="22"/>
      <c r="BB7" s="22"/>
    </row>
    <row r="8" spans="1:54" x14ac:dyDescent="0.3">
      <c r="A8" s="22"/>
      <c r="B8" s="7" t="s">
        <v>323</v>
      </c>
      <c r="C8">
        <v>0.31282241523356891</v>
      </c>
      <c r="D8">
        <v>0.33327052477015601</v>
      </c>
      <c r="E8">
        <v>1232.6986615162293</v>
      </c>
      <c r="F8">
        <v>1277.2796157712271</v>
      </c>
      <c r="G8" s="22">
        <v>10.105263157894736</v>
      </c>
      <c r="H8" s="22">
        <v>11.320754716981131</v>
      </c>
      <c r="O8" s="22"/>
      <c r="P8" s="22"/>
      <c r="AE8" s="8"/>
      <c r="AG8" s="22"/>
      <c r="AK8" s="22"/>
      <c r="AM8" s="22"/>
      <c r="AT8" s="9"/>
      <c r="AV8" s="22"/>
      <c r="BB8" s="22"/>
    </row>
    <row r="9" spans="1:54" x14ac:dyDescent="0.3">
      <c r="A9" s="22"/>
      <c r="B9" s="7" t="s">
        <v>324</v>
      </c>
      <c r="C9">
        <v>0.39146180529388508</v>
      </c>
      <c r="D9">
        <v>0.38333446411066779</v>
      </c>
      <c r="E9">
        <v>1079.4282757917833</v>
      </c>
      <c r="F9">
        <v>1054.659412368273</v>
      </c>
      <c r="G9" s="22">
        <v>15.789473684210526</v>
      </c>
      <c r="H9" s="22">
        <v>17.20754716981132</v>
      </c>
      <c r="O9" s="22"/>
      <c r="P9" s="22"/>
      <c r="AD9" s="22"/>
      <c r="AE9" s="8"/>
      <c r="AG9" s="22"/>
      <c r="AM9" s="22"/>
      <c r="AT9" s="9"/>
      <c r="AV9" s="22"/>
      <c r="AZ9" s="22"/>
      <c r="BB9" s="22"/>
    </row>
    <row r="10" spans="1:54" x14ac:dyDescent="0.3">
      <c r="A10" s="22"/>
      <c r="B10" s="7" t="s">
        <v>167</v>
      </c>
      <c r="C10">
        <v>0.30332239256105381</v>
      </c>
      <c r="D10">
        <v>0.3134104026122661</v>
      </c>
      <c r="E10">
        <v>925.32106720794536</v>
      </c>
      <c r="F10">
        <v>1195.3407526404994</v>
      </c>
      <c r="G10" s="22">
        <v>5.0526315789473681</v>
      </c>
      <c r="H10" s="22">
        <v>3.3962264150943398</v>
      </c>
      <c r="O10" s="22"/>
      <c r="P10" s="22"/>
      <c r="AE10" s="8"/>
      <c r="AG10" s="22"/>
      <c r="AM10" s="22"/>
      <c r="AS10" s="22"/>
      <c r="AT10" s="9"/>
      <c r="AV10" s="22"/>
      <c r="BB10" s="22"/>
    </row>
    <row r="11" spans="1:54" x14ac:dyDescent="0.3">
      <c r="B11" s="32" t="s">
        <v>144</v>
      </c>
      <c r="C11">
        <v>0.26789174055512099</v>
      </c>
      <c r="D11">
        <v>0.37426776249353944</v>
      </c>
      <c r="E11">
        <v>1918.1075458770065</v>
      </c>
      <c r="F11">
        <v>1057.6625756059475</v>
      </c>
      <c r="G11" s="22">
        <v>0.63157894736842102</v>
      </c>
      <c r="H11" s="22">
        <v>0.90566037735849059</v>
      </c>
      <c r="O11" s="22"/>
      <c r="P11" s="22"/>
      <c r="AE11" s="8"/>
      <c r="AG11" s="22"/>
      <c r="AM11" s="22"/>
    </row>
    <row r="12" spans="1:54" x14ac:dyDescent="0.3">
      <c r="A12" s="22"/>
      <c r="B12" s="32" t="s">
        <v>146</v>
      </c>
      <c r="C12">
        <v>0.36034425502459749</v>
      </c>
      <c r="D12">
        <v>0.35071704828955186</v>
      </c>
      <c r="E12">
        <v>1262.3673420519999</v>
      </c>
      <c r="F12">
        <v>1093.8094865090316</v>
      </c>
      <c r="G12" s="22">
        <v>10.105263157894736</v>
      </c>
      <c r="H12" s="22">
        <v>11.320754716981131</v>
      </c>
      <c r="O12" s="22"/>
      <c r="P12" s="22"/>
      <c r="AE12" s="8"/>
      <c r="AG12" s="22"/>
      <c r="AM12" s="22"/>
    </row>
    <row r="13" spans="1:54" x14ac:dyDescent="0.3">
      <c r="B13" s="32" t="s">
        <v>152</v>
      </c>
      <c r="C13">
        <v>0.35034580041604868</v>
      </c>
      <c r="D13">
        <v>0.34084693062359128</v>
      </c>
      <c r="E13">
        <v>944.41760715172677</v>
      </c>
      <c r="F13">
        <v>1402.4305688912627</v>
      </c>
      <c r="G13" s="22">
        <v>5.6842105263157894</v>
      </c>
      <c r="H13" s="22">
        <v>4.3018867924528301</v>
      </c>
      <c r="O13" s="22"/>
      <c r="P13" s="22"/>
      <c r="AE13" s="8"/>
      <c r="AG13" s="22"/>
      <c r="AM13" s="22"/>
    </row>
    <row r="14" spans="1:54" x14ac:dyDescent="0.3">
      <c r="B14" s="32" t="s">
        <v>158</v>
      </c>
      <c r="C14">
        <v>0.53779409752491392</v>
      </c>
      <c r="D14">
        <v>0.58550402045150518</v>
      </c>
      <c r="E14">
        <v>834.29388690213125</v>
      </c>
      <c r="F14">
        <v>793.84896560256914</v>
      </c>
      <c r="G14" s="22">
        <v>29.05263157894737</v>
      </c>
      <c r="H14" s="22">
        <v>30.339622641509433</v>
      </c>
      <c r="O14" s="22"/>
      <c r="P14" s="22"/>
      <c r="AE14" s="8"/>
      <c r="AG14" s="22"/>
      <c r="AM14" s="22"/>
    </row>
    <row r="15" spans="1:54" x14ac:dyDescent="0.3">
      <c r="B15" s="32" t="s">
        <v>160</v>
      </c>
      <c r="C15">
        <v>0.37757318593672323</v>
      </c>
      <c r="D15">
        <v>0.36843815525248863</v>
      </c>
      <c r="E15">
        <v>980.97003558311519</v>
      </c>
      <c r="F15">
        <v>1057.4951637302813</v>
      </c>
      <c r="G15" s="22">
        <v>13.894736842105264</v>
      </c>
      <c r="H15" s="22">
        <v>15.39622641509434</v>
      </c>
      <c r="O15" s="22"/>
      <c r="P15" s="22"/>
      <c r="AE15" s="8"/>
      <c r="AG15" s="22"/>
      <c r="AM15" s="22"/>
    </row>
    <row r="16" spans="1:54" x14ac:dyDescent="0.3">
      <c r="B16" s="32" t="s">
        <v>162</v>
      </c>
      <c r="C16">
        <v>0.33557444342799231</v>
      </c>
      <c r="D16">
        <v>0.62892673423877499</v>
      </c>
      <c r="E16">
        <v>835.71463482843922</v>
      </c>
      <c r="F16">
        <v>2181.2113603537873</v>
      </c>
      <c r="G16" s="22">
        <v>1.8947368421052631</v>
      </c>
      <c r="H16" s="22">
        <v>2.7169811320754715</v>
      </c>
      <c r="O16" s="22"/>
      <c r="P16" s="22"/>
    </row>
    <row r="17" spans="1:58" x14ac:dyDescent="0.3">
      <c r="B17" s="32" t="s">
        <v>164</v>
      </c>
      <c r="C17">
        <v>0.36302551036661351</v>
      </c>
      <c r="D17">
        <v>0.36825191006270558</v>
      </c>
      <c r="E17">
        <v>1112.4450273619307</v>
      </c>
      <c r="F17">
        <v>999.17634248386855</v>
      </c>
      <c r="G17" s="22">
        <v>13.263157894736842</v>
      </c>
      <c r="H17" s="22">
        <v>14.037735849056604</v>
      </c>
      <c r="O17" s="22"/>
      <c r="P17" s="22"/>
    </row>
    <row r="18" spans="1:58" x14ac:dyDescent="0.3">
      <c r="B18" s="32" t="s">
        <v>168</v>
      </c>
      <c r="C18">
        <v>0.32003349408780923</v>
      </c>
      <c r="D18">
        <v>0.3166215560593344</v>
      </c>
      <c r="E18">
        <v>1445.3651954136399</v>
      </c>
      <c r="F18">
        <v>1242.7980559833275</v>
      </c>
      <c r="G18" s="22">
        <v>5.6842105263157894</v>
      </c>
      <c r="H18" s="22">
        <v>6.1132075471698117</v>
      </c>
      <c r="O18" s="22"/>
      <c r="P18" s="22"/>
    </row>
    <row r="19" spans="1:58" x14ac:dyDescent="0.3">
      <c r="A19" s="22" t="s">
        <v>8</v>
      </c>
      <c r="B19" s="7" t="s">
        <v>175</v>
      </c>
      <c r="C19">
        <v>0.34301748179940861</v>
      </c>
      <c r="D19">
        <v>0.32991305333372078</v>
      </c>
      <c r="E19">
        <v>1067.3860021856462</v>
      </c>
      <c r="F19">
        <v>1203.8800854731201</v>
      </c>
      <c r="G19" s="22">
        <v>9.3333333333333339</v>
      </c>
      <c r="H19" s="22">
        <v>6.4444444444444446</v>
      </c>
      <c r="O19" s="22"/>
      <c r="P19" s="22"/>
    </row>
    <row r="20" spans="1:58" x14ac:dyDescent="0.3">
      <c r="A20" s="22" t="s">
        <v>12</v>
      </c>
      <c r="B20" s="7" t="s">
        <v>177</v>
      </c>
      <c r="C20">
        <v>0.31947652024398748</v>
      </c>
      <c r="D20">
        <v>0.33979181153630306</v>
      </c>
      <c r="E20">
        <v>994.74390219674785</v>
      </c>
      <c r="F20">
        <v>1012.5681215904685</v>
      </c>
      <c r="G20" s="22">
        <v>10</v>
      </c>
      <c r="H20" s="22">
        <v>6.8888888888888893</v>
      </c>
      <c r="O20" s="22"/>
      <c r="P20" s="22"/>
    </row>
    <row r="21" spans="1:58" x14ac:dyDescent="0.3">
      <c r="A21" s="22"/>
      <c r="B21" s="7" t="s">
        <v>198</v>
      </c>
      <c r="C21">
        <v>0.34533785911793197</v>
      </c>
      <c r="D21">
        <v>0.34887549812352692</v>
      </c>
      <c r="E21">
        <v>1058.6451232326092</v>
      </c>
      <c r="F21">
        <v>1215.1368953136955</v>
      </c>
      <c r="G21" s="22">
        <v>14.666666666666666</v>
      </c>
      <c r="H21" s="22">
        <v>10.444444444444445</v>
      </c>
      <c r="O21" s="22"/>
      <c r="P21" s="22"/>
    </row>
    <row r="22" spans="1:58" x14ac:dyDescent="0.3">
      <c r="B22" s="32" t="s">
        <v>192</v>
      </c>
      <c r="C22">
        <v>0.26370793127228198</v>
      </c>
      <c r="D22">
        <v>0.34518200551461642</v>
      </c>
      <c r="E22">
        <v>1887.8502398021565</v>
      </c>
      <c r="F22">
        <v>1151.7087614857874</v>
      </c>
      <c r="G22" s="22">
        <v>2.6666666666666665</v>
      </c>
      <c r="H22" s="22">
        <v>3.5555555555555554</v>
      </c>
      <c r="O22" s="22"/>
      <c r="P22" s="22"/>
      <c r="W22" s="12"/>
      <c r="Y22" s="12"/>
      <c r="Z22" s="12"/>
      <c r="AA22" s="12"/>
      <c r="AL22" s="12"/>
      <c r="AN22" s="12"/>
      <c r="AO22" s="12"/>
      <c r="AP22" s="12"/>
      <c r="BA22" s="12"/>
      <c r="BC22" s="12"/>
      <c r="BE22" s="12"/>
      <c r="BF22" s="12"/>
    </row>
    <row r="23" spans="1:58" x14ac:dyDescent="0.3">
      <c r="A23" s="22"/>
      <c r="B23" s="32" t="s">
        <v>190</v>
      </c>
      <c r="C23">
        <v>0.34676445083179624</v>
      </c>
      <c r="D23">
        <v>0.37634016030057071</v>
      </c>
      <c r="E23">
        <v>1037.5647080745646</v>
      </c>
      <c r="F23">
        <v>1188.3678224226458</v>
      </c>
      <c r="G23" s="22">
        <v>15.333333333333334</v>
      </c>
      <c r="H23" s="22">
        <v>14.888888888888889</v>
      </c>
      <c r="O23" s="22"/>
      <c r="P23" s="22"/>
      <c r="Q23" s="22"/>
      <c r="R23" s="22"/>
      <c r="U23" s="12"/>
      <c r="W23" s="22"/>
      <c r="X23" s="22"/>
      <c r="AA23" s="12"/>
      <c r="AF23" s="22"/>
      <c r="AG23" s="22"/>
      <c r="AJ23" s="12"/>
      <c r="AL23" s="22"/>
      <c r="AM23" s="22"/>
      <c r="AP23" s="12"/>
      <c r="AY23" s="12"/>
      <c r="BF23" s="12"/>
    </row>
    <row r="24" spans="1:58" x14ac:dyDescent="0.3">
      <c r="B24" s="32" t="s">
        <v>188</v>
      </c>
      <c r="C24">
        <v>0.38658917725727704</v>
      </c>
      <c r="D24">
        <v>0.35699085997502056</v>
      </c>
      <c r="E24">
        <v>1123.8008154776169</v>
      </c>
      <c r="F24">
        <v>1126.1380250044963</v>
      </c>
      <c r="G24" s="22">
        <v>17.333333333333332</v>
      </c>
      <c r="H24" s="22">
        <v>14</v>
      </c>
      <c r="O24" s="22"/>
      <c r="P24" s="22"/>
      <c r="AE24" s="8"/>
      <c r="AG24" s="22"/>
      <c r="AK24" s="22"/>
      <c r="AM24" s="22"/>
      <c r="AS24" s="9"/>
      <c r="AU24" s="22"/>
      <c r="AW24" s="22"/>
      <c r="AZ24" s="22"/>
      <c r="BB24" s="22"/>
      <c r="BD24" s="22"/>
    </row>
    <row r="25" spans="1:58" x14ac:dyDescent="0.3">
      <c r="B25" s="32" t="s">
        <v>184</v>
      </c>
      <c r="C25">
        <v>0.32579632720773832</v>
      </c>
      <c r="D25">
        <v>0.34817441770111168</v>
      </c>
      <c r="E25">
        <v>874.94134008776985</v>
      </c>
      <c r="F25">
        <v>1186.8806911044476</v>
      </c>
      <c r="G25" s="22">
        <v>8</v>
      </c>
      <c r="H25" s="22">
        <v>7.1111111111111107</v>
      </c>
      <c r="O25" s="22"/>
      <c r="P25" s="22"/>
      <c r="AD25" s="22"/>
      <c r="AE25" s="8"/>
      <c r="AG25" s="22"/>
      <c r="AM25" s="22"/>
      <c r="AR25" s="22"/>
      <c r="AS25" s="9"/>
      <c r="AU25" s="22"/>
      <c r="AW25" s="22"/>
      <c r="BB25" s="22"/>
      <c r="BD25" s="22"/>
    </row>
    <row r="26" spans="1:58" x14ac:dyDescent="0.3">
      <c r="B26" s="32" t="s">
        <v>180</v>
      </c>
      <c r="C26">
        <v>0.29608324584512941</v>
      </c>
      <c r="D26">
        <v>0.32869824512014578</v>
      </c>
      <c r="E26">
        <v>957.62384582535503</v>
      </c>
      <c r="F26">
        <v>1410.1866150233116</v>
      </c>
      <c r="G26" s="22">
        <v>4</v>
      </c>
      <c r="H26" s="22">
        <v>4.666666666666667</v>
      </c>
      <c r="O26" s="22"/>
      <c r="P26" s="22"/>
      <c r="AE26" s="8"/>
      <c r="AG26" s="22"/>
      <c r="AM26" s="22"/>
      <c r="AS26" s="9"/>
      <c r="AU26" s="22"/>
      <c r="AW26" s="22"/>
      <c r="AZ26" s="22"/>
      <c r="BB26" s="22"/>
      <c r="BD26" s="22"/>
    </row>
    <row r="27" spans="1:58" x14ac:dyDescent="0.3">
      <c r="AE27" s="8"/>
      <c r="AG27" s="22"/>
      <c r="AM27" s="22"/>
      <c r="AR27" s="22"/>
      <c r="AS27" s="9"/>
      <c r="AU27" s="22"/>
      <c r="AW27" s="22"/>
      <c r="BB27" s="22"/>
      <c r="BD27" s="22"/>
    </row>
    <row r="28" spans="1:58" x14ac:dyDescent="0.3">
      <c r="B28" s="1" t="s">
        <v>15</v>
      </c>
      <c r="C28" s="11">
        <v>0.34899999999999998</v>
      </c>
      <c r="D28" s="11">
        <v>0.378</v>
      </c>
      <c r="E28" s="11">
        <v>1127</v>
      </c>
      <c r="F28" s="11">
        <v>1191</v>
      </c>
      <c r="G28" s="11">
        <v>10.34</v>
      </c>
      <c r="H28" s="11">
        <v>10.01</v>
      </c>
      <c r="AE28" s="8"/>
      <c r="AG28" s="22"/>
      <c r="AM28" s="22"/>
      <c r="AS28" s="9"/>
      <c r="AU28" s="22"/>
      <c r="AW28" s="22"/>
      <c r="BB28" s="22"/>
      <c r="BD28" s="22"/>
    </row>
    <row r="29" spans="1:58" x14ac:dyDescent="0.3">
      <c r="C29" s="11">
        <v>1.3129999999999999E-2</v>
      </c>
      <c r="D29" s="11">
        <v>1.703E-2</v>
      </c>
      <c r="E29" s="11">
        <v>58.58</v>
      </c>
      <c r="F29" s="11">
        <v>53.16</v>
      </c>
      <c r="G29" s="11">
        <v>1.5449999999999999</v>
      </c>
      <c r="H29" s="11">
        <v>1.611</v>
      </c>
      <c r="AE29" s="8"/>
      <c r="AG29" s="22"/>
      <c r="AM29" s="22"/>
      <c r="AS29" s="9"/>
      <c r="AU29" s="22"/>
      <c r="AW29" s="22"/>
      <c r="BB29" s="22"/>
      <c r="BD29" s="22"/>
    </row>
    <row r="30" spans="1:58" x14ac:dyDescent="0.3">
      <c r="AE30" s="8"/>
      <c r="AG30" s="22"/>
      <c r="AK30" s="22"/>
      <c r="AM30" s="22"/>
      <c r="AS30" s="9"/>
      <c r="AU30" s="22"/>
      <c r="AW30" s="22"/>
      <c r="BB30" s="22"/>
      <c r="BD30" s="22"/>
    </row>
    <row r="31" spans="1:58" x14ac:dyDescent="0.3">
      <c r="A31" s="2" t="s">
        <v>444</v>
      </c>
      <c r="D31" s="2" t="s">
        <v>445</v>
      </c>
      <c r="G31" s="2" t="s">
        <v>446</v>
      </c>
      <c r="L31" s="24"/>
      <c r="AD31" s="22"/>
      <c r="AE31" s="8"/>
      <c r="AG31" s="22"/>
      <c r="AM31" s="22"/>
      <c r="AS31" s="9"/>
      <c r="AU31" s="22"/>
      <c r="AW31" s="22"/>
      <c r="AZ31" s="22"/>
      <c r="BB31" s="22"/>
      <c r="BD31" s="22"/>
    </row>
    <row r="32" spans="1:58" x14ac:dyDescent="0.3">
      <c r="A32" s="24" t="s">
        <v>392</v>
      </c>
      <c r="B32" s="11"/>
      <c r="D32" s="24" t="s">
        <v>392</v>
      </c>
      <c r="E32" s="11"/>
      <c r="G32" s="24" t="s">
        <v>392</v>
      </c>
      <c r="H32" s="11"/>
      <c r="L32" s="24"/>
      <c r="AE32" s="8"/>
      <c r="AG32" s="22"/>
      <c r="AM32" s="22"/>
      <c r="AR32" s="22"/>
      <c r="AS32" s="9"/>
      <c r="AU32" s="22"/>
      <c r="AW32" s="22"/>
      <c r="BB32" s="22"/>
      <c r="BD32" s="22"/>
    </row>
    <row r="33" spans="1:56" x14ac:dyDescent="0.3">
      <c r="A33" s="24" t="s">
        <v>393</v>
      </c>
      <c r="B33" s="11">
        <v>7.9000000000000008E-3</v>
      </c>
      <c r="D33" s="24" t="s">
        <v>393</v>
      </c>
      <c r="E33" s="11">
        <v>0.27679999999999999</v>
      </c>
      <c r="G33" s="24" t="s">
        <v>393</v>
      </c>
      <c r="H33" s="11">
        <v>0.71</v>
      </c>
      <c r="L33" s="24"/>
      <c r="AE33" s="8"/>
      <c r="AG33" s="22"/>
      <c r="AM33" s="22"/>
      <c r="AS33" s="9"/>
      <c r="AU33" s="22"/>
      <c r="AW33" s="22"/>
      <c r="BB33" s="22"/>
      <c r="BD33" s="22"/>
    </row>
    <row r="34" spans="1:56" x14ac:dyDescent="0.3">
      <c r="A34" s="24" t="s">
        <v>441</v>
      </c>
      <c r="B34" s="11" t="s">
        <v>420</v>
      </c>
      <c r="D34" s="24" t="s">
        <v>441</v>
      </c>
      <c r="E34" s="11" t="s">
        <v>417</v>
      </c>
      <c r="G34" s="24" t="s">
        <v>441</v>
      </c>
      <c r="H34" s="11" t="s">
        <v>417</v>
      </c>
      <c r="AE34" s="8"/>
      <c r="AG34" s="22"/>
      <c r="AM34" s="22"/>
      <c r="AS34" s="9"/>
      <c r="AU34" s="22"/>
      <c r="AW34" s="22"/>
      <c r="BB34" s="22"/>
      <c r="BD34" s="22"/>
    </row>
    <row r="35" spans="1:56" x14ac:dyDescent="0.3">
      <c r="AE35" s="8"/>
      <c r="AG35" s="22"/>
      <c r="AM35" s="22"/>
      <c r="AS35" s="9"/>
      <c r="AU35" s="22"/>
      <c r="AW35" s="22"/>
      <c r="BB35" s="22"/>
      <c r="BD35" s="22"/>
    </row>
    <row r="36" spans="1:56" x14ac:dyDescent="0.3">
      <c r="AE36" s="8"/>
      <c r="AG36" s="22"/>
      <c r="AM36" s="22"/>
      <c r="AS36" s="9"/>
      <c r="AU36" s="22"/>
      <c r="AW36" s="22"/>
      <c r="BB36" s="22"/>
      <c r="BD36" s="22"/>
    </row>
    <row r="37" spans="1:56" x14ac:dyDescent="0.3">
      <c r="AE37" s="8"/>
      <c r="AG37" s="22"/>
      <c r="AM37" s="22"/>
      <c r="AS37" s="9"/>
      <c r="AU37" s="22"/>
      <c r="AW37" s="22"/>
      <c r="BB37" s="22"/>
      <c r="BD37" s="22"/>
    </row>
    <row r="38" spans="1:56" x14ac:dyDescent="0.3">
      <c r="C38" s="2" t="s">
        <v>34</v>
      </c>
      <c r="D38" s="2" t="s">
        <v>385</v>
      </c>
      <c r="E38" s="2" t="s">
        <v>34</v>
      </c>
      <c r="F38" s="2" t="s">
        <v>385</v>
      </c>
      <c r="G38" s="2" t="s">
        <v>34</v>
      </c>
      <c r="H38" s="2" t="s">
        <v>385</v>
      </c>
      <c r="AE38" s="8"/>
      <c r="AG38" s="22"/>
      <c r="AM38" s="22"/>
      <c r="AS38" s="9"/>
      <c r="AU38" s="22"/>
      <c r="AW38" s="22"/>
      <c r="BB38" s="22"/>
      <c r="BD38" s="22"/>
    </row>
    <row r="39" spans="1:56" x14ac:dyDescent="0.3">
      <c r="C39" s="22" t="s">
        <v>444</v>
      </c>
      <c r="D39" s="22" t="s">
        <v>444</v>
      </c>
      <c r="E39" s="22" t="s">
        <v>445</v>
      </c>
      <c r="F39" s="22" t="s">
        <v>445</v>
      </c>
      <c r="G39" s="22" t="s">
        <v>446</v>
      </c>
      <c r="H39" s="22" t="s">
        <v>446</v>
      </c>
      <c r="AE39" s="8"/>
      <c r="AG39" s="22"/>
      <c r="AM39" s="22"/>
      <c r="AS39" s="9"/>
      <c r="AU39" s="22"/>
      <c r="AW39" s="22"/>
      <c r="BB39" s="22"/>
      <c r="BD39" s="22"/>
    </row>
    <row r="40" spans="1:56" x14ac:dyDescent="0.3">
      <c r="A40" s="22" t="s">
        <v>7</v>
      </c>
      <c r="B40" s="7" t="s">
        <v>238</v>
      </c>
      <c r="C40" s="11">
        <v>0.48252146000000001</v>
      </c>
      <c r="D40" s="11">
        <v>0.466840635</v>
      </c>
      <c r="E40" s="11">
        <v>2604.2746200000001</v>
      </c>
      <c r="F40" s="11">
        <v>2577.43361</v>
      </c>
      <c r="G40" s="11">
        <v>5.0526315799999999</v>
      </c>
      <c r="H40" s="11">
        <v>3.31034483</v>
      </c>
      <c r="AE40" s="8"/>
      <c r="AG40" s="22"/>
      <c r="AM40" s="22"/>
    </row>
    <row r="41" spans="1:56" x14ac:dyDescent="0.3">
      <c r="A41" s="22" t="s">
        <v>300</v>
      </c>
      <c r="B41" s="7" t="s">
        <v>242</v>
      </c>
      <c r="C41" s="11">
        <v>0.35820200000000002</v>
      </c>
      <c r="D41" s="11">
        <v>0.32699591500000003</v>
      </c>
      <c r="E41" s="11">
        <v>1072.3678</v>
      </c>
      <c r="F41" s="11">
        <v>1030.55223</v>
      </c>
      <c r="G41" s="11">
        <v>15.7894737</v>
      </c>
      <c r="H41" s="11">
        <v>16.551724100000001</v>
      </c>
      <c r="O41" s="22"/>
      <c r="P41" s="22"/>
      <c r="AE41" s="8"/>
      <c r="AG41" s="22"/>
      <c r="AM41" s="22"/>
    </row>
    <row r="42" spans="1:56" x14ac:dyDescent="0.3">
      <c r="A42" s="22"/>
      <c r="B42" s="7" t="s">
        <v>240</v>
      </c>
      <c r="C42" s="11">
        <v>0.34197094</v>
      </c>
      <c r="D42" s="11">
        <v>0.30069180000000001</v>
      </c>
      <c r="E42" s="11">
        <v>3668.2048100000002</v>
      </c>
      <c r="F42" s="11">
        <v>4472.4201599999997</v>
      </c>
      <c r="G42" s="11">
        <v>3.1578947400000001</v>
      </c>
      <c r="H42" s="11">
        <v>0.82758620999999999</v>
      </c>
      <c r="O42" s="22"/>
      <c r="P42" s="22"/>
      <c r="AE42" s="8"/>
      <c r="AG42" s="22"/>
      <c r="AM42" s="22"/>
    </row>
    <row r="43" spans="1:56" x14ac:dyDescent="0.3">
      <c r="A43" s="22"/>
      <c r="B43" s="7" t="s">
        <v>250</v>
      </c>
      <c r="C43" s="11">
        <v>0.30249015499999998</v>
      </c>
      <c r="D43" s="11">
        <v>0.278337485</v>
      </c>
      <c r="E43" s="11">
        <v>1494.8044</v>
      </c>
      <c r="F43" s="11">
        <v>988.99476100000004</v>
      </c>
      <c r="G43" s="11">
        <v>4.4210526300000001</v>
      </c>
      <c r="H43" s="11">
        <v>7.4482758599999999</v>
      </c>
      <c r="O43" s="22"/>
      <c r="P43" s="22"/>
      <c r="AE43" s="8"/>
      <c r="AG43" s="22"/>
      <c r="AK43" s="22"/>
      <c r="AM43" s="22"/>
    </row>
    <row r="44" spans="1:56" x14ac:dyDescent="0.3">
      <c r="A44" s="22"/>
      <c r="B44" s="7" t="s">
        <v>246</v>
      </c>
      <c r="C44" s="11">
        <v>0.37004571000000003</v>
      </c>
      <c r="D44" s="11">
        <v>0.31930056499999998</v>
      </c>
      <c r="E44" s="11">
        <v>1000.64168</v>
      </c>
      <c r="F44" s="11">
        <v>1226.94874</v>
      </c>
      <c r="G44" s="11">
        <v>6.9473684200000001</v>
      </c>
      <c r="H44" s="11">
        <v>12.413793099999999</v>
      </c>
      <c r="O44" s="22"/>
      <c r="P44" s="22"/>
      <c r="AD44" s="22"/>
      <c r="AE44" s="8"/>
      <c r="AG44" s="22"/>
      <c r="AM44" s="22"/>
    </row>
    <row r="45" spans="1:56" x14ac:dyDescent="0.3">
      <c r="A45" s="22"/>
      <c r="B45" s="7" t="s">
        <v>219</v>
      </c>
      <c r="C45" s="11">
        <v>0.27938509500000003</v>
      </c>
      <c r="D45" s="11">
        <v>0.27938471500000001</v>
      </c>
      <c r="E45" s="11">
        <v>1064.41076</v>
      </c>
      <c r="F45" s="11">
        <v>1286.7532900000001</v>
      </c>
      <c r="G45" s="11">
        <v>4.4210526300000001</v>
      </c>
      <c r="H45" s="11">
        <v>4.1379310299999998</v>
      </c>
      <c r="O45" s="22"/>
      <c r="P45" s="22"/>
      <c r="AE45" s="8"/>
      <c r="AG45" s="22"/>
      <c r="AM45" s="22"/>
    </row>
    <row r="46" spans="1:56" x14ac:dyDescent="0.3">
      <c r="A46" s="22"/>
      <c r="B46" s="7" t="s">
        <v>233</v>
      </c>
      <c r="C46" s="11">
        <v>0.27024640500000002</v>
      </c>
      <c r="D46" s="11">
        <v>0.280248575</v>
      </c>
      <c r="E46" s="11">
        <v>1380.7474400000001</v>
      </c>
      <c r="F46" s="11">
        <v>1120.51198</v>
      </c>
      <c r="G46" s="11">
        <v>4.4210526300000001</v>
      </c>
      <c r="H46" s="11">
        <v>5.7931034500000003</v>
      </c>
      <c r="O46" s="22"/>
      <c r="P46" s="22"/>
      <c r="AE46" s="8"/>
      <c r="AG46" s="22"/>
      <c r="AM46" s="22"/>
    </row>
    <row r="47" spans="1:56" x14ac:dyDescent="0.3">
      <c r="A47" s="22"/>
      <c r="B47" s="7" t="s">
        <v>253</v>
      </c>
      <c r="C47" s="11">
        <v>0.29800044999999997</v>
      </c>
      <c r="D47" s="11">
        <v>0.27310867999999999</v>
      </c>
      <c r="E47" s="11">
        <v>1352.9159500000001</v>
      </c>
      <c r="F47" s="11">
        <v>1598.88933</v>
      </c>
      <c r="G47" s="11">
        <v>3.1578947400000001</v>
      </c>
      <c r="H47" s="11">
        <v>4.5517241400000001</v>
      </c>
      <c r="O47" s="22"/>
      <c r="P47" s="22"/>
      <c r="AE47" s="8"/>
      <c r="AG47" s="22"/>
      <c r="AM47" s="22"/>
    </row>
    <row r="48" spans="1:56" x14ac:dyDescent="0.3">
      <c r="A48" s="22"/>
      <c r="B48" s="7" t="s">
        <v>244</v>
      </c>
      <c r="C48" s="11">
        <v>0.359377485</v>
      </c>
      <c r="D48" s="11">
        <v>0.33856233499999999</v>
      </c>
      <c r="E48" s="11">
        <v>1488.4667899999999</v>
      </c>
      <c r="F48" s="11">
        <v>1822.5168000000001</v>
      </c>
      <c r="G48" s="11">
        <v>1.26315789</v>
      </c>
      <c r="H48" s="11">
        <v>3.31034483</v>
      </c>
      <c r="O48" s="22"/>
      <c r="P48" s="22"/>
      <c r="AE48" s="8"/>
      <c r="AG48" s="22"/>
      <c r="AM48" s="22"/>
    </row>
    <row r="49" spans="1:39" x14ac:dyDescent="0.3">
      <c r="A49" s="22"/>
      <c r="B49" s="7" t="s">
        <v>235</v>
      </c>
      <c r="C49" s="11">
        <v>0.34953338499999997</v>
      </c>
      <c r="D49" s="11">
        <v>0.27941627499999999</v>
      </c>
      <c r="E49" s="11">
        <v>1335.9653599999999</v>
      </c>
      <c r="F49" s="11">
        <v>1678.6762100000001</v>
      </c>
      <c r="G49" s="11">
        <v>1.89473684</v>
      </c>
      <c r="H49" s="11">
        <v>1.2413793099999999</v>
      </c>
      <c r="O49" s="22"/>
      <c r="P49" s="22"/>
      <c r="AE49" s="8"/>
      <c r="AG49" s="22"/>
      <c r="AM49" s="22"/>
    </row>
    <row r="50" spans="1:39" x14ac:dyDescent="0.3">
      <c r="A50" s="22"/>
      <c r="B50" s="7" t="s">
        <v>229</v>
      </c>
      <c r="C50" s="11">
        <v>0.31423901500000001</v>
      </c>
      <c r="D50" s="11">
        <v>0.31707855000000001</v>
      </c>
      <c r="E50" s="11">
        <v>904.984554</v>
      </c>
      <c r="F50" s="11">
        <v>1160.29279</v>
      </c>
      <c r="G50" s="11">
        <v>10.1052632</v>
      </c>
      <c r="H50" s="11">
        <v>13.6551724</v>
      </c>
      <c r="O50" s="22"/>
      <c r="P50" s="22"/>
      <c r="AE50" s="8"/>
      <c r="AG50" s="22"/>
      <c r="AM50" s="22"/>
    </row>
    <row r="51" spans="1:39" x14ac:dyDescent="0.3">
      <c r="A51" s="22"/>
      <c r="B51" s="7" t="s">
        <v>231</v>
      </c>
      <c r="C51" s="11">
        <v>0.37242607</v>
      </c>
      <c r="D51" s="11">
        <v>0.32740179000000003</v>
      </c>
      <c r="E51" s="11">
        <v>1449.5511200000001</v>
      </c>
      <c r="F51" s="11">
        <v>1066.4297300000001</v>
      </c>
      <c r="G51" s="11">
        <v>11.368421100000001</v>
      </c>
      <c r="H51" s="11">
        <v>13.2413793</v>
      </c>
      <c r="O51" s="22"/>
      <c r="P51" s="22"/>
      <c r="AE51" s="8"/>
      <c r="AG51" s="22"/>
      <c r="AM51" s="22"/>
    </row>
    <row r="52" spans="1:39" x14ac:dyDescent="0.3">
      <c r="A52" s="22"/>
      <c r="B52" s="7" t="s">
        <v>221</v>
      </c>
      <c r="C52" s="11">
        <v>0.30391465499999998</v>
      </c>
      <c r="D52" s="11">
        <v>0.27869746000000001</v>
      </c>
      <c r="E52" s="11">
        <v>1453.19652</v>
      </c>
      <c r="F52" s="11">
        <v>960.206457</v>
      </c>
      <c r="G52" s="11">
        <v>3.78947368</v>
      </c>
      <c r="H52" s="11">
        <v>3.31034483</v>
      </c>
      <c r="O52" s="22"/>
      <c r="P52" s="22"/>
      <c r="AE52" s="8"/>
      <c r="AG52" s="22"/>
      <c r="AM52" s="22"/>
    </row>
    <row r="53" spans="1:39" x14ac:dyDescent="0.3">
      <c r="A53" s="22"/>
      <c r="B53" s="7" t="s">
        <v>225</v>
      </c>
      <c r="C53" s="11">
        <v>0.34331779499999998</v>
      </c>
      <c r="D53" s="11">
        <v>0.32658715500000002</v>
      </c>
      <c r="E53" s="11">
        <v>948.64789299999995</v>
      </c>
      <c r="F53" s="11">
        <v>1392.4301700000001</v>
      </c>
      <c r="G53" s="11">
        <v>7.5789473699999999</v>
      </c>
      <c r="H53" s="11">
        <v>6.2068965499999997</v>
      </c>
      <c r="O53" s="22"/>
      <c r="P53" s="22"/>
    </row>
    <row r="54" spans="1:39" x14ac:dyDescent="0.3">
      <c r="A54" s="22"/>
      <c r="B54" s="7" t="s">
        <v>223</v>
      </c>
      <c r="C54" s="11">
        <v>0.51363784000000001</v>
      </c>
      <c r="D54" s="11">
        <v>0.29542478999999999</v>
      </c>
      <c r="E54" s="11">
        <v>1197.21001</v>
      </c>
      <c r="F54" s="11">
        <v>1544.8498400000001</v>
      </c>
      <c r="G54" s="11">
        <v>4.4210526300000001</v>
      </c>
      <c r="H54" s="11">
        <v>5.7931034500000003</v>
      </c>
      <c r="O54" s="22"/>
      <c r="P54" s="22"/>
    </row>
    <row r="55" spans="1:39" x14ac:dyDescent="0.3">
      <c r="A55" s="22"/>
      <c r="B55" s="7" t="s">
        <v>227</v>
      </c>
      <c r="C55" s="11">
        <v>0.30354382000000002</v>
      </c>
      <c r="D55" s="11">
        <v>0.31936215000000001</v>
      </c>
      <c r="E55" s="11">
        <v>1494.76082</v>
      </c>
      <c r="F55" s="11">
        <v>1107.4879699999999</v>
      </c>
      <c r="G55" s="11">
        <v>6.9473684200000001</v>
      </c>
      <c r="H55" s="11">
        <v>14.068965499999999</v>
      </c>
      <c r="O55" s="22"/>
      <c r="P55" s="22"/>
    </row>
    <row r="56" spans="1:39" x14ac:dyDescent="0.3">
      <c r="A56" s="22"/>
      <c r="B56" s="7" t="s">
        <v>251</v>
      </c>
      <c r="C56" s="11">
        <v>0.36067115500000002</v>
      </c>
      <c r="D56" s="11">
        <v>0.29232103500000001</v>
      </c>
      <c r="E56" s="11">
        <v>1336.92508</v>
      </c>
      <c r="F56" s="11">
        <v>1003.05429</v>
      </c>
      <c r="G56" s="11">
        <v>1.26315789</v>
      </c>
      <c r="H56" s="11">
        <v>3.31034483</v>
      </c>
      <c r="O56" s="22"/>
      <c r="P56" s="22"/>
    </row>
    <row r="57" spans="1:39" x14ac:dyDescent="0.3">
      <c r="A57" s="22"/>
      <c r="B57" s="7" t="s">
        <v>248</v>
      </c>
      <c r="C57" s="11">
        <v>0.38248715500000002</v>
      </c>
      <c r="D57" s="11">
        <v>0.30306208000000001</v>
      </c>
      <c r="E57" s="11">
        <v>987.52246200000002</v>
      </c>
      <c r="F57" s="11">
        <v>1288.3542600000001</v>
      </c>
      <c r="G57" s="11">
        <v>4.4210526300000001</v>
      </c>
      <c r="H57" s="11">
        <v>4.9655172399999996</v>
      </c>
      <c r="O57" s="22"/>
      <c r="P57" s="22"/>
    </row>
    <row r="58" spans="1:39" x14ac:dyDescent="0.3">
      <c r="A58" s="22"/>
      <c r="B58" s="7" t="s">
        <v>254</v>
      </c>
      <c r="C58" s="11">
        <v>0.375494775</v>
      </c>
      <c r="D58" s="11">
        <v>0.34443233499999998</v>
      </c>
      <c r="E58" s="11">
        <v>954.886977</v>
      </c>
      <c r="F58" s="11">
        <v>1109.05099</v>
      </c>
      <c r="G58" s="11">
        <v>13.8947368</v>
      </c>
      <c r="H58" s="11">
        <v>15.724137900000001</v>
      </c>
      <c r="O58" s="22"/>
      <c r="P58" s="22"/>
      <c r="AB58" s="22"/>
    </row>
    <row r="59" spans="1:39" x14ac:dyDescent="0.3">
      <c r="A59" s="22"/>
      <c r="B59" s="7" t="s">
        <v>255</v>
      </c>
      <c r="C59" s="11">
        <v>0.269425415</v>
      </c>
      <c r="D59" s="11">
        <v>0.38005878999999998</v>
      </c>
      <c r="E59" s="11">
        <v>850.61673599999995</v>
      </c>
      <c r="F59" s="11">
        <v>1298.54871</v>
      </c>
      <c r="G59" s="11">
        <v>5.0526315799999999</v>
      </c>
      <c r="H59" s="11">
        <v>7.4482758599999999</v>
      </c>
      <c r="O59" s="22"/>
      <c r="P59" s="22"/>
      <c r="AB59" s="22"/>
    </row>
    <row r="60" spans="1:39" x14ac:dyDescent="0.3">
      <c r="A60" s="22"/>
      <c r="B60" s="7" t="s">
        <v>257</v>
      </c>
      <c r="C60" s="11">
        <v>0.37397423000000002</v>
      </c>
      <c r="D60" s="11">
        <v>0.39776399000000001</v>
      </c>
      <c r="E60" s="11">
        <v>832.86036200000001</v>
      </c>
      <c r="F60" s="11">
        <v>921.553088</v>
      </c>
      <c r="G60" s="11">
        <v>25.8947368</v>
      </c>
      <c r="H60" s="11">
        <v>24.827586199999999</v>
      </c>
      <c r="O60" s="22"/>
      <c r="P60" s="22"/>
      <c r="AB60" s="22"/>
    </row>
    <row r="61" spans="1:39" x14ac:dyDescent="0.3">
      <c r="A61" s="22"/>
      <c r="B61" s="16" t="s">
        <v>325</v>
      </c>
      <c r="C61" s="11">
        <v>0.28692223500000003</v>
      </c>
      <c r="D61" s="11">
        <v>0.31946522500000002</v>
      </c>
      <c r="E61" s="11">
        <v>1057.9271799999999</v>
      </c>
      <c r="F61" s="11">
        <v>1133.3994299999999</v>
      </c>
      <c r="G61" s="11">
        <v>9.47368421</v>
      </c>
      <c r="H61" s="11">
        <v>11.586206900000001</v>
      </c>
      <c r="O61" s="22"/>
      <c r="P61" s="22"/>
      <c r="AB61" s="22"/>
    </row>
    <row r="62" spans="1:39" x14ac:dyDescent="0.3">
      <c r="A62" s="22"/>
      <c r="B62" s="16" t="s">
        <v>326</v>
      </c>
      <c r="C62" s="11">
        <v>0.42771959999999998</v>
      </c>
      <c r="D62" s="11">
        <v>0.41105047</v>
      </c>
      <c r="E62" s="11">
        <v>848.11258099999998</v>
      </c>
      <c r="F62" s="11">
        <v>842.902646</v>
      </c>
      <c r="G62" s="11">
        <v>23.368421099999999</v>
      </c>
      <c r="H62" s="11">
        <v>27.310344799999999</v>
      </c>
      <c r="O62" s="22"/>
      <c r="P62" s="22"/>
      <c r="AB62" s="22"/>
    </row>
    <row r="63" spans="1:39" x14ac:dyDescent="0.3">
      <c r="A63" s="22"/>
      <c r="B63" s="16" t="s">
        <v>327</v>
      </c>
      <c r="C63" s="11">
        <v>0.38673794</v>
      </c>
      <c r="D63" s="11">
        <v>0.35935123000000002</v>
      </c>
      <c r="E63" s="11">
        <v>1062.43598</v>
      </c>
      <c r="F63" s="11">
        <v>1101.9413099999999</v>
      </c>
      <c r="G63" s="11">
        <v>18.315789500000001</v>
      </c>
      <c r="H63" s="11">
        <v>20.275862100000001</v>
      </c>
      <c r="O63" s="22"/>
      <c r="P63" s="22"/>
      <c r="AB63" s="22"/>
    </row>
    <row r="64" spans="1:39" x14ac:dyDescent="0.3">
      <c r="B64" s="32" t="s">
        <v>234</v>
      </c>
      <c r="C64" s="11">
        <v>0.46046073500000001</v>
      </c>
      <c r="D64">
        <v>0.28387902606968174</v>
      </c>
      <c r="E64">
        <v>2456.4977557084617</v>
      </c>
      <c r="F64">
        <v>2321.3403570818045</v>
      </c>
      <c r="G64" s="22">
        <v>1.8947368421052631</v>
      </c>
      <c r="H64" s="22">
        <v>1.6551724137931034</v>
      </c>
      <c r="O64" s="22"/>
      <c r="P64" s="22"/>
      <c r="AB64" s="22"/>
    </row>
    <row r="65" spans="1:28" x14ac:dyDescent="0.3">
      <c r="A65" s="22"/>
      <c r="B65" s="32" t="s">
        <v>220</v>
      </c>
      <c r="C65" s="11">
        <v>0.28246265500000001</v>
      </c>
      <c r="D65">
        <v>0.34602070316003886</v>
      </c>
      <c r="E65">
        <v>1533.5236925990566</v>
      </c>
      <c r="F65">
        <v>1320.1582511585584</v>
      </c>
      <c r="G65" s="22">
        <v>3.7894736842105261</v>
      </c>
      <c r="H65" s="22">
        <v>4.9655172413793105</v>
      </c>
      <c r="O65" s="22"/>
      <c r="P65" s="22"/>
      <c r="AB65" s="22"/>
    </row>
    <row r="66" spans="1:28" x14ac:dyDescent="0.3">
      <c r="B66" s="32" t="s">
        <v>224</v>
      </c>
      <c r="C66" s="11">
        <v>0.27080959999999998</v>
      </c>
      <c r="D66">
        <v>0.31360422255008397</v>
      </c>
      <c r="E66">
        <v>1409.8198631753969</v>
      </c>
      <c r="F66">
        <v>1448.7952981597418</v>
      </c>
      <c r="G66" s="22">
        <v>3.7894736842105261</v>
      </c>
      <c r="H66" s="22">
        <v>3.7241379310344827</v>
      </c>
      <c r="O66" s="22"/>
      <c r="P66" s="22"/>
      <c r="AB66" s="22"/>
    </row>
    <row r="67" spans="1:28" x14ac:dyDescent="0.3">
      <c r="B67" s="32" t="s">
        <v>226</v>
      </c>
      <c r="C67" s="11">
        <v>0.34979322000000002</v>
      </c>
      <c r="D67">
        <v>0.34961498639011424</v>
      </c>
      <c r="E67">
        <v>1872.1134369565261</v>
      </c>
      <c r="F67">
        <v>1276.2783652104583</v>
      </c>
      <c r="G67" s="22">
        <v>1.8947368421052631</v>
      </c>
      <c r="H67" s="22">
        <v>4.1379310344827589</v>
      </c>
      <c r="O67" s="22"/>
      <c r="P67" s="22"/>
      <c r="AB67" s="22"/>
    </row>
    <row r="68" spans="1:28" x14ac:dyDescent="0.3">
      <c r="B68" s="32" t="s">
        <v>236</v>
      </c>
      <c r="C68" s="11">
        <v>0.494474725</v>
      </c>
      <c r="D68">
        <v>0.51444915310963879</v>
      </c>
      <c r="E68">
        <v>1105.9523768631962</v>
      </c>
      <c r="F68">
        <v>1085.0994117935356</v>
      </c>
      <c r="G68" s="22">
        <v>5.0526315789473681</v>
      </c>
      <c r="H68" s="22">
        <v>5.3793103448275863</v>
      </c>
      <c r="O68" s="22"/>
      <c r="P68" s="22"/>
      <c r="AB68" s="22"/>
    </row>
    <row r="69" spans="1:28" x14ac:dyDescent="0.3">
      <c r="B69" s="32" t="s">
        <v>222</v>
      </c>
      <c r="C69" s="11">
        <v>0.27594316000000002</v>
      </c>
      <c r="D69">
        <v>0.24480684824370316</v>
      </c>
      <c r="E69">
        <v>1130.4934483452625</v>
      </c>
      <c r="F69">
        <v>2993.6338924668185</v>
      </c>
      <c r="G69" s="22">
        <v>2.5263157894736841</v>
      </c>
      <c r="H69" s="22">
        <v>1.2413793103448276</v>
      </c>
      <c r="O69" s="22"/>
      <c r="P69" s="22"/>
      <c r="AB69" s="22"/>
    </row>
    <row r="70" spans="1:28" x14ac:dyDescent="0.3">
      <c r="B70" s="32" t="s">
        <v>230</v>
      </c>
      <c r="C70" s="11">
        <v>0.34279157999999998</v>
      </c>
      <c r="D70">
        <v>0.30893925787588206</v>
      </c>
      <c r="E70">
        <v>1682.7301126665388</v>
      </c>
      <c r="F70">
        <v>1936.7910887317139</v>
      </c>
      <c r="G70" s="22">
        <v>1.263157894736842</v>
      </c>
      <c r="H70" s="22">
        <v>3.3103448275862069</v>
      </c>
      <c r="O70" s="22"/>
      <c r="P70" s="22"/>
      <c r="AB70" s="22"/>
    </row>
    <row r="71" spans="1:28" x14ac:dyDescent="0.3">
      <c r="B71" s="32" t="s">
        <v>232</v>
      </c>
      <c r="C71" s="11">
        <v>0.30901430000000002</v>
      </c>
      <c r="D71">
        <v>0.29466011368550049</v>
      </c>
      <c r="E71">
        <v>1905.694721434822</v>
      </c>
      <c r="F71">
        <v>1522.1022885869838</v>
      </c>
      <c r="G71" s="22">
        <v>1.8947368421052631</v>
      </c>
      <c r="H71" s="22">
        <v>2.0689655172413794</v>
      </c>
      <c r="O71" s="22"/>
      <c r="P71" s="22"/>
      <c r="AB71" s="22"/>
    </row>
    <row r="72" spans="1:28" x14ac:dyDescent="0.3">
      <c r="B72" s="32" t="s">
        <v>228</v>
      </c>
      <c r="C72" s="11">
        <v>0.25502493500000001</v>
      </c>
      <c r="D72">
        <v>0.2969529625967619</v>
      </c>
      <c r="E72">
        <v>1254.2506599609376</v>
      </c>
      <c r="F72">
        <v>1725.4693021357332</v>
      </c>
      <c r="G72" s="22">
        <v>1.263157894736842</v>
      </c>
      <c r="H72" s="22">
        <v>2.4827586206896552</v>
      </c>
      <c r="O72" s="22"/>
      <c r="P72" s="22"/>
      <c r="AB72" s="22"/>
    </row>
    <row r="73" spans="1:28" x14ac:dyDescent="0.3">
      <c r="B73" s="38" t="s">
        <v>239</v>
      </c>
      <c r="C73" s="11">
        <v>0.29730815999999999</v>
      </c>
      <c r="D73">
        <v>0.30091661618415477</v>
      </c>
      <c r="E73">
        <v>1080.737032068703</v>
      </c>
      <c r="F73">
        <v>1304.3909367562737</v>
      </c>
      <c r="G73" s="22">
        <v>4.4210526315789478</v>
      </c>
      <c r="H73" s="22">
        <v>4.1379310344827589</v>
      </c>
      <c r="O73" s="22"/>
      <c r="P73" s="22"/>
      <c r="AB73" s="22"/>
    </row>
    <row r="74" spans="1:28" x14ac:dyDescent="0.3">
      <c r="B74" s="39" t="s">
        <v>325</v>
      </c>
      <c r="C74" s="11">
        <v>0.28692223500000003</v>
      </c>
      <c r="D74">
        <v>0.31946522564169527</v>
      </c>
      <c r="E74">
        <v>1057.9271762935491</v>
      </c>
      <c r="F74">
        <v>1133.3994334911711</v>
      </c>
      <c r="G74" s="22">
        <v>9.473684210526315</v>
      </c>
      <c r="H74" s="22">
        <v>11.586206896551724</v>
      </c>
      <c r="O74" s="22"/>
      <c r="P74" s="22"/>
      <c r="AB74" s="22"/>
    </row>
    <row r="75" spans="1:28" x14ac:dyDescent="0.3">
      <c r="B75" s="39" t="s">
        <v>326</v>
      </c>
      <c r="C75" s="11">
        <v>0.42771959999999998</v>
      </c>
      <c r="D75">
        <v>0.41105046925750965</v>
      </c>
      <c r="E75">
        <v>848.11258109234518</v>
      </c>
      <c r="F75">
        <v>842.90264594203097</v>
      </c>
      <c r="G75" s="22">
        <v>23.368421052631579</v>
      </c>
      <c r="H75" s="22">
        <v>27.310344827586206</v>
      </c>
      <c r="O75" s="22"/>
      <c r="P75" s="22"/>
      <c r="AB75" s="22"/>
    </row>
    <row r="76" spans="1:28" x14ac:dyDescent="0.3">
      <c r="B76" s="39" t="s">
        <v>327</v>
      </c>
      <c r="C76" s="11">
        <v>0.38673794</v>
      </c>
      <c r="D76">
        <v>0.35935123159093985</v>
      </c>
      <c r="E76">
        <v>1062.4359805042704</v>
      </c>
      <c r="F76">
        <v>1101.9413050543553</v>
      </c>
      <c r="G76" s="22">
        <v>18.315789473684209</v>
      </c>
      <c r="H76" s="22">
        <v>20.275862068965516</v>
      </c>
      <c r="O76" s="22"/>
      <c r="P76" s="22"/>
      <c r="AB76" s="22"/>
    </row>
    <row r="77" spans="1:28" x14ac:dyDescent="0.3">
      <c r="A77" s="22" t="s">
        <v>8</v>
      </c>
      <c r="B77" s="7" t="s">
        <v>66</v>
      </c>
      <c r="C77" s="11">
        <v>0.496394585</v>
      </c>
      <c r="D77" s="11">
        <v>0.36610409999999999</v>
      </c>
      <c r="E77" s="11">
        <v>1467.8065899999999</v>
      </c>
      <c r="F77" s="11">
        <v>2401.7735400000001</v>
      </c>
      <c r="G77" s="11">
        <v>2.96296296</v>
      </c>
      <c r="H77" s="11">
        <v>2.1505376300000001</v>
      </c>
      <c r="O77" s="22"/>
      <c r="P77" s="22"/>
    </row>
    <row r="78" spans="1:28" x14ac:dyDescent="0.3">
      <c r="A78" s="22" t="s">
        <v>12</v>
      </c>
      <c r="B78" s="7" t="s">
        <v>68</v>
      </c>
      <c r="C78" s="11">
        <v>0.32863034499999999</v>
      </c>
      <c r="D78" s="11">
        <v>0.39793269999999997</v>
      </c>
      <c r="E78" s="11">
        <v>1235.52151</v>
      </c>
      <c r="F78" s="11">
        <v>1277.0570600000001</v>
      </c>
      <c r="G78" s="11">
        <v>6.6666666699999997</v>
      </c>
      <c r="H78" s="11">
        <v>9.4623655899999992</v>
      </c>
      <c r="O78" s="22"/>
      <c r="P78" s="22"/>
    </row>
    <row r="79" spans="1:28" x14ac:dyDescent="0.3">
      <c r="A79" s="22"/>
      <c r="B79" s="7" t="s">
        <v>70</v>
      </c>
      <c r="C79" s="11">
        <v>0.36362066500000001</v>
      </c>
      <c r="D79" s="11">
        <v>0.43223885000000001</v>
      </c>
      <c r="E79" s="11">
        <v>1019.0093000000001</v>
      </c>
      <c r="F79" s="11">
        <v>1814.44813</v>
      </c>
      <c r="G79" s="11">
        <v>0.74074074000000001</v>
      </c>
      <c r="H79" s="11">
        <v>0.43010753000000002</v>
      </c>
      <c r="O79" s="22"/>
      <c r="P79" s="22"/>
    </row>
    <row r="80" spans="1:28" x14ac:dyDescent="0.3">
      <c r="A80" s="22"/>
      <c r="B80" s="7" t="s">
        <v>72</v>
      </c>
      <c r="C80" s="11">
        <v>0.28328483500000001</v>
      </c>
      <c r="D80" s="11">
        <v>0.331345265</v>
      </c>
      <c r="E80" s="11">
        <v>1491.0014000000001</v>
      </c>
      <c r="F80" s="11">
        <v>1219.3899799999999</v>
      </c>
      <c r="G80" s="11">
        <v>4.4444444399999998</v>
      </c>
      <c r="H80" s="11">
        <v>5.5913978499999999</v>
      </c>
      <c r="O80" s="22"/>
      <c r="P80" s="22"/>
    </row>
    <row r="81" spans="1:16" x14ac:dyDescent="0.3">
      <c r="A81" s="22"/>
      <c r="B81" s="7" t="s">
        <v>74</v>
      </c>
      <c r="C81" s="11">
        <v>0.33113330000000002</v>
      </c>
      <c r="D81" s="11">
        <v>0.36683289499999999</v>
      </c>
      <c r="E81" s="11">
        <v>982.92732799999999</v>
      </c>
      <c r="F81" s="11">
        <v>1077.85024</v>
      </c>
      <c r="G81" s="11">
        <v>10.370370400000001</v>
      </c>
      <c r="H81" s="11">
        <v>13.118279599999999</v>
      </c>
      <c r="O81" s="22"/>
      <c r="P81" s="22"/>
    </row>
    <row r="82" spans="1:16" x14ac:dyDescent="0.3">
      <c r="A82" s="22"/>
      <c r="B82" s="7" t="s">
        <v>281</v>
      </c>
      <c r="C82" s="11">
        <v>0.29505599500000002</v>
      </c>
      <c r="D82" s="11">
        <v>0.29995802500000002</v>
      </c>
      <c r="E82" s="11">
        <v>1573.5802900000001</v>
      </c>
      <c r="F82" s="11">
        <v>1225.7228500000001</v>
      </c>
      <c r="G82" s="11">
        <v>1.48148148</v>
      </c>
      <c r="H82" s="11">
        <v>2.3655914</v>
      </c>
      <c r="O82" s="22"/>
      <c r="P82" s="22"/>
    </row>
    <row r="83" spans="1:16" x14ac:dyDescent="0.3">
      <c r="A83" s="22"/>
      <c r="B83" s="7" t="s">
        <v>282</v>
      </c>
      <c r="C83" s="11">
        <v>0.262567575</v>
      </c>
      <c r="D83" s="11">
        <v>0.31560814500000001</v>
      </c>
      <c r="E83" s="11">
        <v>2401.43604</v>
      </c>
      <c r="F83" s="11">
        <v>4071.6883499999999</v>
      </c>
      <c r="G83" s="11">
        <v>0.74074074000000001</v>
      </c>
      <c r="H83" s="11">
        <v>1.9354838700000001</v>
      </c>
      <c r="O83" s="22"/>
      <c r="P83" s="22"/>
    </row>
    <row r="84" spans="1:16" x14ac:dyDescent="0.3">
      <c r="A84" s="22"/>
      <c r="B84" s="7" t="s">
        <v>283</v>
      </c>
      <c r="C84" s="11">
        <v>0.26843738</v>
      </c>
      <c r="D84" s="11">
        <v>0.300158745</v>
      </c>
      <c r="E84" s="11">
        <v>1640.79811</v>
      </c>
      <c r="F84" s="11">
        <v>1696.4302</v>
      </c>
      <c r="G84" s="11">
        <v>0.74074074000000001</v>
      </c>
      <c r="H84" s="11">
        <v>1.50537634</v>
      </c>
      <c r="O84" s="22"/>
      <c r="P84" s="22"/>
    </row>
    <row r="85" spans="1:16" x14ac:dyDescent="0.3">
      <c r="A85" s="22"/>
      <c r="B85" s="7" t="s">
        <v>76</v>
      </c>
      <c r="C85" s="11">
        <v>0.35195399999999999</v>
      </c>
      <c r="D85" s="11">
        <v>0.38248168999999999</v>
      </c>
      <c r="E85" s="11">
        <v>1173.9751799999999</v>
      </c>
      <c r="F85" s="11">
        <v>1138.3723299999999</v>
      </c>
      <c r="G85" s="11">
        <v>4.4444444399999998</v>
      </c>
      <c r="H85" s="11">
        <v>10.7526882</v>
      </c>
      <c r="O85" s="22"/>
      <c r="P85" s="22"/>
    </row>
    <row r="86" spans="1:16" x14ac:dyDescent="0.3">
      <c r="A86" s="22"/>
      <c r="B86" s="7" t="s">
        <v>78</v>
      </c>
      <c r="C86" s="11">
        <v>0.44737189500000002</v>
      </c>
      <c r="D86" s="11">
        <v>0.40724462</v>
      </c>
      <c r="E86" s="11">
        <v>970.80853200000001</v>
      </c>
      <c r="F86" s="11">
        <v>1095.4870699999999</v>
      </c>
      <c r="G86" s="11">
        <v>13.3333333</v>
      </c>
      <c r="H86" s="11">
        <v>13.3333333</v>
      </c>
      <c r="O86" s="22"/>
      <c r="P86" s="22"/>
    </row>
    <row r="87" spans="1:16" x14ac:dyDescent="0.3">
      <c r="A87" s="22"/>
      <c r="B87" s="7" t="s">
        <v>80</v>
      </c>
      <c r="C87" s="11">
        <v>0.34286495</v>
      </c>
      <c r="D87" s="11">
        <v>0.38276523000000001</v>
      </c>
      <c r="E87" s="11">
        <v>1231.6029599999999</v>
      </c>
      <c r="F87" s="11">
        <v>1144.17545</v>
      </c>
      <c r="G87" s="11">
        <v>5.1851851900000003</v>
      </c>
      <c r="H87" s="11">
        <v>8.1720430099999994</v>
      </c>
      <c r="O87" s="22"/>
      <c r="P87" s="22"/>
    </row>
    <row r="88" spans="1:16" x14ac:dyDescent="0.3">
      <c r="A88" s="22"/>
      <c r="B88" s="7" t="s">
        <v>82</v>
      </c>
      <c r="C88" s="11">
        <v>0.29535656999999998</v>
      </c>
      <c r="D88" s="11">
        <v>0.30366741000000003</v>
      </c>
      <c r="E88" s="11">
        <v>1891.69156</v>
      </c>
      <c r="F88" s="11">
        <v>1239.0568900000001</v>
      </c>
      <c r="G88" s="11">
        <v>1.48148148</v>
      </c>
      <c r="H88" s="11">
        <v>1.9354838700000001</v>
      </c>
      <c r="O88" s="22"/>
      <c r="P88" s="22"/>
    </row>
    <row r="89" spans="1:16" x14ac:dyDescent="0.3">
      <c r="A89" s="22"/>
      <c r="B89" s="7" t="s">
        <v>284</v>
      </c>
      <c r="C89" s="11">
        <v>0.25752118499999999</v>
      </c>
      <c r="D89" s="11">
        <v>0.32391639500000002</v>
      </c>
      <c r="E89" s="11">
        <v>3883.9382700000001</v>
      </c>
      <c r="F89" s="11">
        <v>1507.73252</v>
      </c>
      <c r="G89" s="11">
        <v>0.74074074000000001</v>
      </c>
      <c r="H89" s="11">
        <v>1.50537634</v>
      </c>
      <c r="O89" s="22"/>
      <c r="P89" s="22"/>
    </row>
    <row r="90" spans="1:16" x14ac:dyDescent="0.3">
      <c r="A90" s="22"/>
      <c r="B90" s="7" t="s">
        <v>285</v>
      </c>
      <c r="C90" s="11">
        <v>0.35652251499999998</v>
      </c>
      <c r="D90" s="11">
        <v>0.38368482500000001</v>
      </c>
      <c r="E90" s="11">
        <v>1153.60788</v>
      </c>
      <c r="F90" s="11">
        <v>1203.4979699999999</v>
      </c>
      <c r="G90" s="11">
        <v>5.92592593</v>
      </c>
      <c r="H90" s="11">
        <v>6.8817204299999997</v>
      </c>
      <c r="O90" s="22"/>
      <c r="P90" s="22"/>
    </row>
    <row r="91" spans="1:16" x14ac:dyDescent="0.3">
      <c r="A91" s="22"/>
      <c r="B91" s="7" t="s">
        <v>286</v>
      </c>
      <c r="C91" s="11">
        <v>0.47182194999999999</v>
      </c>
      <c r="D91" s="11">
        <v>0.69548639999999995</v>
      </c>
      <c r="E91">
        <f>F91/2</f>
        <v>2371.3268750000002</v>
      </c>
      <c r="F91" s="22">
        <v>4742.6537500000004</v>
      </c>
      <c r="G91" s="22">
        <f>H91/2</f>
        <v>0.322580645</v>
      </c>
      <c r="H91" s="22">
        <v>0.64516129</v>
      </c>
      <c r="O91" s="22"/>
      <c r="P91" s="22"/>
    </row>
    <row r="92" spans="1:16" x14ac:dyDescent="0.3">
      <c r="A92" s="22"/>
      <c r="B92" s="7" t="s">
        <v>84</v>
      </c>
      <c r="C92" s="11">
        <v>0.30731582499999999</v>
      </c>
      <c r="D92" s="11">
        <v>0.32817444000000001</v>
      </c>
      <c r="E92" s="11">
        <v>1213.46516</v>
      </c>
      <c r="F92" s="11">
        <v>1424.4747199999999</v>
      </c>
      <c r="G92" s="11">
        <v>3.7037037000000002</v>
      </c>
      <c r="H92" s="11">
        <v>5.8064516099999999</v>
      </c>
      <c r="O92" s="22"/>
      <c r="P92" s="22"/>
    </row>
    <row r="93" spans="1:16" x14ac:dyDescent="0.3">
      <c r="A93" s="22"/>
      <c r="B93" s="7" t="s">
        <v>86</v>
      </c>
      <c r="C93" s="11">
        <v>0.36130699500000002</v>
      </c>
      <c r="D93" s="11">
        <v>0.32577894499999999</v>
      </c>
      <c r="E93" s="11">
        <v>1119.76358</v>
      </c>
      <c r="F93" s="11">
        <v>1197.4559400000001</v>
      </c>
      <c r="G93" s="11">
        <v>2.96296296</v>
      </c>
      <c r="H93" s="11">
        <v>4.0860215100000001</v>
      </c>
      <c r="O93" s="22"/>
      <c r="P93" s="22"/>
    </row>
    <row r="94" spans="1:16" x14ac:dyDescent="0.3">
      <c r="A94" s="22"/>
      <c r="B94" s="7" t="s">
        <v>88</v>
      </c>
      <c r="C94" s="11">
        <v>0.39042673500000002</v>
      </c>
      <c r="D94" s="11">
        <v>0.35527333</v>
      </c>
      <c r="E94" s="11">
        <v>1157.1382799999999</v>
      </c>
      <c r="F94" s="11">
        <v>1118.54574</v>
      </c>
      <c r="G94" s="11">
        <v>8.8888888900000005</v>
      </c>
      <c r="H94" s="11">
        <v>11.1827957</v>
      </c>
      <c r="O94" s="22"/>
      <c r="P94" s="22"/>
    </row>
    <row r="95" spans="1:16" x14ac:dyDescent="0.3">
      <c r="A95" s="22"/>
      <c r="B95" s="7" t="s">
        <v>287</v>
      </c>
      <c r="C95" s="11">
        <v>0.36103544500000001</v>
      </c>
      <c r="D95" s="11">
        <v>0.53015730500000002</v>
      </c>
      <c r="E95" s="11">
        <v>1209.9244699999999</v>
      </c>
      <c r="F95" s="11">
        <v>875.32250699999997</v>
      </c>
      <c r="G95" s="11">
        <v>8.8888888900000005</v>
      </c>
      <c r="H95" s="11">
        <v>8.1720430099999994</v>
      </c>
      <c r="O95" s="22"/>
      <c r="P95" s="22"/>
    </row>
    <row r="96" spans="1:16" x14ac:dyDescent="0.3">
      <c r="A96" s="22"/>
      <c r="B96" s="7" t="s">
        <v>90</v>
      </c>
      <c r="C96" s="11">
        <v>0.32714711000000002</v>
      </c>
      <c r="D96" s="11">
        <v>0.39050105499999999</v>
      </c>
      <c r="E96" s="11">
        <v>1192.3209099999999</v>
      </c>
      <c r="F96" s="11">
        <v>1082.71911</v>
      </c>
      <c r="G96" s="11">
        <v>5.92592593</v>
      </c>
      <c r="H96" s="11">
        <v>8.8172043000000002</v>
      </c>
      <c r="O96" s="22"/>
      <c r="P96" s="22"/>
    </row>
    <row r="97" spans="1:16" x14ac:dyDescent="0.3">
      <c r="A97" s="22"/>
      <c r="B97" s="7" t="s">
        <v>288</v>
      </c>
      <c r="C97" s="11">
        <v>0.32252415000000001</v>
      </c>
      <c r="D97" s="11">
        <v>0.49355566000000001</v>
      </c>
      <c r="E97">
        <f>F97/2</f>
        <v>6570.6022000000003</v>
      </c>
      <c r="F97" s="22">
        <v>13141.204400000001</v>
      </c>
      <c r="G97" s="22">
        <f>H97/2</f>
        <v>0.10752688000000001</v>
      </c>
      <c r="H97" s="22">
        <v>0.21505376000000001</v>
      </c>
      <c r="O97" s="22"/>
      <c r="P97" s="22"/>
    </row>
    <row r="98" spans="1:16" x14ac:dyDescent="0.3">
      <c r="A98" s="22"/>
      <c r="B98" s="7" t="s">
        <v>289</v>
      </c>
      <c r="C98" s="11">
        <v>0.57610541000000004</v>
      </c>
      <c r="D98" s="11">
        <v>0.51318206</v>
      </c>
      <c r="E98" s="11">
        <v>775.29008899999997</v>
      </c>
      <c r="F98" s="11">
        <v>776.99902299999997</v>
      </c>
      <c r="G98" s="11">
        <v>32.592592600000003</v>
      </c>
      <c r="H98" s="11">
        <v>32.258064500000003</v>
      </c>
      <c r="O98" s="22"/>
      <c r="P98" s="22"/>
    </row>
    <row r="99" spans="1:16" x14ac:dyDescent="0.3">
      <c r="A99" s="22"/>
      <c r="B99" s="7" t="s">
        <v>290</v>
      </c>
      <c r="C99" s="11">
        <v>0.25126203000000003</v>
      </c>
      <c r="D99" s="11">
        <v>0.45997723499999998</v>
      </c>
      <c r="E99" s="11">
        <v>3021.1303800000001</v>
      </c>
      <c r="F99" s="11">
        <v>4688.9249</v>
      </c>
      <c r="G99" s="11">
        <v>0.74074074000000001</v>
      </c>
      <c r="H99" s="11">
        <v>0.21505376000000001</v>
      </c>
      <c r="O99" s="22"/>
      <c r="P99" s="22"/>
    </row>
    <row r="100" spans="1:16" x14ac:dyDescent="0.3">
      <c r="A100" s="22"/>
      <c r="B100" s="7" t="s">
        <v>92</v>
      </c>
      <c r="C100" s="11">
        <v>0.441813595</v>
      </c>
      <c r="D100" s="11">
        <v>0.49227787499999998</v>
      </c>
      <c r="E100" s="11">
        <v>1165.27512</v>
      </c>
      <c r="F100" s="11">
        <v>1122.06512</v>
      </c>
      <c r="G100" s="11">
        <v>3.7037037000000002</v>
      </c>
      <c r="H100" s="11">
        <v>6.6666666699999997</v>
      </c>
      <c r="O100" s="22"/>
      <c r="P100" s="22"/>
    </row>
    <row r="101" spans="1:16" x14ac:dyDescent="0.3">
      <c r="A101" s="22"/>
      <c r="B101" s="7" t="s">
        <v>94</v>
      </c>
      <c r="C101" s="11">
        <v>0.35441916000000001</v>
      </c>
      <c r="D101" s="11">
        <v>0.43391147499999999</v>
      </c>
      <c r="E101" s="11">
        <v>1017.52663</v>
      </c>
      <c r="F101" s="11">
        <v>961.72761100000002</v>
      </c>
      <c r="G101" s="11">
        <v>17.037037000000002</v>
      </c>
      <c r="H101" s="11">
        <v>20.2150538</v>
      </c>
      <c r="O101" s="22"/>
      <c r="P101" s="22"/>
    </row>
    <row r="102" spans="1:16" x14ac:dyDescent="0.3">
      <c r="A102" s="22"/>
      <c r="B102" s="7" t="s">
        <v>96</v>
      </c>
      <c r="C102" s="11">
        <v>0.35982307000000002</v>
      </c>
      <c r="D102" s="11">
        <v>0.38753904</v>
      </c>
      <c r="E102" s="11">
        <v>1064.3488199999999</v>
      </c>
      <c r="F102" s="11">
        <v>1129.34096</v>
      </c>
      <c r="G102" s="11">
        <v>0.74074074000000001</v>
      </c>
      <c r="H102" s="11">
        <v>2.79569892</v>
      </c>
      <c r="O102" s="22"/>
      <c r="P102" s="22"/>
    </row>
    <row r="103" spans="1:16" x14ac:dyDescent="0.3">
      <c r="A103" s="22"/>
      <c r="B103" s="7" t="s">
        <v>98</v>
      </c>
      <c r="C103" s="11">
        <v>0.29762751500000001</v>
      </c>
      <c r="D103" s="11">
        <v>0.45457049500000002</v>
      </c>
      <c r="E103" s="11">
        <v>1536.6709900000001</v>
      </c>
      <c r="F103" s="11">
        <v>1406.7263</v>
      </c>
      <c r="G103" s="11">
        <v>2.2222222199999999</v>
      </c>
      <c r="H103" s="11">
        <v>4.3010752700000001</v>
      </c>
      <c r="O103" s="22"/>
      <c r="P103" s="22"/>
    </row>
    <row r="104" spans="1:16" x14ac:dyDescent="0.3">
      <c r="A104" s="22"/>
      <c r="B104" s="7" t="s">
        <v>100</v>
      </c>
      <c r="C104" s="11">
        <v>0.35594262999999998</v>
      </c>
      <c r="D104" s="11">
        <v>0.36800284500000002</v>
      </c>
      <c r="E104" s="11">
        <v>1410.0484200000001</v>
      </c>
      <c r="F104" s="11">
        <v>1078.6250500000001</v>
      </c>
      <c r="G104" s="11">
        <v>5.92592593</v>
      </c>
      <c r="H104" s="11">
        <v>6.0215053799999998</v>
      </c>
      <c r="O104" s="22"/>
      <c r="P104" s="22"/>
    </row>
    <row r="105" spans="1:16" x14ac:dyDescent="0.3">
      <c r="A105" s="22"/>
      <c r="B105" s="7" t="s">
        <v>102</v>
      </c>
      <c r="C105" s="11">
        <v>0.42795364000000002</v>
      </c>
      <c r="D105" s="11">
        <v>0.34571678</v>
      </c>
      <c r="E105" s="11">
        <v>831.55544999999995</v>
      </c>
      <c r="F105" s="11">
        <v>1334.5369800000001</v>
      </c>
      <c r="G105" s="11">
        <v>1.48148148</v>
      </c>
      <c r="H105" s="11">
        <v>3.0107526899999999</v>
      </c>
      <c r="O105" s="22"/>
      <c r="P105" s="22"/>
    </row>
    <row r="106" spans="1:16" x14ac:dyDescent="0.3">
      <c r="A106" s="22"/>
      <c r="B106" s="7" t="s">
        <v>104</v>
      </c>
      <c r="C106" s="11">
        <v>0.32018534999999998</v>
      </c>
      <c r="D106" s="11">
        <v>0.33640819</v>
      </c>
      <c r="E106" s="11">
        <v>895.84488199999998</v>
      </c>
      <c r="F106" s="11">
        <v>1132.11178</v>
      </c>
      <c r="G106" s="11">
        <v>3.7037037000000002</v>
      </c>
      <c r="H106" s="11">
        <v>3.8709677400000002</v>
      </c>
      <c r="O106" s="22"/>
      <c r="P106" s="22"/>
    </row>
    <row r="107" spans="1:16" x14ac:dyDescent="0.3">
      <c r="A107" s="22"/>
      <c r="B107" s="7" t="s">
        <v>106</v>
      </c>
      <c r="C107" s="11">
        <v>0.29778647499999999</v>
      </c>
      <c r="D107" s="11">
        <v>0.35775307499999998</v>
      </c>
      <c r="E107" s="11">
        <v>1914.4970699999999</v>
      </c>
      <c r="F107" s="11">
        <v>1297.04494</v>
      </c>
      <c r="G107" s="11">
        <v>2.2222222199999999</v>
      </c>
      <c r="H107" s="11">
        <v>2.79569892</v>
      </c>
      <c r="O107" s="22"/>
      <c r="P107" s="22"/>
    </row>
    <row r="108" spans="1:16" x14ac:dyDescent="0.3">
      <c r="A108" s="22"/>
      <c r="B108" s="7" t="s">
        <v>107</v>
      </c>
      <c r="C108" s="11">
        <v>0.36296928000000001</v>
      </c>
      <c r="D108" s="11">
        <v>0.35918149500000002</v>
      </c>
      <c r="E108" s="11">
        <v>1027.35421</v>
      </c>
      <c r="F108" s="11">
        <v>1101.6884600000001</v>
      </c>
      <c r="G108" s="11">
        <v>1.48148148</v>
      </c>
      <c r="H108" s="11">
        <v>5.3763440899999999</v>
      </c>
      <c r="O108" s="22"/>
      <c r="P108" s="22"/>
    </row>
    <row r="109" spans="1:16" x14ac:dyDescent="0.3">
      <c r="A109" s="22"/>
      <c r="B109" s="7" t="s">
        <v>108</v>
      </c>
      <c r="C109" s="11">
        <v>0.35615585500000002</v>
      </c>
      <c r="D109" s="11">
        <v>0.36326631500000001</v>
      </c>
      <c r="E109" s="11">
        <v>1311.7283</v>
      </c>
      <c r="F109" s="11">
        <v>1231.3178399999999</v>
      </c>
      <c r="G109" s="11">
        <v>10.370370400000001</v>
      </c>
      <c r="H109" s="11">
        <v>14.623655899999999</v>
      </c>
      <c r="O109" s="22"/>
      <c r="P109" s="22"/>
    </row>
    <row r="110" spans="1:16" x14ac:dyDescent="0.3">
      <c r="A110" s="22"/>
      <c r="B110" s="7" t="s">
        <v>291</v>
      </c>
      <c r="C110">
        <v>0.2215548</v>
      </c>
      <c r="D110" s="11">
        <v>0.47988525999999998</v>
      </c>
      <c r="E110">
        <f>F110/2</f>
        <v>1068.45478</v>
      </c>
      <c r="F110" s="22">
        <v>2136.9095600000001</v>
      </c>
      <c r="G110" s="22">
        <f>H110/2</f>
        <v>0.43010752499999999</v>
      </c>
      <c r="H110" s="22">
        <v>0.86021504999999998</v>
      </c>
      <c r="O110" s="22"/>
      <c r="P110" s="22"/>
    </row>
    <row r="111" spans="1:16" x14ac:dyDescent="0.3">
      <c r="A111" s="22"/>
      <c r="B111" s="7" t="s">
        <v>109</v>
      </c>
      <c r="C111" s="11">
        <v>0.47444941000000002</v>
      </c>
      <c r="D111" s="11">
        <v>0.48522283500000002</v>
      </c>
      <c r="E111" s="11">
        <v>948.89523599999995</v>
      </c>
      <c r="F111" s="11">
        <v>924.42228899999998</v>
      </c>
      <c r="G111" s="11">
        <v>20</v>
      </c>
      <c r="H111" s="11">
        <v>20.2150538</v>
      </c>
      <c r="O111" s="22"/>
      <c r="P111" s="22"/>
    </row>
    <row r="112" spans="1:16" x14ac:dyDescent="0.3">
      <c r="A112" s="22"/>
      <c r="B112" s="7" t="s">
        <v>110</v>
      </c>
      <c r="C112" s="11">
        <v>0.35023004499999999</v>
      </c>
      <c r="D112" s="11">
        <v>0.32203502000000001</v>
      </c>
      <c r="E112" s="11">
        <v>1036.2333900000001</v>
      </c>
      <c r="F112" s="11">
        <v>1196.1616200000001</v>
      </c>
      <c r="G112" s="11">
        <v>2.96296296</v>
      </c>
      <c r="H112" s="11">
        <v>7.9569892500000003</v>
      </c>
      <c r="O112" s="22"/>
      <c r="P112" s="22"/>
    </row>
    <row r="113" spans="1:16" x14ac:dyDescent="0.3">
      <c r="A113" s="22"/>
      <c r="B113" s="7" t="s">
        <v>111</v>
      </c>
      <c r="C113" s="11">
        <v>0.28127021499999999</v>
      </c>
      <c r="D113" s="11">
        <v>0.32501932</v>
      </c>
      <c r="E113" s="11">
        <v>1222.4513199999999</v>
      </c>
      <c r="F113" s="11">
        <v>1199.6158499999999</v>
      </c>
      <c r="G113" s="11">
        <v>4.4444444399999998</v>
      </c>
      <c r="H113" s="11">
        <v>3.6559139799999998</v>
      </c>
      <c r="O113" s="22"/>
      <c r="P113" s="22"/>
    </row>
    <row r="114" spans="1:16" x14ac:dyDescent="0.3">
      <c r="A114" s="22"/>
      <c r="B114" s="7" t="s">
        <v>112</v>
      </c>
      <c r="C114" s="11">
        <v>0.29248795999999999</v>
      </c>
      <c r="D114" s="11">
        <v>0.32876593500000001</v>
      </c>
      <c r="E114" s="11">
        <v>1252.57223</v>
      </c>
      <c r="F114" s="11">
        <v>2054.8382900000001</v>
      </c>
      <c r="G114" s="11">
        <v>2.2222222199999999</v>
      </c>
      <c r="H114" s="11">
        <v>1.07526882</v>
      </c>
      <c r="O114" s="22"/>
      <c r="P114" s="22"/>
    </row>
    <row r="115" spans="1:16" x14ac:dyDescent="0.3">
      <c r="A115" s="22"/>
      <c r="B115" s="7" t="s">
        <v>113</v>
      </c>
      <c r="C115">
        <f>0.1235689</f>
        <v>0.1235689</v>
      </c>
      <c r="D115">
        <v>0.21568978</v>
      </c>
      <c r="E115">
        <f>F115/2</f>
        <v>770.24444500000004</v>
      </c>
      <c r="F115">
        <v>1540.4888900000001</v>
      </c>
      <c r="G115">
        <f>H115/2</f>
        <v>0.75268820000000003</v>
      </c>
      <c r="H115">
        <v>1.5053764000000001</v>
      </c>
      <c r="O115" s="22"/>
      <c r="P115" s="22"/>
    </row>
    <row r="116" spans="1:16" x14ac:dyDescent="0.3">
      <c r="A116" s="22"/>
      <c r="B116" s="7" t="s">
        <v>292</v>
      </c>
      <c r="C116" s="11">
        <v>0.25314778999999998</v>
      </c>
      <c r="D116" s="11">
        <v>0.36763796999999998</v>
      </c>
      <c r="E116" s="11">
        <v>2037.49008</v>
      </c>
      <c r="F116" s="11">
        <v>1560.4417900000001</v>
      </c>
      <c r="G116" s="11">
        <v>0.74074074000000001</v>
      </c>
      <c r="H116" s="11">
        <v>0.64516129</v>
      </c>
      <c r="O116" s="22"/>
      <c r="P116" s="22"/>
    </row>
    <row r="117" spans="1:16" x14ac:dyDescent="0.3">
      <c r="A117" s="22"/>
      <c r="B117" s="7" t="s">
        <v>114</v>
      </c>
      <c r="C117" s="11">
        <v>0.28848378000000002</v>
      </c>
      <c r="D117" s="11">
        <v>0.33798066999999998</v>
      </c>
      <c r="E117" s="11">
        <v>1438.16841</v>
      </c>
      <c r="F117" s="11">
        <v>1177.4077299999999</v>
      </c>
      <c r="G117" s="11">
        <v>1.48148148</v>
      </c>
      <c r="H117" s="11">
        <v>1.7204301099999999</v>
      </c>
      <c r="O117" s="22"/>
      <c r="P117" s="22"/>
    </row>
    <row r="118" spans="1:16" x14ac:dyDescent="0.3">
      <c r="A118" s="22"/>
      <c r="B118" s="7" t="s">
        <v>115</v>
      </c>
      <c r="C118" s="11">
        <v>0.34287540999999999</v>
      </c>
      <c r="D118" s="11">
        <v>0.38299934000000002</v>
      </c>
      <c r="E118" s="11">
        <v>1292.63897</v>
      </c>
      <c r="F118" s="11">
        <v>1007.72505</v>
      </c>
      <c r="G118" s="11">
        <v>3.7037037000000002</v>
      </c>
      <c r="H118" s="11">
        <v>4.7311828</v>
      </c>
      <c r="O118" s="22"/>
      <c r="P118" s="22"/>
    </row>
    <row r="119" spans="1:16" x14ac:dyDescent="0.3">
      <c r="A119" s="22"/>
      <c r="B119" s="7" t="s">
        <v>293</v>
      </c>
      <c r="C119">
        <f>D119/2</f>
        <v>0.19672394500000001</v>
      </c>
      <c r="D119" s="11">
        <v>0.39344789000000002</v>
      </c>
      <c r="E119" s="22">
        <f>F119/2</f>
        <v>1484.0471</v>
      </c>
      <c r="F119" s="22">
        <v>2968.0942</v>
      </c>
      <c r="G119" s="22">
        <f>H119/2</f>
        <v>0.43010752499999999</v>
      </c>
      <c r="H119" s="11">
        <v>0.86021504999999998</v>
      </c>
      <c r="O119" s="22"/>
      <c r="P119" s="22"/>
    </row>
    <row r="120" spans="1:16" x14ac:dyDescent="0.3">
      <c r="A120" s="22"/>
      <c r="B120" s="7" t="s">
        <v>116</v>
      </c>
      <c r="C120" s="11">
        <v>0.50407179000000002</v>
      </c>
      <c r="D120" s="11">
        <v>0.38039921999999998</v>
      </c>
      <c r="E120" s="11">
        <v>1721.3574100000001</v>
      </c>
      <c r="F120" s="11">
        <v>1072.8671999999999</v>
      </c>
      <c r="G120" s="11">
        <v>8.1481481500000008</v>
      </c>
      <c r="H120" s="11">
        <v>8.8172043000000002</v>
      </c>
      <c r="O120" s="22"/>
      <c r="P120" s="22"/>
    </row>
    <row r="121" spans="1:16" x14ac:dyDescent="0.3">
      <c r="A121" s="22"/>
      <c r="B121" s="7" t="s">
        <v>117</v>
      </c>
      <c r="C121" s="11">
        <v>0.33031468000000003</v>
      </c>
      <c r="D121" s="11">
        <v>0.35282438500000002</v>
      </c>
      <c r="E121" s="11">
        <v>1210.8624299999999</v>
      </c>
      <c r="F121" s="11">
        <v>1248.07709</v>
      </c>
      <c r="G121" s="11">
        <v>6.6666666699999997</v>
      </c>
      <c r="H121" s="11">
        <v>7.0967741899999996</v>
      </c>
      <c r="O121" s="22"/>
      <c r="P121" s="22"/>
    </row>
    <row r="122" spans="1:16" x14ac:dyDescent="0.3">
      <c r="A122" s="22"/>
      <c r="B122" s="7" t="s">
        <v>294</v>
      </c>
      <c r="C122" s="11">
        <v>0.30584320999999998</v>
      </c>
      <c r="D122" s="11">
        <v>0.31731520000000002</v>
      </c>
      <c r="E122" s="11">
        <v>4228.0800799999997</v>
      </c>
      <c r="F122" s="11">
        <v>1215.5986499999999</v>
      </c>
      <c r="G122" s="11">
        <v>1.48148148</v>
      </c>
      <c r="H122" s="11">
        <v>1.50537634</v>
      </c>
      <c r="O122" s="22"/>
      <c r="P122" s="22"/>
    </row>
    <row r="123" spans="1:16" x14ac:dyDescent="0.3">
      <c r="A123" s="22"/>
      <c r="B123" s="7" t="s">
        <v>118</v>
      </c>
      <c r="C123" s="11">
        <v>0.37256935499999999</v>
      </c>
      <c r="D123" s="11">
        <v>0.51440076000000001</v>
      </c>
      <c r="E123" s="11">
        <v>932.82002499999999</v>
      </c>
      <c r="F123" s="11">
        <v>929.50831500000004</v>
      </c>
      <c r="G123" s="11">
        <v>17.037037000000002</v>
      </c>
      <c r="H123" s="11">
        <v>24.731182799999999</v>
      </c>
      <c r="O123" s="22"/>
      <c r="P123" s="22"/>
    </row>
    <row r="124" spans="1:16" x14ac:dyDescent="0.3">
      <c r="A124" s="22"/>
      <c r="B124" s="7" t="s">
        <v>119</v>
      </c>
      <c r="C124" s="11">
        <v>0.35734243500000001</v>
      </c>
      <c r="D124" s="11">
        <v>0.41163210500000003</v>
      </c>
      <c r="E124" s="11">
        <v>1405.75332</v>
      </c>
      <c r="F124" s="11">
        <v>1718.06005</v>
      </c>
      <c r="G124" s="11">
        <v>0.74074074000000001</v>
      </c>
      <c r="H124" s="11">
        <v>3.0107526899999999</v>
      </c>
      <c r="O124" s="22"/>
      <c r="P124" s="22"/>
    </row>
    <row r="125" spans="1:16" x14ac:dyDescent="0.3">
      <c r="A125" s="22"/>
      <c r="B125" s="7" t="s">
        <v>120</v>
      </c>
      <c r="C125" s="11">
        <v>0.39225728999999998</v>
      </c>
      <c r="D125" s="11">
        <v>0.33414116500000002</v>
      </c>
      <c r="E125" s="11">
        <v>1086.0595000000001</v>
      </c>
      <c r="F125" s="11">
        <v>1097.6934100000001</v>
      </c>
      <c r="G125" s="11">
        <v>4.4444444399999998</v>
      </c>
      <c r="H125" s="11">
        <v>9.89247312</v>
      </c>
      <c r="O125" s="22"/>
      <c r="P125" s="22"/>
    </row>
    <row r="126" spans="1:16" x14ac:dyDescent="0.3">
      <c r="A126" s="22"/>
      <c r="B126" s="7" t="s">
        <v>121</v>
      </c>
      <c r="C126" s="11">
        <v>0.41131711500000001</v>
      </c>
      <c r="D126" s="11">
        <v>0.46559032500000003</v>
      </c>
      <c r="E126" s="11">
        <v>1006.50971</v>
      </c>
      <c r="F126" s="11">
        <v>939.57034499999997</v>
      </c>
      <c r="G126" s="11">
        <v>18.518518499999999</v>
      </c>
      <c r="H126" s="11">
        <v>20.860215100000001</v>
      </c>
      <c r="O126" s="22"/>
      <c r="P126" s="22"/>
    </row>
    <row r="127" spans="1:16" x14ac:dyDescent="0.3">
      <c r="A127" s="22"/>
      <c r="B127" s="7" t="s">
        <v>122</v>
      </c>
      <c r="C127" s="11">
        <v>0.30734387000000002</v>
      </c>
      <c r="D127" s="11">
        <v>0.32977437999999998</v>
      </c>
      <c r="E127" s="11">
        <v>2039.27124</v>
      </c>
      <c r="F127" s="11">
        <v>1233.7071100000001</v>
      </c>
      <c r="G127" s="11">
        <v>2.96296296</v>
      </c>
      <c r="H127" s="11">
        <v>5.3763440899999999</v>
      </c>
      <c r="O127" s="22"/>
      <c r="P127" s="22"/>
    </row>
    <row r="128" spans="1:16" x14ac:dyDescent="0.3">
      <c r="A128" s="22"/>
      <c r="B128" s="7" t="s">
        <v>123</v>
      </c>
      <c r="C128" s="11">
        <v>0.31705822500000003</v>
      </c>
      <c r="D128" s="11">
        <v>0.34431521999999998</v>
      </c>
      <c r="E128" s="11">
        <v>1355.3736899999999</v>
      </c>
      <c r="F128" s="11">
        <v>1168.32383</v>
      </c>
      <c r="G128" s="11">
        <v>2.2222222199999999</v>
      </c>
      <c r="H128" s="11">
        <v>4.0860215100000001</v>
      </c>
      <c r="O128" s="22"/>
      <c r="P128" s="22"/>
    </row>
    <row r="129" spans="1:16" x14ac:dyDescent="0.3">
      <c r="A129" s="22"/>
      <c r="B129" s="7" t="s">
        <v>124</v>
      </c>
      <c r="C129" s="11">
        <v>0.37215684999999998</v>
      </c>
      <c r="D129" s="11">
        <v>0.36673452000000001</v>
      </c>
      <c r="E129" s="11">
        <v>1248.7543900000001</v>
      </c>
      <c r="F129" s="11">
        <v>1111.3683699999999</v>
      </c>
      <c r="G129" s="11">
        <v>14.074074100000001</v>
      </c>
      <c r="H129" s="11">
        <v>14.623655899999999</v>
      </c>
      <c r="O129" s="22"/>
      <c r="P129" s="22"/>
    </row>
    <row r="130" spans="1:16" x14ac:dyDescent="0.3">
      <c r="A130" s="22"/>
      <c r="B130" s="7" t="s">
        <v>125</v>
      </c>
      <c r="C130" s="11">
        <v>0.39746424499999999</v>
      </c>
      <c r="D130" s="11">
        <v>0.40036456500000001</v>
      </c>
      <c r="E130" s="11">
        <v>851.59855400000004</v>
      </c>
      <c r="F130" s="11">
        <v>1028.21542</v>
      </c>
      <c r="G130" s="11">
        <v>16.296296300000002</v>
      </c>
      <c r="H130" s="11">
        <v>18.064516099999999</v>
      </c>
      <c r="O130" s="22"/>
      <c r="P130" s="22"/>
    </row>
    <row r="131" spans="1:16" x14ac:dyDescent="0.3">
      <c r="A131" s="22"/>
      <c r="B131" s="7" t="s">
        <v>295</v>
      </c>
      <c r="C131" s="11">
        <v>0.25275036000000001</v>
      </c>
      <c r="D131" s="11">
        <v>0.34743317000000001</v>
      </c>
      <c r="E131" s="11">
        <v>3359.2030800000002</v>
      </c>
      <c r="F131" s="11">
        <v>1084.9103600000001</v>
      </c>
      <c r="G131" s="11">
        <v>0.74074074000000001</v>
      </c>
      <c r="H131" s="11">
        <v>1.29032258</v>
      </c>
      <c r="O131" s="22"/>
      <c r="P131" s="22"/>
    </row>
    <row r="132" spans="1:16" x14ac:dyDescent="0.3">
      <c r="A132" s="22"/>
      <c r="B132" s="7" t="s">
        <v>126</v>
      </c>
      <c r="C132" s="11">
        <v>0.28809308</v>
      </c>
      <c r="D132" s="11">
        <v>0.31848158999999998</v>
      </c>
      <c r="E132" s="11">
        <v>1618.5419999999999</v>
      </c>
      <c r="F132" s="11">
        <v>1305.37041</v>
      </c>
      <c r="G132" s="11">
        <v>2.96296296</v>
      </c>
      <c r="H132" s="11">
        <v>5.5913978499999999</v>
      </c>
      <c r="O132" s="22"/>
      <c r="P132" s="22"/>
    </row>
    <row r="133" spans="1:16" x14ac:dyDescent="0.3">
      <c r="A133" s="22"/>
      <c r="B133" s="7" t="s">
        <v>296</v>
      </c>
      <c r="C133" s="11">
        <v>0.26905092000000003</v>
      </c>
      <c r="D133" s="11">
        <v>0.35178155500000002</v>
      </c>
      <c r="E133" s="11">
        <v>1185.80846</v>
      </c>
      <c r="F133" s="11">
        <v>1460.52945</v>
      </c>
      <c r="G133" s="11">
        <v>0.74074074000000001</v>
      </c>
      <c r="H133" s="11">
        <v>1.7204301099999999</v>
      </c>
      <c r="O133" s="22"/>
      <c r="P133" s="22"/>
    </row>
    <row r="134" spans="1:16" x14ac:dyDescent="0.3">
      <c r="A134" s="22"/>
      <c r="B134" s="7" t="s">
        <v>127</v>
      </c>
      <c r="C134" s="11">
        <v>0.32952572000000002</v>
      </c>
      <c r="D134" s="11">
        <v>0.36807895499999999</v>
      </c>
      <c r="E134" s="11">
        <v>1323.2732699999999</v>
      </c>
      <c r="F134" s="11">
        <v>1039.0097800000001</v>
      </c>
      <c r="G134" s="11">
        <v>8.8888888900000005</v>
      </c>
      <c r="H134" s="11">
        <v>9.6774193499999992</v>
      </c>
      <c r="O134" s="22"/>
      <c r="P134" s="22"/>
    </row>
    <row r="135" spans="1:16" x14ac:dyDescent="0.3">
      <c r="A135" s="22"/>
      <c r="B135" s="7" t="s">
        <v>128</v>
      </c>
      <c r="C135" s="11">
        <v>0.31326473999999999</v>
      </c>
      <c r="D135" s="11">
        <v>0.344810915</v>
      </c>
      <c r="E135" s="11">
        <v>2255.9858199999999</v>
      </c>
      <c r="F135" s="11">
        <v>1778.1803299999999</v>
      </c>
      <c r="G135" s="11">
        <v>0.74074074000000001</v>
      </c>
      <c r="H135" s="11">
        <v>1.7204301099999999</v>
      </c>
      <c r="O135" s="22"/>
      <c r="P135" s="22"/>
    </row>
    <row r="136" spans="1:16" x14ac:dyDescent="0.3">
      <c r="A136" s="22"/>
      <c r="B136" s="7" t="s">
        <v>297</v>
      </c>
      <c r="C136" s="11">
        <v>0.36451209000000001</v>
      </c>
      <c r="D136" s="11">
        <v>0.34892100999999998</v>
      </c>
      <c r="E136" s="11">
        <v>1320.9991399999999</v>
      </c>
      <c r="F136" s="11">
        <v>1242.6624200000001</v>
      </c>
      <c r="G136" s="11">
        <v>9.6296296300000002</v>
      </c>
      <c r="H136" s="11">
        <v>11.6129032</v>
      </c>
      <c r="O136" s="22"/>
      <c r="P136" s="22"/>
    </row>
    <row r="137" spans="1:16" x14ac:dyDescent="0.3">
      <c r="A137" s="22"/>
      <c r="B137" s="7" t="s">
        <v>129</v>
      </c>
      <c r="C137" s="11">
        <v>0.34217449</v>
      </c>
      <c r="D137" s="11">
        <v>0.35773855500000001</v>
      </c>
      <c r="E137" s="11">
        <v>1669.10607</v>
      </c>
      <c r="F137" s="11">
        <v>1253.14588</v>
      </c>
      <c r="G137" s="11">
        <v>3.7037037000000002</v>
      </c>
      <c r="H137" s="11">
        <v>6.0215053799999998</v>
      </c>
      <c r="O137" s="22"/>
      <c r="P137" s="22"/>
    </row>
    <row r="138" spans="1:16" x14ac:dyDescent="0.3">
      <c r="A138" s="22"/>
      <c r="B138" s="7" t="s">
        <v>298</v>
      </c>
      <c r="C138" s="11">
        <v>0.34538052499999999</v>
      </c>
      <c r="D138" s="11">
        <v>0.41776078</v>
      </c>
      <c r="E138" s="11">
        <v>994.53344200000004</v>
      </c>
      <c r="F138" s="11">
        <v>1272.21613</v>
      </c>
      <c r="G138" s="11">
        <v>13.3333333</v>
      </c>
      <c r="H138" s="11">
        <v>13.3333333</v>
      </c>
      <c r="O138" s="22"/>
      <c r="P138" s="22"/>
    </row>
    <row r="139" spans="1:16" x14ac:dyDescent="0.3">
      <c r="A139" s="22"/>
      <c r="B139" s="7" t="s">
        <v>299</v>
      </c>
      <c r="C139">
        <f>D139/2</f>
        <v>0.20888039</v>
      </c>
      <c r="D139" s="11">
        <v>0.41776078</v>
      </c>
      <c r="E139" s="22">
        <f>F139/2</f>
        <v>2762.3060999999998</v>
      </c>
      <c r="F139">
        <v>5524.6121999999996</v>
      </c>
      <c r="G139" s="22">
        <f>H139/2</f>
        <v>0.10752688000000001</v>
      </c>
      <c r="H139">
        <v>0.21505376000000001</v>
      </c>
      <c r="O139" s="22"/>
      <c r="P139" s="22"/>
    </row>
    <row r="140" spans="1:16" x14ac:dyDescent="0.3">
      <c r="B140" s="32" t="s">
        <v>67</v>
      </c>
      <c r="C140">
        <f>D140/2</f>
        <v>0.18572593719977459</v>
      </c>
      <c r="D140">
        <v>0.37145187439954919</v>
      </c>
      <c r="E140" s="22">
        <f>F140/2</f>
        <v>763.47758710385335</v>
      </c>
      <c r="F140">
        <v>1526.9551742077067</v>
      </c>
      <c r="G140" s="22">
        <f>H140/2</f>
        <v>0.967741935483871</v>
      </c>
      <c r="H140" s="22">
        <v>1.935483870967742</v>
      </c>
      <c r="O140" s="22"/>
      <c r="P140" s="22"/>
    </row>
    <row r="141" spans="1:16" x14ac:dyDescent="0.3">
      <c r="A141" s="22"/>
      <c r="B141" s="32" t="s">
        <v>69</v>
      </c>
      <c r="C141" s="11">
        <v>0.40408433500000002</v>
      </c>
      <c r="D141">
        <v>0.4265577415305204</v>
      </c>
      <c r="E141">
        <v>1011.7985820071699</v>
      </c>
      <c r="F141">
        <v>917.81459874181439</v>
      </c>
      <c r="G141" s="22">
        <v>17.777777777777779</v>
      </c>
      <c r="H141" s="22">
        <v>20</v>
      </c>
      <c r="O141" s="22"/>
      <c r="P141" s="22"/>
    </row>
    <row r="142" spans="1:16" x14ac:dyDescent="0.3">
      <c r="B142" s="32" t="s">
        <v>71</v>
      </c>
      <c r="C142" s="11">
        <v>0.28281901500000001</v>
      </c>
      <c r="D142">
        <v>0.36976737742653792</v>
      </c>
      <c r="E142">
        <v>1163.9299200156104</v>
      </c>
      <c r="F142">
        <v>1395.543697296388</v>
      </c>
      <c r="G142" s="22">
        <v>5.1851851851851851</v>
      </c>
      <c r="H142" s="22">
        <v>3.870967741935484</v>
      </c>
      <c r="O142" s="22"/>
      <c r="P142" s="22"/>
    </row>
    <row r="143" spans="1:16" x14ac:dyDescent="0.3">
      <c r="B143" s="32" t="s">
        <v>73</v>
      </c>
      <c r="C143" s="11">
        <v>0.50418909999999995</v>
      </c>
      <c r="D143">
        <v>0.5007881564418073</v>
      </c>
      <c r="E143">
        <v>883.9674301370444</v>
      </c>
      <c r="F143">
        <v>879.45487456872138</v>
      </c>
      <c r="G143" s="22">
        <v>27.407407407407408</v>
      </c>
      <c r="H143" s="22">
        <v>26.666666666666668</v>
      </c>
      <c r="O143" s="22"/>
      <c r="P143" s="22"/>
    </row>
    <row r="144" spans="1:16" x14ac:dyDescent="0.3">
      <c r="B144" s="32" t="s">
        <v>75</v>
      </c>
      <c r="C144" s="11">
        <v>0.54404304000000003</v>
      </c>
      <c r="D144">
        <v>0.33881083342287094</v>
      </c>
      <c r="E144">
        <v>1194.6537253548149</v>
      </c>
      <c r="F144">
        <v>1318.1851829638642</v>
      </c>
      <c r="G144" s="22">
        <v>4.4444444444444446</v>
      </c>
      <c r="H144" s="22">
        <v>4.946236559139785</v>
      </c>
      <c r="O144" s="22"/>
      <c r="P144" s="22"/>
    </row>
    <row r="145" spans="1:16" x14ac:dyDescent="0.3">
      <c r="B145" s="32" t="s">
        <v>77</v>
      </c>
      <c r="C145" s="11">
        <v>0.34641979499999997</v>
      </c>
      <c r="D145">
        <v>0.38805229044665052</v>
      </c>
      <c r="E145">
        <v>907.76260808683287</v>
      </c>
      <c r="F145">
        <v>1056.3645812619989</v>
      </c>
      <c r="G145" s="22">
        <v>11.851851851851851</v>
      </c>
      <c r="H145" s="22">
        <v>15.698924731182796</v>
      </c>
      <c r="O145" s="22"/>
      <c r="P145" s="22"/>
    </row>
    <row r="146" spans="1:16" x14ac:dyDescent="0.3">
      <c r="B146" s="32" t="s">
        <v>79</v>
      </c>
      <c r="C146" s="11">
        <v>0.36633724499999998</v>
      </c>
      <c r="D146">
        <v>0.38419493399685306</v>
      </c>
      <c r="E146">
        <v>1179.8799070862144</v>
      </c>
      <c r="F146">
        <v>1108.4493787852871</v>
      </c>
      <c r="G146" s="22">
        <v>16.296296296296298</v>
      </c>
      <c r="H146" s="22">
        <v>15.053763440860216</v>
      </c>
      <c r="O146" s="22"/>
      <c r="P146" s="22"/>
    </row>
    <row r="147" spans="1:16" x14ac:dyDescent="0.3">
      <c r="B147" s="32" t="s">
        <v>81</v>
      </c>
      <c r="C147" s="11">
        <v>0.29833252999999998</v>
      </c>
      <c r="D147">
        <v>0.36427177432121849</v>
      </c>
      <c r="E147">
        <v>1592.5264301450811</v>
      </c>
      <c r="F147">
        <v>1290.9212645471846</v>
      </c>
      <c r="G147" s="22">
        <v>6.666666666666667</v>
      </c>
      <c r="H147" s="22">
        <v>8.8172043010752681</v>
      </c>
      <c r="O147" s="22"/>
      <c r="P147" s="22"/>
    </row>
    <row r="148" spans="1:16" x14ac:dyDescent="0.3">
      <c r="B148" s="32" t="s">
        <v>276</v>
      </c>
      <c r="C148" s="11">
        <v>0.27929821500000002</v>
      </c>
      <c r="D148">
        <v>0.33867830292020085</v>
      </c>
      <c r="E148">
        <v>2165.8867598005727</v>
      </c>
      <c r="F148">
        <v>2228.614348927993</v>
      </c>
      <c r="G148" s="22">
        <v>1.4814814814814814</v>
      </c>
      <c r="H148" s="22">
        <v>0.43010752688172044</v>
      </c>
      <c r="O148" s="22"/>
      <c r="P148" s="22"/>
    </row>
    <row r="149" spans="1:16" x14ac:dyDescent="0.3">
      <c r="B149" s="32" t="s">
        <v>83</v>
      </c>
      <c r="C149">
        <f>D149/2</f>
        <v>0.25005349302030383</v>
      </c>
      <c r="D149">
        <v>0.50010698604060766</v>
      </c>
      <c r="E149" s="22">
        <f>F149/2</f>
        <v>1225.0886831240205</v>
      </c>
      <c r="F149">
        <v>2450.1773662480409</v>
      </c>
      <c r="G149" s="22">
        <f>H149/2</f>
        <v>0.21505376344086022</v>
      </c>
      <c r="H149" s="22">
        <v>0.43010752688172044</v>
      </c>
      <c r="O149" s="22"/>
      <c r="P149" s="22"/>
    </row>
    <row r="150" spans="1:16" x14ac:dyDescent="0.3">
      <c r="B150" s="32" t="s">
        <v>85</v>
      </c>
      <c r="C150" s="11">
        <v>0.30528919999999998</v>
      </c>
      <c r="D150">
        <v>0.3193642686625352</v>
      </c>
      <c r="E150">
        <v>1515.2027150321537</v>
      </c>
      <c r="F150">
        <v>1308.5239707704557</v>
      </c>
      <c r="G150" s="22">
        <v>2.9629629629629628</v>
      </c>
      <c r="H150" s="22">
        <v>6.021505376344086</v>
      </c>
      <c r="O150" s="22"/>
      <c r="P150" s="22"/>
    </row>
    <row r="151" spans="1:16" x14ac:dyDescent="0.3">
      <c r="B151" s="32" t="s">
        <v>87</v>
      </c>
      <c r="C151" s="11">
        <v>0.29490693499999998</v>
      </c>
      <c r="D151">
        <v>0.37401755309009099</v>
      </c>
      <c r="E151">
        <v>2300.8470353809444</v>
      </c>
      <c r="F151">
        <v>1265.4091992019803</v>
      </c>
      <c r="G151" s="22">
        <v>1.4814814814814814</v>
      </c>
      <c r="H151" s="22">
        <v>4.946236559139785</v>
      </c>
      <c r="O151" s="22"/>
      <c r="P151" s="22"/>
    </row>
    <row r="152" spans="1:16" x14ac:dyDescent="0.3">
      <c r="B152" s="32" t="s">
        <v>89</v>
      </c>
      <c r="C152">
        <f>D152/2</f>
        <v>0.1819601649481363</v>
      </c>
      <c r="D152">
        <v>0.3639203298962726</v>
      </c>
      <c r="E152" s="22">
        <f>F152/2</f>
        <v>655.89081403589319</v>
      </c>
      <c r="F152">
        <v>1311.7816280717864</v>
      </c>
      <c r="G152" s="22">
        <f>H152/2</f>
        <v>0.64516129032258063</v>
      </c>
      <c r="H152" s="22">
        <v>1.2903225806451613</v>
      </c>
      <c r="O152" s="22"/>
      <c r="P152" s="22"/>
    </row>
    <row r="153" spans="1:16" x14ac:dyDescent="0.3">
      <c r="B153" s="32" t="s">
        <v>91</v>
      </c>
      <c r="C153" s="11">
        <v>0.29964043499999998</v>
      </c>
      <c r="D153">
        <v>0.35805313033840147</v>
      </c>
      <c r="E153">
        <v>1545.7279597976292</v>
      </c>
      <c r="F153">
        <v>1515.7354889369071</v>
      </c>
      <c r="G153" s="22">
        <v>3.7037037037037037</v>
      </c>
      <c r="H153" s="22">
        <v>4.5161290322580649</v>
      </c>
      <c r="O153" s="22"/>
      <c r="P153" s="22"/>
    </row>
    <row r="154" spans="1:16" x14ac:dyDescent="0.3">
      <c r="B154" s="32" t="s">
        <v>93</v>
      </c>
      <c r="C154" s="11">
        <v>0.28276922500000001</v>
      </c>
      <c r="D154">
        <v>0.36273373836566303</v>
      </c>
      <c r="E154">
        <v>2443.1714556549996</v>
      </c>
      <c r="F154">
        <v>2238.7323587179926</v>
      </c>
      <c r="G154" s="22">
        <v>0.7407407407407407</v>
      </c>
      <c r="H154" s="22">
        <v>0.86021505376344087</v>
      </c>
      <c r="O154" s="22"/>
      <c r="P154" s="22"/>
    </row>
    <row r="155" spans="1:16" x14ac:dyDescent="0.3">
      <c r="B155" s="32" t="s">
        <v>95</v>
      </c>
      <c r="C155" s="11">
        <v>0.32669846499999999</v>
      </c>
      <c r="D155">
        <v>0.40471021641678739</v>
      </c>
      <c r="E155">
        <v>1260.6415699271647</v>
      </c>
      <c r="F155">
        <v>1181.6504953072904</v>
      </c>
      <c r="G155" s="22">
        <v>7.4074074074074074</v>
      </c>
      <c r="H155" s="22">
        <v>8.6021505376344081</v>
      </c>
      <c r="O155" s="22"/>
      <c r="P155" s="22"/>
    </row>
    <row r="156" spans="1:16" x14ac:dyDescent="0.3">
      <c r="B156" s="32" t="s">
        <v>97</v>
      </c>
      <c r="C156" s="11">
        <v>0.31550708</v>
      </c>
      <c r="D156">
        <v>0.35028796639445647</v>
      </c>
      <c r="E156">
        <v>2314.4947186917689</v>
      </c>
      <c r="F156">
        <v>1502.1455884900381</v>
      </c>
      <c r="G156" s="22">
        <v>1.4814814814814814</v>
      </c>
      <c r="H156" s="22">
        <v>3.225806451612903</v>
      </c>
      <c r="O156" s="22"/>
      <c r="P156" s="22"/>
    </row>
    <row r="157" spans="1:16" x14ac:dyDescent="0.3">
      <c r="B157" s="32" t="s">
        <v>101</v>
      </c>
      <c r="C157" s="11">
        <v>0.32662795999999999</v>
      </c>
      <c r="D157">
        <v>0.33003282082606022</v>
      </c>
      <c r="E157">
        <v>1684.2191839663058</v>
      </c>
      <c r="F157">
        <v>1313.3041960217022</v>
      </c>
      <c r="G157" s="22">
        <v>7.4074074074074074</v>
      </c>
      <c r="H157" s="22">
        <v>7.956989247311828</v>
      </c>
      <c r="O157" s="22"/>
      <c r="P157" s="22"/>
    </row>
    <row r="158" spans="1:16" x14ac:dyDescent="0.3">
      <c r="B158" s="32" t="s">
        <v>103</v>
      </c>
      <c r="C158" s="11">
        <v>0.39792185499999999</v>
      </c>
      <c r="D158">
        <v>0.43674535614793425</v>
      </c>
      <c r="E158">
        <v>846.78849477244432</v>
      </c>
      <c r="F158">
        <v>961.2128217698081</v>
      </c>
      <c r="G158" s="22">
        <v>21.481481481481481</v>
      </c>
      <c r="H158" s="22">
        <v>20.21505376344086</v>
      </c>
      <c r="O158" s="22"/>
      <c r="P158" s="22"/>
    </row>
    <row r="159" spans="1:16" x14ac:dyDescent="0.3">
      <c r="B159" s="32" t="s">
        <v>105</v>
      </c>
      <c r="C159" s="11">
        <v>0.53664844499999997</v>
      </c>
      <c r="D159">
        <v>0.45805757518611528</v>
      </c>
      <c r="E159">
        <v>1576.089787803528</v>
      </c>
      <c r="F159">
        <v>1350.0405247473245</v>
      </c>
      <c r="G159" s="22">
        <v>7.4074074074074074</v>
      </c>
      <c r="H159" s="22">
        <v>7.741935483870968</v>
      </c>
      <c r="O159" s="22"/>
      <c r="P159" s="22"/>
    </row>
    <row r="160" spans="1:16" x14ac:dyDescent="0.3">
      <c r="A160" s="22" t="s">
        <v>9</v>
      </c>
      <c r="B160" s="7" t="s">
        <v>270</v>
      </c>
      <c r="C160" s="11">
        <v>0.35059897811791296</v>
      </c>
      <c r="D160" s="11">
        <v>0.33389352875153822</v>
      </c>
      <c r="E160" s="11">
        <v>1148.5900666191731</v>
      </c>
      <c r="F160" s="11">
        <v>1076.2017430977369</v>
      </c>
      <c r="G160" s="11">
        <v>11.1764706</v>
      </c>
      <c r="H160" s="11">
        <v>11.495327100000001</v>
      </c>
      <c r="O160" s="22"/>
      <c r="P160" s="22"/>
    </row>
    <row r="161" spans="1:16" x14ac:dyDescent="0.3">
      <c r="A161" s="22" t="s">
        <v>300</v>
      </c>
      <c r="B161" s="7" t="s">
        <v>46</v>
      </c>
      <c r="C161" s="11">
        <v>0.32842834615084854</v>
      </c>
      <c r="D161" s="11">
        <v>0.36050071486993668</v>
      </c>
      <c r="E161" s="11">
        <v>1493.5041490140832</v>
      </c>
      <c r="F161" s="11">
        <v>1021.0132442385827</v>
      </c>
      <c r="G161" s="11">
        <v>7.0588235299999997</v>
      </c>
      <c r="H161" s="11">
        <v>8.1308411199999995</v>
      </c>
      <c r="O161" s="22"/>
      <c r="P161" s="22"/>
    </row>
    <row r="162" spans="1:16" x14ac:dyDescent="0.3">
      <c r="A162" s="22"/>
      <c r="B162" s="7" t="s">
        <v>48</v>
      </c>
      <c r="C162" s="11">
        <v>0.417983369979402</v>
      </c>
      <c r="D162" s="11">
        <v>0.35407774356332683</v>
      </c>
      <c r="E162" s="11">
        <v>1061.369706012493</v>
      </c>
      <c r="F162" s="11">
        <v>1111.6845289010203</v>
      </c>
      <c r="G162" s="11">
        <v>10</v>
      </c>
      <c r="H162" s="11">
        <v>9.2523364499999996</v>
      </c>
      <c r="O162" s="22"/>
      <c r="P162" s="22"/>
    </row>
    <row r="163" spans="1:16" x14ac:dyDescent="0.3">
      <c r="A163" s="22"/>
      <c r="B163" s="7" t="s">
        <v>50</v>
      </c>
      <c r="C163" s="11">
        <v>0.38494067830645784</v>
      </c>
      <c r="D163" s="11">
        <v>0.37835927800302976</v>
      </c>
      <c r="E163" s="11">
        <v>974.54386892090224</v>
      </c>
      <c r="F163" s="11">
        <v>1028.0156932200728</v>
      </c>
      <c r="G163" s="11">
        <v>2.3529411800000002</v>
      </c>
      <c r="H163" s="11">
        <v>2.8037383199999999</v>
      </c>
      <c r="O163" s="22"/>
      <c r="P163" s="22"/>
    </row>
    <row r="164" spans="1:16" x14ac:dyDescent="0.3">
      <c r="A164" s="22"/>
      <c r="B164" s="7" t="s">
        <v>271</v>
      </c>
      <c r="C164" s="11">
        <v>0.3909556958562308</v>
      </c>
      <c r="D164" s="11">
        <v>0.39898004722941727</v>
      </c>
      <c r="E164" s="11">
        <v>934.51741311666365</v>
      </c>
      <c r="F164" s="11">
        <v>1199.791666331065</v>
      </c>
      <c r="G164" s="11">
        <v>18.235294100000001</v>
      </c>
      <c r="H164" s="11">
        <v>17.3831776</v>
      </c>
      <c r="O164" s="22"/>
      <c r="P164" s="22"/>
    </row>
    <row r="165" spans="1:16" x14ac:dyDescent="0.3">
      <c r="A165" s="22"/>
      <c r="B165" s="7" t="s">
        <v>272</v>
      </c>
      <c r="C165" s="26">
        <v>0.4917189317798108</v>
      </c>
      <c r="D165" s="11">
        <v>0.49364983341706559</v>
      </c>
      <c r="E165" s="26">
        <v>875.06788018745408</v>
      </c>
      <c r="F165" s="11">
        <v>918.12104616380475</v>
      </c>
      <c r="G165" s="11">
        <v>22.941176500000001</v>
      </c>
      <c r="H165" s="11">
        <v>21.869158899999999</v>
      </c>
      <c r="O165" s="22"/>
      <c r="P165" s="22"/>
    </row>
    <row r="166" spans="1:16" x14ac:dyDescent="0.3">
      <c r="A166" s="22"/>
      <c r="B166" s="7" t="s">
        <v>52</v>
      </c>
      <c r="C166" s="11">
        <v>0.51893275067329747</v>
      </c>
      <c r="D166" s="11">
        <v>0.38988402408816197</v>
      </c>
      <c r="E166" s="11">
        <v>1297.7388366196105</v>
      </c>
      <c r="F166" s="11">
        <v>1223.4562167425572</v>
      </c>
      <c r="G166" s="11">
        <v>5.2941176499999996</v>
      </c>
      <c r="H166" s="11">
        <v>4.2056074800000003</v>
      </c>
      <c r="O166" s="22"/>
      <c r="P166" s="22"/>
    </row>
    <row r="167" spans="1:16" x14ac:dyDescent="0.3">
      <c r="A167" s="22"/>
      <c r="B167" s="7" t="s">
        <v>54</v>
      </c>
      <c r="C167" s="11">
        <v>0.45705325112095957</v>
      </c>
      <c r="D167" s="11">
        <v>0.42545523891915693</v>
      </c>
      <c r="E167" s="11">
        <v>969.75970866727869</v>
      </c>
      <c r="F167" s="11">
        <v>953.99401215267585</v>
      </c>
      <c r="G167" s="11">
        <v>16.470588200000002</v>
      </c>
      <c r="H167" s="11">
        <v>14.8598131</v>
      </c>
      <c r="O167" s="22"/>
      <c r="P167" s="22"/>
    </row>
    <row r="168" spans="1:16" x14ac:dyDescent="0.3">
      <c r="A168" s="22"/>
      <c r="B168" s="7" t="s">
        <v>273</v>
      </c>
      <c r="C168" s="11">
        <v>0.74519546999999997</v>
      </c>
      <c r="D168" s="11">
        <v>0.72665616499999997</v>
      </c>
      <c r="E168" s="26">
        <v>444.21700665929961</v>
      </c>
      <c r="F168" s="11">
        <v>479.41307271720223</v>
      </c>
      <c r="G168" s="11">
        <v>38.352941199999997</v>
      </c>
      <c r="H168" s="11">
        <v>35.7196262</v>
      </c>
      <c r="O168" s="22"/>
      <c r="P168" s="22"/>
    </row>
    <row r="169" spans="1:16" x14ac:dyDescent="0.3">
      <c r="A169" s="22"/>
      <c r="B169" s="7" t="s">
        <v>56</v>
      </c>
      <c r="C169" s="11">
        <v>0.46827981968091847</v>
      </c>
      <c r="D169" s="11">
        <v>0.45965530468971144</v>
      </c>
      <c r="E169" s="11">
        <v>992.25668176660497</v>
      </c>
      <c r="F169" s="11">
        <v>924.91334095124375</v>
      </c>
      <c r="G169" s="11">
        <v>20</v>
      </c>
      <c r="H169" s="11">
        <v>17.3831776</v>
      </c>
      <c r="O169" s="22"/>
      <c r="P169" s="22"/>
    </row>
    <row r="170" spans="1:16" x14ac:dyDescent="0.3">
      <c r="A170" s="22"/>
      <c r="B170" s="7" t="s">
        <v>274</v>
      </c>
      <c r="C170" s="11">
        <v>0.55064172866800098</v>
      </c>
      <c r="D170" s="11">
        <v>0.59647452494190578</v>
      </c>
      <c r="E170" s="11">
        <v>680.92790031869754</v>
      </c>
      <c r="F170" s="11">
        <v>782.19100453702151</v>
      </c>
      <c r="G170" s="11">
        <v>32.352941199999997</v>
      </c>
      <c r="H170" s="11">
        <v>32.2429907</v>
      </c>
      <c r="O170" s="22"/>
      <c r="P170" s="22"/>
    </row>
    <row r="171" spans="1:16" x14ac:dyDescent="0.3">
      <c r="A171" s="22"/>
      <c r="B171" s="7" t="s">
        <v>275</v>
      </c>
      <c r="C171" s="11">
        <v>0.37320344629212315</v>
      </c>
      <c r="D171" s="11">
        <v>0.37256927410730867</v>
      </c>
      <c r="E171" s="11">
        <v>1215.4600140370137</v>
      </c>
      <c r="F171" s="11">
        <v>1103.8438879193982</v>
      </c>
      <c r="G171" s="11">
        <v>11.764705899999999</v>
      </c>
      <c r="H171" s="11">
        <v>9.5327102799999999</v>
      </c>
      <c r="O171" s="22"/>
      <c r="P171" s="22"/>
    </row>
    <row r="172" spans="1:16" x14ac:dyDescent="0.3">
      <c r="A172" s="22"/>
      <c r="B172" s="7" t="s">
        <v>58</v>
      </c>
      <c r="C172" s="11">
        <v>0.44608881680195156</v>
      </c>
      <c r="D172" s="11">
        <v>0.47543144158022699</v>
      </c>
      <c r="E172" s="11">
        <v>868.78646352009127</v>
      </c>
      <c r="F172" s="11">
        <v>847.51104456940914</v>
      </c>
      <c r="G172" s="11">
        <v>22.941176500000001</v>
      </c>
      <c r="H172" s="11">
        <v>22.710280399999998</v>
      </c>
      <c r="O172" s="22"/>
      <c r="P172" s="22"/>
    </row>
    <row r="173" spans="1:16" x14ac:dyDescent="0.3">
      <c r="A173" s="22"/>
      <c r="B173" s="7" t="s">
        <v>278</v>
      </c>
      <c r="C173" s="11">
        <v>0.66881402067252527</v>
      </c>
      <c r="D173" s="11">
        <v>0.56614456083586218</v>
      </c>
      <c r="E173" s="11">
        <v>785.27740759128903</v>
      </c>
      <c r="F173" s="11">
        <v>743.1110654137301</v>
      </c>
      <c r="G173" s="11">
        <v>28.823529400000002</v>
      </c>
      <c r="H173" s="11">
        <v>31.962616799999999</v>
      </c>
      <c r="O173" s="22"/>
      <c r="P173" s="22"/>
    </row>
    <row r="174" spans="1:16" x14ac:dyDescent="0.3">
      <c r="A174" s="22"/>
      <c r="B174" s="7" t="s">
        <v>60</v>
      </c>
      <c r="C174" s="11">
        <v>0.52581385183802187</v>
      </c>
      <c r="D174" s="26">
        <v>0.44857415602458889</v>
      </c>
      <c r="E174" s="11">
        <v>955.9022366176207</v>
      </c>
      <c r="F174" s="26">
        <v>855.58959061046642</v>
      </c>
      <c r="G174" s="11">
        <v>20</v>
      </c>
      <c r="H174" s="11">
        <v>19.345794399999999</v>
      </c>
      <c r="O174" s="22"/>
      <c r="P174" s="22"/>
    </row>
    <row r="175" spans="1:16" x14ac:dyDescent="0.3">
      <c r="A175" s="22"/>
      <c r="B175" s="7" t="s">
        <v>279</v>
      </c>
      <c r="C175" s="11">
        <v>0.39121927182169186</v>
      </c>
      <c r="D175" s="11">
        <v>0.4110949759765492</v>
      </c>
      <c r="E175" s="11">
        <v>1065.076523607466</v>
      </c>
      <c r="F175" s="11">
        <v>1108.643748851307</v>
      </c>
      <c r="G175" s="11">
        <v>12.941176499999999</v>
      </c>
      <c r="H175" s="11">
        <v>15.420560699999999</v>
      </c>
      <c r="O175" s="22"/>
      <c r="P175" s="22"/>
    </row>
    <row r="176" spans="1:16" x14ac:dyDescent="0.3">
      <c r="A176" s="22"/>
      <c r="B176" s="7" t="s">
        <v>64</v>
      </c>
      <c r="C176" s="11">
        <v>0.72742344999999997</v>
      </c>
      <c r="D176" s="11">
        <v>0.71110386000000003</v>
      </c>
      <c r="E176" s="25">
        <v>488.8638628349164</v>
      </c>
      <c r="F176" s="11">
        <v>549.21188719217173</v>
      </c>
      <c r="G176" s="11">
        <v>37.647058800000003</v>
      </c>
      <c r="H176" s="11">
        <v>37.7570093</v>
      </c>
      <c r="O176" s="22"/>
      <c r="P176" s="22"/>
    </row>
    <row r="177" spans="1:16" x14ac:dyDescent="0.3">
      <c r="B177" s="32" t="s">
        <v>237</v>
      </c>
      <c r="C177" s="11">
        <v>0.53787921500000002</v>
      </c>
      <c r="D177" s="11">
        <v>0.541562655</v>
      </c>
      <c r="E177">
        <v>838.56981049439321</v>
      </c>
      <c r="F177">
        <v>772.0370316324279</v>
      </c>
      <c r="G177" s="22">
        <v>32.352941176470587</v>
      </c>
      <c r="H177" s="22">
        <v>27.476635514018692</v>
      </c>
      <c r="O177" s="22"/>
      <c r="P177" s="22"/>
    </row>
    <row r="178" spans="1:16" x14ac:dyDescent="0.3">
      <c r="A178" s="22"/>
      <c r="B178" s="32" t="s">
        <v>45</v>
      </c>
      <c r="C178" s="11">
        <v>0.46838185500000001</v>
      </c>
      <c r="D178" s="11">
        <v>0.35668294</v>
      </c>
      <c r="E178">
        <v>946.76685683825065</v>
      </c>
      <c r="F178">
        <v>1136.49037524813</v>
      </c>
      <c r="G178" s="22">
        <v>14.705882352941176</v>
      </c>
      <c r="H178" s="22">
        <v>10.093457943925234</v>
      </c>
      <c r="O178" s="22"/>
      <c r="P178" s="22"/>
    </row>
    <row r="179" spans="1:16" x14ac:dyDescent="0.3">
      <c r="B179" s="32" t="s">
        <v>252</v>
      </c>
      <c r="C179" s="11">
        <v>0.54326481999999998</v>
      </c>
      <c r="D179" s="11">
        <v>0.53989309500000005</v>
      </c>
      <c r="E179">
        <v>841.29408630551836</v>
      </c>
      <c r="F179">
        <v>833.70401907213784</v>
      </c>
      <c r="G179" s="22">
        <v>22.352941176470587</v>
      </c>
      <c r="H179" s="22">
        <v>24.11214953271028</v>
      </c>
      <c r="O179" s="22"/>
      <c r="P179" s="22"/>
    </row>
    <row r="180" spans="1:16" x14ac:dyDescent="0.3">
      <c r="B180" s="32" t="s">
        <v>47</v>
      </c>
      <c r="C180" s="11">
        <v>0.73007859500000005</v>
      </c>
      <c r="D180" s="11">
        <v>0.36259258500000002</v>
      </c>
      <c r="E180">
        <v>852.46562574755569</v>
      </c>
      <c r="F180">
        <v>1187.4062358234987</v>
      </c>
      <c r="G180" s="22">
        <v>1.7647058823529411</v>
      </c>
      <c r="H180" s="22">
        <v>2.2429906542056073</v>
      </c>
      <c r="O180" s="22"/>
      <c r="P180" s="22"/>
    </row>
    <row r="181" spans="1:16" x14ac:dyDescent="0.3">
      <c r="B181" s="32" t="s">
        <v>49</v>
      </c>
      <c r="C181" s="11">
        <v>0.38333707</v>
      </c>
      <c r="D181" s="11">
        <v>0.35747206500000001</v>
      </c>
      <c r="E181">
        <v>1082.0456861962991</v>
      </c>
      <c r="F181">
        <v>1143.8891363309619</v>
      </c>
      <c r="G181" s="22">
        <v>4.7058823529411766</v>
      </c>
      <c r="H181" s="22">
        <v>6.7289719626168223</v>
      </c>
      <c r="O181" s="22"/>
      <c r="P181" s="22"/>
    </row>
    <row r="182" spans="1:16" x14ac:dyDescent="0.3">
      <c r="B182" s="32" t="s">
        <v>256</v>
      </c>
      <c r="C182" s="11">
        <v>0.34478340000000002</v>
      </c>
      <c r="D182" s="11">
        <v>0.38769472500000002</v>
      </c>
      <c r="E182">
        <v>921.81052351890526</v>
      </c>
      <c r="F182">
        <v>1021.8325919353305</v>
      </c>
      <c r="G182" s="22">
        <v>16.470588235294116</v>
      </c>
      <c r="H182" s="22">
        <v>15.420560747663551</v>
      </c>
      <c r="O182" s="22"/>
      <c r="P182" s="22"/>
    </row>
    <row r="183" spans="1:16" x14ac:dyDescent="0.3">
      <c r="B183" s="32" t="s">
        <v>328</v>
      </c>
      <c r="C183" s="11">
        <v>0.28924283000000001</v>
      </c>
      <c r="D183" s="11">
        <v>0.27846924499999998</v>
      </c>
      <c r="E183">
        <v>2320.5696975427877</v>
      </c>
      <c r="F183">
        <v>1811.2480435158589</v>
      </c>
      <c r="G183" s="22">
        <v>1.7647058823529411</v>
      </c>
      <c r="H183" s="22">
        <v>1.9626168224299065</v>
      </c>
      <c r="O183" s="22"/>
      <c r="P183" s="22"/>
    </row>
    <row r="184" spans="1:16" x14ac:dyDescent="0.3">
      <c r="B184" s="32" t="s">
        <v>258</v>
      </c>
      <c r="C184" s="11">
        <v>0.74867001499999997</v>
      </c>
      <c r="D184" s="11">
        <v>0.72095165000000005</v>
      </c>
      <c r="E184">
        <v>495.86502325325785</v>
      </c>
      <c r="F184">
        <v>518.48717928195981</v>
      </c>
      <c r="G184" s="22">
        <v>25.294117647058822</v>
      </c>
      <c r="H184" s="22">
        <v>55.514018691588788</v>
      </c>
      <c r="O184" s="22"/>
      <c r="P184" s="22"/>
    </row>
    <row r="185" spans="1:16" x14ac:dyDescent="0.3">
      <c r="B185" s="32" t="s">
        <v>260</v>
      </c>
      <c r="C185" s="11">
        <v>0.27857467000000002</v>
      </c>
      <c r="D185" s="11">
        <v>0.293996445</v>
      </c>
      <c r="E185">
        <v>1790.4136603228726</v>
      </c>
      <c r="F185">
        <v>1059.811470625328</v>
      </c>
      <c r="G185" s="22">
        <v>1.1764705882352942</v>
      </c>
      <c r="H185" s="22">
        <v>1.6822429906542056</v>
      </c>
      <c r="O185" s="22"/>
      <c r="P185" s="22"/>
    </row>
    <row r="186" spans="1:16" x14ac:dyDescent="0.3">
      <c r="B186" s="32" t="s">
        <v>51</v>
      </c>
      <c r="C186">
        <f>D186/2</f>
        <v>0.122273885</v>
      </c>
      <c r="D186" s="11">
        <v>0.24454777</v>
      </c>
      <c r="E186" s="22">
        <f>F186/2</f>
        <v>419.07407408862491</v>
      </c>
      <c r="F186">
        <v>838.14814817724982</v>
      </c>
      <c r="G186" s="22">
        <f>H186/2</f>
        <v>0.14018691588785046</v>
      </c>
      <c r="H186" s="22">
        <v>0.28037383177570091</v>
      </c>
      <c r="O186" s="22"/>
      <c r="P186" s="22"/>
    </row>
    <row r="187" spans="1:16" x14ac:dyDescent="0.3">
      <c r="B187" s="32" t="s">
        <v>53</v>
      </c>
      <c r="C187" s="11">
        <v>0.38669092500000002</v>
      </c>
      <c r="D187" s="11">
        <v>0.39119472</v>
      </c>
      <c r="E187">
        <v>1064.9310252231958</v>
      </c>
      <c r="F187">
        <v>1080.9958501546148</v>
      </c>
      <c r="G187" s="22">
        <v>10.588235294117647</v>
      </c>
      <c r="H187" s="22">
        <v>11.77570093457944</v>
      </c>
      <c r="O187" s="22"/>
      <c r="P187" s="22"/>
    </row>
    <row r="188" spans="1:16" x14ac:dyDescent="0.3">
      <c r="B188" s="32" t="s">
        <v>55</v>
      </c>
      <c r="C188" s="11">
        <v>0.28757048000000002</v>
      </c>
      <c r="D188" s="11">
        <v>0.33688019000000002</v>
      </c>
      <c r="E188">
        <v>1492.6818163872927</v>
      </c>
      <c r="F188">
        <v>1629.7617487955392</v>
      </c>
      <c r="G188" s="22">
        <v>2.9411764705882355</v>
      </c>
      <c r="H188" s="22">
        <v>3.0841121495327104</v>
      </c>
      <c r="O188" s="22"/>
      <c r="P188" s="22"/>
    </row>
    <row r="189" spans="1:16" x14ac:dyDescent="0.3">
      <c r="B189" s="32" t="s">
        <v>265</v>
      </c>
      <c r="C189" s="11">
        <v>0.59496459999999995</v>
      </c>
      <c r="D189" s="11">
        <v>0.62702387000000004</v>
      </c>
      <c r="E189">
        <v>727.92435220220023</v>
      </c>
      <c r="F189">
        <v>766.33910105788129</v>
      </c>
      <c r="G189" s="22">
        <v>36.470588235294116</v>
      </c>
      <c r="H189" s="22">
        <v>33.364485981308412</v>
      </c>
      <c r="O189" s="22"/>
      <c r="P189" s="22"/>
    </row>
    <row r="190" spans="1:16" x14ac:dyDescent="0.3">
      <c r="B190" s="32" t="s">
        <v>267</v>
      </c>
      <c r="C190" s="11">
        <v>0.37916706999999999</v>
      </c>
      <c r="D190" s="11">
        <v>0.41921462500000001</v>
      </c>
      <c r="E190">
        <v>877.54043048270114</v>
      </c>
      <c r="F190">
        <v>889.96067819044799</v>
      </c>
      <c r="G190" s="22">
        <v>18.823529411764707</v>
      </c>
      <c r="H190" s="22">
        <v>19.626168224299064</v>
      </c>
      <c r="O190" s="22"/>
      <c r="P190" s="22"/>
    </row>
    <row r="191" spans="1:16" x14ac:dyDescent="0.3">
      <c r="B191" s="32" t="s">
        <v>277</v>
      </c>
      <c r="C191" s="11">
        <v>0.35148427999999998</v>
      </c>
      <c r="D191" s="11">
        <v>0.37309320000000001</v>
      </c>
      <c r="E191">
        <v>986.04697603138823</v>
      </c>
      <c r="F191">
        <v>1117.8707139842197</v>
      </c>
      <c r="G191" s="22">
        <v>11.176470588235293</v>
      </c>
      <c r="H191" s="22">
        <v>10.654205607476635</v>
      </c>
      <c r="O191" s="22"/>
      <c r="P191" s="22"/>
    </row>
    <row r="192" spans="1:16" x14ac:dyDescent="0.3">
      <c r="B192" s="32" t="s">
        <v>57</v>
      </c>
      <c r="C192" s="11">
        <v>0.319749795</v>
      </c>
      <c r="D192" s="11">
        <v>0.353816505</v>
      </c>
      <c r="E192">
        <v>1108.2195813916187</v>
      </c>
      <c r="F192">
        <v>1232.1299747563223</v>
      </c>
      <c r="G192" s="22">
        <v>3.5294117647058822</v>
      </c>
      <c r="H192" s="22">
        <v>3.9252336448598131</v>
      </c>
      <c r="O192" s="22"/>
      <c r="P192" s="22"/>
    </row>
    <row r="193" spans="1:16" x14ac:dyDescent="0.3">
      <c r="B193" s="32" t="s">
        <v>62</v>
      </c>
      <c r="C193">
        <f>D193/2</f>
        <v>0.19082525</v>
      </c>
      <c r="D193" s="11">
        <v>0.3816505</v>
      </c>
      <c r="E193" s="22">
        <f>F193/2</f>
        <v>1288.9145527865476</v>
      </c>
      <c r="F193">
        <v>2577.8291055730951</v>
      </c>
      <c r="G193" s="22">
        <f>H193/2</f>
        <v>0.28037383177570091</v>
      </c>
      <c r="H193" s="22">
        <v>0.56074766355140182</v>
      </c>
      <c r="O193" s="22"/>
      <c r="P193" s="22"/>
    </row>
    <row r="194" spans="1:16" x14ac:dyDescent="0.3">
      <c r="B194" s="32" t="s">
        <v>59</v>
      </c>
      <c r="C194" s="11">
        <v>0.31914668499999999</v>
      </c>
      <c r="D194" s="11">
        <v>0.31889718</v>
      </c>
      <c r="E194">
        <v>1484.0714001846693</v>
      </c>
      <c r="F194">
        <v>1184.2231411697585</v>
      </c>
      <c r="G194" s="22">
        <v>4.117647058823529</v>
      </c>
      <c r="H194" s="22">
        <v>5.0467289719626169</v>
      </c>
      <c r="O194" s="22"/>
      <c r="P194" s="22"/>
    </row>
    <row r="195" spans="1:16" x14ac:dyDescent="0.3">
      <c r="B195" s="32" t="s">
        <v>63</v>
      </c>
      <c r="C195" s="11">
        <v>0.39238347499999998</v>
      </c>
      <c r="D195" s="11">
        <v>0.37342957999999998</v>
      </c>
      <c r="E195">
        <v>1180.1681306892403</v>
      </c>
      <c r="F195">
        <v>1014.1700618809838</v>
      </c>
      <c r="G195" s="22">
        <v>3.5294117647058822</v>
      </c>
      <c r="H195" s="22">
        <v>5.0467289719626169</v>
      </c>
      <c r="O195" s="22"/>
      <c r="P195" s="22"/>
    </row>
    <row r="196" spans="1:16" x14ac:dyDescent="0.3">
      <c r="B196" s="32" t="s">
        <v>65</v>
      </c>
      <c r="C196" s="11">
        <v>0.25196584500000002</v>
      </c>
      <c r="D196" s="11">
        <v>0.29180927499999998</v>
      </c>
      <c r="E196">
        <v>1997.5172299882543</v>
      </c>
      <c r="F196">
        <v>2696.4690881957504</v>
      </c>
      <c r="G196" s="22">
        <v>0.58823529411764708</v>
      </c>
      <c r="H196" s="22">
        <v>0.28037383177570091</v>
      </c>
      <c r="O196" s="22"/>
      <c r="P196" s="22"/>
    </row>
    <row r="197" spans="1:16" x14ac:dyDescent="0.3">
      <c r="A197" s="24"/>
      <c r="B197" s="11"/>
      <c r="F197" s="24"/>
      <c r="G197" s="24"/>
      <c r="H197" s="11"/>
    </row>
    <row r="198" spans="1:16" x14ac:dyDescent="0.3">
      <c r="G198" s="22"/>
    </row>
    <row r="199" spans="1:16" x14ac:dyDescent="0.3">
      <c r="B199" s="1" t="s">
        <v>15</v>
      </c>
      <c r="C199" s="11">
        <v>0.36299999999999999</v>
      </c>
      <c r="D199" s="11">
        <v>0.38129999999999997</v>
      </c>
      <c r="E199" s="11">
        <v>1379</v>
      </c>
      <c r="F199" s="11">
        <v>1463</v>
      </c>
      <c r="G199" s="11">
        <v>8.2569999999999997</v>
      </c>
      <c r="H199" s="11">
        <v>9.3659999999999997</v>
      </c>
    </row>
    <row r="200" spans="1:16" x14ac:dyDescent="0.3">
      <c r="B200" s="1" t="s">
        <v>380</v>
      </c>
      <c r="C200" s="11">
        <v>8.633E-3</v>
      </c>
      <c r="D200" s="11">
        <v>7.0730000000000003E-3</v>
      </c>
      <c r="E200" s="11">
        <v>59</v>
      </c>
      <c r="F200" s="11">
        <v>95.65</v>
      </c>
      <c r="G200" s="11">
        <v>0.7006</v>
      </c>
      <c r="H200" s="11">
        <v>0.74229999999999996</v>
      </c>
    </row>
    <row r="201" spans="1:16" x14ac:dyDescent="0.3">
      <c r="E201" s="22"/>
      <c r="L201" s="23"/>
    </row>
    <row r="202" spans="1:16" x14ac:dyDescent="0.3">
      <c r="A202" s="2" t="s">
        <v>444</v>
      </c>
      <c r="B202" s="22"/>
      <c r="C202" s="22"/>
      <c r="D202" s="2" t="s">
        <v>445</v>
      </c>
      <c r="E202" s="22"/>
      <c r="F202" s="22"/>
      <c r="G202" s="2" t="s">
        <v>446</v>
      </c>
      <c r="H202" s="22"/>
      <c r="L202" s="11"/>
      <c r="M202" s="22"/>
    </row>
    <row r="203" spans="1:16" x14ac:dyDescent="0.3">
      <c r="A203" s="24" t="s">
        <v>392</v>
      </c>
      <c r="B203" s="11"/>
      <c r="C203" s="22"/>
      <c r="D203" s="24" t="s">
        <v>392</v>
      </c>
      <c r="E203" s="11"/>
      <c r="F203" s="22"/>
      <c r="G203" s="24" t="s">
        <v>392</v>
      </c>
      <c r="H203" s="11"/>
      <c r="L203" s="11"/>
      <c r="M203" s="22"/>
    </row>
    <row r="204" spans="1:16" x14ac:dyDescent="0.3">
      <c r="A204" s="24" t="s">
        <v>393</v>
      </c>
      <c r="B204" s="11">
        <v>4.0000000000000002E-4</v>
      </c>
      <c r="C204" s="22"/>
      <c r="D204" s="24" t="s">
        <v>393</v>
      </c>
      <c r="E204" s="11">
        <v>0.43419999999999997</v>
      </c>
      <c r="F204" s="22"/>
      <c r="G204" s="24" t="s">
        <v>393</v>
      </c>
      <c r="H204" s="11" t="s">
        <v>386</v>
      </c>
      <c r="L204" s="11"/>
      <c r="M204" s="22"/>
    </row>
    <row r="205" spans="1:16" x14ac:dyDescent="0.3">
      <c r="A205" s="24" t="s">
        <v>441</v>
      </c>
      <c r="B205" s="11" t="s">
        <v>509</v>
      </c>
      <c r="C205" s="22"/>
      <c r="D205" s="24" t="s">
        <v>441</v>
      </c>
      <c r="E205" s="11" t="s">
        <v>417</v>
      </c>
      <c r="F205" s="22"/>
      <c r="G205" s="24" t="s">
        <v>441</v>
      </c>
      <c r="H205" s="11" t="s">
        <v>422</v>
      </c>
      <c r="L205" s="11"/>
      <c r="M205" s="22"/>
    </row>
    <row r="206" spans="1:16" x14ac:dyDescent="0.3">
      <c r="A206" s="24"/>
      <c r="B206" s="11"/>
      <c r="K206" s="22"/>
      <c r="L206" s="11"/>
    </row>
    <row r="207" spans="1:16" x14ac:dyDescent="0.3">
      <c r="E207" s="22"/>
      <c r="K207" s="22"/>
      <c r="L207" s="11"/>
    </row>
    <row r="208" spans="1:16" x14ac:dyDescent="0.3">
      <c r="A208" s="24"/>
      <c r="B208" s="11"/>
      <c r="E208" s="22"/>
      <c r="K208" s="22"/>
      <c r="L208" s="11"/>
    </row>
    <row r="209" spans="5:11" x14ac:dyDescent="0.3">
      <c r="E209" s="22"/>
      <c r="K209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zoomScaleNormal="100" workbookViewId="0"/>
  </sheetViews>
  <sheetFormatPr baseColWidth="10" defaultRowHeight="14.4" x14ac:dyDescent="0.3"/>
  <sheetData>
    <row r="1" spans="1:18" x14ac:dyDescent="0.3">
      <c r="A1" s="70" t="s">
        <v>657</v>
      </c>
      <c r="B1" s="1"/>
      <c r="C1" s="1"/>
      <c r="D1" s="2" t="s">
        <v>621</v>
      </c>
      <c r="E1" s="2" t="s">
        <v>628</v>
      </c>
      <c r="F1" s="1"/>
      <c r="J1" s="1"/>
      <c r="N1" s="1"/>
      <c r="O1" s="1"/>
      <c r="P1" s="1"/>
      <c r="Q1" s="1"/>
      <c r="R1" s="1"/>
    </row>
    <row r="2" spans="1:18" x14ac:dyDescent="0.3">
      <c r="B2" s="1" t="s">
        <v>351</v>
      </c>
      <c r="C2" s="1" t="s">
        <v>0</v>
      </c>
      <c r="D2" s="1" t="s">
        <v>350</v>
      </c>
      <c r="E2" s="1" t="s">
        <v>350</v>
      </c>
      <c r="F2" s="1"/>
      <c r="J2" s="1"/>
      <c r="N2" s="1"/>
      <c r="O2" s="1"/>
      <c r="P2" s="1"/>
      <c r="Q2" s="1"/>
      <c r="R2" s="1"/>
    </row>
    <row r="3" spans="1:18" x14ac:dyDescent="0.3">
      <c r="A3" t="s">
        <v>7</v>
      </c>
      <c r="B3" s="1" t="s">
        <v>20</v>
      </c>
      <c r="C3" s="1" t="s">
        <v>527</v>
      </c>
      <c r="D3" s="46">
        <v>9.6872444400000006</v>
      </c>
      <c r="E3" s="46">
        <v>9.4480158700000008</v>
      </c>
      <c r="F3" s="1"/>
      <c r="J3" s="1"/>
      <c r="N3" s="1"/>
      <c r="O3" s="1"/>
      <c r="P3" s="46"/>
      <c r="Q3" s="46"/>
      <c r="R3" s="1"/>
    </row>
    <row r="4" spans="1:18" x14ac:dyDescent="0.3">
      <c r="A4" s="22" t="s">
        <v>8</v>
      </c>
      <c r="B4" s="1" t="s">
        <v>21</v>
      </c>
      <c r="C4" s="1" t="s">
        <v>18</v>
      </c>
      <c r="D4" s="46">
        <v>2.04364122</v>
      </c>
      <c r="E4" s="46">
        <v>3.3219230799999999</v>
      </c>
      <c r="F4" s="1"/>
      <c r="J4" s="1"/>
      <c r="N4" s="1"/>
      <c r="O4" s="1"/>
      <c r="P4" s="46"/>
      <c r="Q4" s="46"/>
      <c r="R4" s="1"/>
    </row>
    <row r="5" spans="1:18" x14ac:dyDescent="0.3">
      <c r="A5" s="22" t="s">
        <v>9</v>
      </c>
      <c r="B5" s="1" t="s">
        <v>22</v>
      </c>
      <c r="C5" s="1" t="s">
        <v>527</v>
      </c>
      <c r="D5" s="46">
        <v>2.9854166700000002</v>
      </c>
      <c r="E5" s="46">
        <v>11.829404800000001</v>
      </c>
      <c r="F5" s="1"/>
      <c r="J5" s="1"/>
      <c r="N5" s="1"/>
      <c r="O5" s="1"/>
      <c r="P5" s="46"/>
      <c r="Q5" s="46"/>
      <c r="R5" s="1"/>
    </row>
    <row r="6" spans="1:18" x14ac:dyDescent="0.3">
      <c r="A6" s="22" t="s">
        <v>10</v>
      </c>
      <c r="B6" s="1" t="s">
        <v>23</v>
      </c>
      <c r="C6" s="1" t="s">
        <v>18</v>
      </c>
      <c r="D6" s="46">
        <v>12.5625</v>
      </c>
      <c r="E6" s="46">
        <v>11.1975</v>
      </c>
      <c r="F6" s="1"/>
      <c r="J6" s="1"/>
      <c r="N6" s="1"/>
      <c r="O6" s="1"/>
      <c r="P6" s="46"/>
      <c r="Q6" s="46"/>
      <c r="R6" s="1"/>
    </row>
    <row r="7" spans="1:18" x14ac:dyDescent="0.3">
      <c r="A7" s="22" t="s">
        <v>16</v>
      </c>
      <c r="B7" s="1" t="s">
        <v>24</v>
      </c>
      <c r="C7" s="1" t="s">
        <v>527</v>
      </c>
      <c r="D7" s="46">
        <v>7.2247058800000001</v>
      </c>
      <c r="E7" s="46">
        <v>7.6342261899999997</v>
      </c>
      <c r="F7" s="1"/>
      <c r="J7" s="1"/>
      <c r="N7" s="1"/>
      <c r="O7" s="1"/>
      <c r="P7" s="46"/>
      <c r="Q7" s="46"/>
      <c r="R7" s="1"/>
    </row>
    <row r="8" spans="1:18" x14ac:dyDescent="0.3">
      <c r="A8" s="22" t="s">
        <v>354</v>
      </c>
      <c r="B8" s="1" t="s">
        <v>349</v>
      </c>
      <c r="C8" s="1" t="s">
        <v>18</v>
      </c>
      <c r="D8" s="46">
        <v>9.3333333300000003</v>
      </c>
      <c r="E8" s="46">
        <v>15.891228099999999</v>
      </c>
      <c r="F8" s="1"/>
      <c r="J8" s="1"/>
      <c r="N8" s="1"/>
      <c r="O8" s="1"/>
      <c r="P8" s="46"/>
      <c r="Q8" s="46"/>
      <c r="R8" s="1"/>
    </row>
    <row r="9" spans="1:18" x14ac:dyDescent="0.3">
      <c r="B9" s="1"/>
      <c r="C9" s="1"/>
      <c r="D9" s="1"/>
      <c r="E9" s="1"/>
      <c r="F9" s="1"/>
      <c r="J9" s="1"/>
      <c r="N9" s="1"/>
      <c r="O9" s="1"/>
      <c r="P9" s="46"/>
      <c r="Q9" s="46"/>
      <c r="R9" s="1"/>
    </row>
    <row r="10" spans="1:18" x14ac:dyDescent="0.3">
      <c r="B10" s="1"/>
      <c r="C10" s="1" t="s">
        <v>15</v>
      </c>
      <c r="D10" s="46">
        <v>7.306</v>
      </c>
      <c r="E10" s="46">
        <v>9.8870000000000005</v>
      </c>
      <c r="F10" s="1"/>
      <c r="J10" s="1"/>
      <c r="N10" s="1"/>
      <c r="O10" s="1"/>
      <c r="P10" s="1"/>
      <c r="Q10" s="1"/>
      <c r="R10" s="1"/>
    </row>
    <row r="11" spans="1:18" x14ac:dyDescent="0.3">
      <c r="B11" s="1"/>
      <c r="C11" s="1" t="s">
        <v>380</v>
      </c>
      <c r="D11" s="46">
        <v>1.671</v>
      </c>
      <c r="E11" s="46">
        <v>1.7310000000000001</v>
      </c>
      <c r="F11" s="1"/>
      <c r="J11" s="1"/>
      <c r="N11" s="1"/>
      <c r="O11" s="1"/>
      <c r="P11" s="1"/>
      <c r="Q11" s="1"/>
      <c r="R11" s="1"/>
    </row>
    <row r="12" spans="1:18" x14ac:dyDescent="0.3">
      <c r="B12" s="1"/>
      <c r="C12" s="1"/>
      <c r="D12" s="1"/>
      <c r="E12" s="1"/>
      <c r="F12" s="1"/>
      <c r="J12" s="1"/>
      <c r="N12" s="1"/>
      <c r="O12" s="1"/>
      <c r="P12" s="1"/>
      <c r="Q12" s="1"/>
      <c r="R12" s="1"/>
    </row>
    <row r="13" spans="1:18" x14ac:dyDescent="0.3">
      <c r="B13" s="1"/>
      <c r="C13" s="45" t="s">
        <v>41</v>
      </c>
      <c r="D13" s="1"/>
      <c r="E13" s="1"/>
      <c r="F13" s="1"/>
      <c r="J13" s="1"/>
      <c r="N13" s="1"/>
      <c r="O13" s="1"/>
      <c r="P13" s="1"/>
      <c r="Q13" s="1"/>
      <c r="R13" s="1"/>
    </row>
    <row r="14" spans="1:18" x14ac:dyDescent="0.3">
      <c r="B14" s="1"/>
      <c r="C14" s="47" t="s">
        <v>392</v>
      </c>
      <c r="D14" s="18"/>
      <c r="E14" s="1"/>
      <c r="F14" s="1"/>
      <c r="J14" s="1"/>
      <c r="N14" s="1"/>
      <c r="O14" s="1"/>
      <c r="P14" s="1"/>
      <c r="Q14" s="1"/>
      <c r="R14" s="1"/>
    </row>
    <row r="15" spans="1:18" x14ac:dyDescent="0.3">
      <c r="B15" s="1"/>
      <c r="C15" s="47" t="s">
        <v>393</v>
      </c>
      <c r="D15" s="18">
        <v>0.3125</v>
      </c>
      <c r="E15" s="1"/>
      <c r="F15" s="1"/>
      <c r="J15" s="1"/>
      <c r="N15" s="1"/>
      <c r="O15" s="1"/>
      <c r="P15" s="1"/>
      <c r="Q15" s="1"/>
      <c r="R15" s="1"/>
    </row>
    <row r="16" spans="1:18" x14ac:dyDescent="0.3">
      <c r="B16" s="1"/>
      <c r="C16" s="47" t="s">
        <v>441</v>
      </c>
      <c r="D16" s="49" t="s">
        <v>417</v>
      </c>
      <c r="E16" s="1"/>
      <c r="F16" s="1"/>
      <c r="J16" s="1"/>
      <c r="N16" s="1"/>
      <c r="O16" s="1"/>
      <c r="P16" s="1"/>
      <c r="Q16" s="1"/>
      <c r="R16" s="1"/>
    </row>
    <row r="17" spans="1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B18" s="1"/>
      <c r="C18" s="1"/>
      <c r="D18" s="2" t="s">
        <v>621</v>
      </c>
      <c r="E18" s="2" t="s">
        <v>628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22"/>
      <c r="B19" s="1" t="s">
        <v>351</v>
      </c>
      <c r="C19" s="1" t="s">
        <v>0</v>
      </c>
      <c r="D19" s="1" t="s">
        <v>26</v>
      </c>
      <c r="E19" s="1" t="s">
        <v>26</v>
      </c>
      <c r="N19" s="1"/>
      <c r="O19" s="1"/>
      <c r="P19" s="1"/>
      <c r="Q19" s="1"/>
      <c r="R19" s="1"/>
    </row>
    <row r="20" spans="1:18" x14ac:dyDescent="0.3">
      <c r="A20" s="22" t="s">
        <v>7</v>
      </c>
      <c r="B20" s="1" t="s">
        <v>20</v>
      </c>
      <c r="C20" s="1" t="s">
        <v>527</v>
      </c>
      <c r="D20" s="46">
        <v>993.40266699999995</v>
      </c>
      <c r="E20" s="46">
        <v>1691.60079</v>
      </c>
      <c r="N20" s="1"/>
      <c r="O20" s="1"/>
      <c r="P20" s="1"/>
      <c r="Q20" s="1"/>
      <c r="R20" s="1"/>
    </row>
    <row r="21" spans="1:18" x14ac:dyDescent="0.3">
      <c r="A21" s="22" t="s">
        <v>8</v>
      </c>
      <c r="B21" s="1" t="s">
        <v>21</v>
      </c>
      <c r="C21" s="1" t="s">
        <v>18</v>
      </c>
      <c r="D21" s="46">
        <v>895.35246700000005</v>
      </c>
      <c r="E21" s="46">
        <v>1264.0865899999999</v>
      </c>
    </row>
    <row r="22" spans="1:18" x14ac:dyDescent="0.3">
      <c r="A22" s="22" t="s">
        <v>9</v>
      </c>
      <c r="B22" s="1" t="s">
        <v>22</v>
      </c>
      <c r="C22" s="1" t="s">
        <v>527</v>
      </c>
      <c r="D22" s="46">
        <v>385.08333299999998</v>
      </c>
      <c r="E22" s="46">
        <v>1219.4047599999999</v>
      </c>
    </row>
    <row r="23" spans="1:18" x14ac:dyDescent="0.3">
      <c r="A23" s="22" t="s">
        <v>10</v>
      </c>
      <c r="B23" s="1" t="s">
        <v>23</v>
      </c>
      <c r="C23" s="1" t="s">
        <v>18</v>
      </c>
      <c r="D23" s="46">
        <v>400.8125</v>
      </c>
      <c r="E23" s="46">
        <v>1023.7875</v>
      </c>
    </row>
    <row r="24" spans="1:18" x14ac:dyDescent="0.3">
      <c r="A24" s="22" t="s">
        <v>16</v>
      </c>
      <c r="B24" s="1" t="s">
        <v>24</v>
      </c>
      <c r="C24" s="1" t="s">
        <v>527</v>
      </c>
      <c r="D24" s="46">
        <v>837.28779799999995</v>
      </c>
      <c r="E24" s="46">
        <v>1167.5559499999999</v>
      </c>
      <c r="O24" s="22"/>
    </row>
    <row r="25" spans="1:18" x14ac:dyDescent="0.3">
      <c r="A25" s="22" t="s">
        <v>354</v>
      </c>
      <c r="B25" s="1" t="s">
        <v>349</v>
      </c>
      <c r="C25" s="1" t="s">
        <v>18</v>
      </c>
      <c r="D25" s="46">
        <v>393.5</v>
      </c>
      <c r="E25" s="46">
        <v>845.77719300000001</v>
      </c>
    </row>
    <row r="26" spans="1:18" x14ac:dyDescent="0.3">
      <c r="C26" s="1"/>
      <c r="D26" s="1"/>
      <c r="E26" s="1"/>
    </row>
    <row r="27" spans="1:18" x14ac:dyDescent="0.3">
      <c r="C27" s="1" t="s">
        <v>15</v>
      </c>
      <c r="D27" s="46">
        <v>650.9</v>
      </c>
      <c r="E27" s="46">
        <v>1202</v>
      </c>
    </row>
    <row r="28" spans="1:18" x14ac:dyDescent="0.3">
      <c r="C28" s="1" t="s">
        <v>380</v>
      </c>
      <c r="D28" s="46">
        <v>117.1</v>
      </c>
      <c r="E28" s="46">
        <v>116</v>
      </c>
    </row>
    <row r="29" spans="1:18" x14ac:dyDescent="0.3">
      <c r="C29" s="1"/>
      <c r="D29" s="1"/>
      <c r="E29" s="1"/>
    </row>
    <row r="30" spans="1:18" x14ac:dyDescent="0.3">
      <c r="C30" s="45" t="s">
        <v>42</v>
      </c>
      <c r="D30" s="1"/>
      <c r="E30" s="1"/>
    </row>
    <row r="31" spans="1:18" x14ac:dyDescent="0.3">
      <c r="C31" s="48" t="s">
        <v>392</v>
      </c>
      <c r="D31" s="46"/>
      <c r="E31" s="1"/>
    </row>
    <row r="32" spans="1:18" x14ac:dyDescent="0.3">
      <c r="C32" s="48" t="s">
        <v>393</v>
      </c>
      <c r="D32" s="46">
        <v>3.1300000000000001E-2</v>
      </c>
      <c r="E32" s="1"/>
    </row>
    <row r="33" spans="1:5" x14ac:dyDescent="0.3">
      <c r="C33" s="48" t="s">
        <v>441</v>
      </c>
      <c r="D33" s="50" t="s">
        <v>428</v>
      </c>
      <c r="E33" s="1"/>
    </row>
    <row r="35" spans="1:5" x14ac:dyDescent="0.3">
      <c r="C35" s="1"/>
      <c r="D35" s="2" t="s">
        <v>621</v>
      </c>
      <c r="E35" s="2" t="s">
        <v>628</v>
      </c>
    </row>
    <row r="36" spans="1:5" x14ac:dyDescent="0.3">
      <c r="A36" s="22"/>
      <c r="B36" s="1" t="s">
        <v>351</v>
      </c>
      <c r="C36" s="1" t="s">
        <v>0</v>
      </c>
      <c r="D36" s="1" t="s">
        <v>27</v>
      </c>
      <c r="E36" s="1" t="s">
        <v>27</v>
      </c>
    </row>
    <row r="37" spans="1:5" x14ac:dyDescent="0.3">
      <c r="A37" s="22" t="s">
        <v>7</v>
      </c>
      <c r="B37" s="1" t="s">
        <v>20</v>
      </c>
      <c r="C37" s="1" t="s">
        <v>527</v>
      </c>
      <c r="D37" s="46">
        <v>0.96702005999999996</v>
      </c>
      <c r="E37" s="46">
        <v>0.84797937000000001</v>
      </c>
    </row>
    <row r="38" spans="1:5" x14ac:dyDescent="0.3">
      <c r="A38" s="22" t="s">
        <v>8</v>
      </c>
      <c r="B38" s="1" t="s">
        <v>21</v>
      </c>
      <c r="C38" s="1" t="s">
        <v>18</v>
      </c>
      <c r="D38" s="46">
        <v>1.13795709</v>
      </c>
      <c r="E38" s="46">
        <v>0.64034882000000004</v>
      </c>
    </row>
    <row r="39" spans="1:5" x14ac:dyDescent="0.3">
      <c r="A39" s="22" t="s">
        <v>9</v>
      </c>
      <c r="B39" s="1" t="s">
        <v>22</v>
      </c>
      <c r="C39" s="1" t="s">
        <v>527</v>
      </c>
      <c r="D39" s="46">
        <v>2.08461067</v>
      </c>
      <c r="E39" s="46">
        <v>0.67534974999999997</v>
      </c>
    </row>
    <row r="40" spans="1:5" x14ac:dyDescent="0.3">
      <c r="A40" s="22" t="s">
        <v>10</v>
      </c>
      <c r="B40" s="1" t="s">
        <v>23</v>
      </c>
      <c r="C40" s="1" t="s">
        <v>18</v>
      </c>
      <c r="D40" s="46">
        <v>2.1126760600000001</v>
      </c>
      <c r="E40" s="46">
        <v>0.59259258999999997</v>
      </c>
    </row>
    <row r="41" spans="1:5" x14ac:dyDescent="0.3">
      <c r="A41" s="22" t="s">
        <v>16</v>
      </c>
      <c r="B41" s="1" t="s">
        <v>24</v>
      </c>
      <c r="C41" s="1" t="s">
        <v>527</v>
      </c>
      <c r="D41" s="46">
        <v>1.0143726200000001</v>
      </c>
      <c r="E41" s="46">
        <v>0.77362244000000002</v>
      </c>
    </row>
    <row r="42" spans="1:5" x14ac:dyDescent="0.3">
      <c r="A42" s="22" t="s">
        <v>354</v>
      </c>
      <c r="B42" s="1" t="s">
        <v>349</v>
      </c>
      <c r="C42" s="1" t="s">
        <v>18</v>
      </c>
      <c r="D42" s="46">
        <v>1.5</v>
      </c>
      <c r="E42" s="46">
        <v>0.95833332999999998</v>
      </c>
    </row>
    <row r="43" spans="1:5" x14ac:dyDescent="0.3">
      <c r="C43" s="1"/>
      <c r="D43" s="1"/>
      <c r="E43" s="1"/>
    </row>
    <row r="44" spans="1:5" x14ac:dyDescent="0.3">
      <c r="C44" s="1" t="s">
        <v>15</v>
      </c>
      <c r="D44" s="46">
        <v>1.4690000000000001</v>
      </c>
      <c r="E44" s="46">
        <v>0.748</v>
      </c>
    </row>
    <row r="45" spans="1:5" x14ac:dyDescent="0.3">
      <c r="C45" s="1" t="s">
        <v>380</v>
      </c>
      <c r="D45" s="46">
        <v>0.21310000000000001</v>
      </c>
      <c r="E45" s="46">
        <v>5.654E-2</v>
      </c>
    </row>
    <row r="46" spans="1:5" x14ac:dyDescent="0.3">
      <c r="C46" s="1"/>
      <c r="D46" s="1"/>
      <c r="E46" s="1"/>
    </row>
    <row r="47" spans="1:5" x14ac:dyDescent="0.3">
      <c r="C47" s="45" t="s">
        <v>43</v>
      </c>
      <c r="D47" s="1"/>
      <c r="E47" s="1"/>
    </row>
    <row r="48" spans="1:5" x14ac:dyDescent="0.3">
      <c r="C48" s="47" t="s">
        <v>392</v>
      </c>
      <c r="D48" s="18"/>
      <c r="E48" s="1"/>
    </row>
    <row r="49" spans="1:5" x14ac:dyDescent="0.3">
      <c r="C49" s="47" t="s">
        <v>393</v>
      </c>
      <c r="D49" s="18">
        <v>3.1300000000000001E-2</v>
      </c>
      <c r="E49" s="1"/>
    </row>
    <row r="50" spans="1:5" x14ac:dyDescent="0.3">
      <c r="C50" s="47" t="s">
        <v>441</v>
      </c>
      <c r="D50" s="49" t="s">
        <v>428</v>
      </c>
      <c r="E50" s="1"/>
    </row>
    <row r="52" spans="1:5" x14ac:dyDescent="0.3">
      <c r="B52" s="1"/>
      <c r="C52" s="1"/>
      <c r="D52" s="2" t="s">
        <v>627</v>
      </c>
      <c r="E52" s="2" t="s">
        <v>628</v>
      </c>
    </row>
    <row r="53" spans="1:5" x14ac:dyDescent="0.3">
      <c r="B53" s="1" t="s">
        <v>351</v>
      </c>
      <c r="C53" s="1"/>
      <c r="D53" s="1" t="s">
        <v>350</v>
      </c>
      <c r="E53" s="1" t="s">
        <v>350</v>
      </c>
    </row>
    <row r="54" spans="1:5" x14ac:dyDescent="0.3">
      <c r="A54" s="22" t="s">
        <v>7</v>
      </c>
      <c r="B54" t="s">
        <v>17</v>
      </c>
      <c r="C54" t="s">
        <v>527</v>
      </c>
      <c r="D54">
        <v>9.6815376784896952</v>
      </c>
      <c r="E54">
        <v>8.6386260838658337</v>
      </c>
    </row>
    <row r="55" spans="1:5" x14ac:dyDescent="0.3">
      <c r="A55" s="22" t="s">
        <v>8</v>
      </c>
      <c r="B55" t="s">
        <v>19</v>
      </c>
      <c r="C55" t="s">
        <v>527</v>
      </c>
      <c r="D55">
        <v>3.2176346690513755</v>
      </c>
      <c r="E55">
        <v>5.1584520858553571</v>
      </c>
    </row>
    <row r="56" spans="1:5" x14ac:dyDescent="0.3">
      <c r="A56" s="22" t="s">
        <v>9</v>
      </c>
      <c r="B56" t="s">
        <v>20</v>
      </c>
      <c r="C56" t="s">
        <v>527</v>
      </c>
      <c r="D56">
        <v>5.5080977908991464</v>
      </c>
      <c r="E56">
        <v>3.4586318750935616</v>
      </c>
    </row>
    <row r="57" spans="1:5" x14ac:dyDescent="0.3">
      <c r="A57" s="22" t="s">
        <v>10</v>
      </c>
      <c r="B57" t="s">
        <v>21</v>
      </c>
      <c r="C57" t="s">
        <v>18</v>
      </c>
      <c r="D57">
        <v>3.8143535318367814</v>
      </c>
      <c r="E57">
        <v>3.0938552241561932</v>
      </c>
    </row>
    <row r="58" spans="1:5" x14ac:dyDescent="0.3">
      <c r="A58" s="22" t="s">
        <v>16</v>
      </c>
      <c r="B58" t="s">
        <v>22</v>
      </c>
      <c r="C58" t="s">
        <v>527</v>
      </c>
      <c r="D58">
        <v>9.6404057320560668</v>
      </c>
      <c r="E58">
        <v>8.985137346220041</v>
      </c>
    </row>
    <row r="59" spans="1:5" x14ac:dyDescent="0.3">
      <c r="A59" s="22" t="s">
        <v>354</v>
      </c>
      <c r="B59" t="s">
        <v>23</v>
      </c>
      <c r="C59" s="22" t="s">
        <v>18</v>
      </c>
      <c r="D59">
        <v>9.4318810980136121</v>
      </c>
      <c r="E59">
        <v>18.564436594878515</v>
      </c>
    </row>
    <row r="60" spans="1:5" x14ac:dyDescent="0.3">
      <c r="A60" s="22" t="s">
        <v>355</v>
      </c>
      <c r="B60" t="s">
        <v>24</v>
      </c>
      <c r="C60" s="22" t="s">
        <v>527</v>
      </c>
      <c r="D60">
        <v>2.7857245211288562</v>
      </c>
      <c r="E60">
        <v>3.0121180180373797</v>
      </c>
    </row>
    <row r="62" spans="1:5" x14ac:dyDescent="0.3">
      <c r="C62" s="22" t="s">
        <v>15</v>
      </c>
      <c r="D62" s="11">
        <v>6.2969999999999997</v>
      </c>
      <c r="E62" s="11">
        <v>7.2729999999999997</v>
      </c>
    </row>
    <row r="63" spans="1:5" x14ac:dyDescent="0.3">
      <c r="C63" s="22" t="s">
        <v>380</v>
      </c>
      <c r="D63" s="11">
        <v>1.206</v>
      </c>
      <c r="E63" s="11">
        <v>2.11</v>
      </c>
    </row>
    <row r="64" spans="1:5" x14ac:dyDescent="0.3">
      <c r="C64" s="22"/>
    </row>
    <row r="65" spans="1:10" x14ac:dyDescent="0.3">
      <c r="C65" s="4" t="s">
        <v>41</v>
      </c>
    </row>
    <row r="66" spans="1:10" x14ac:dyDescent="0.3">
      <c r="C66" s="41" t="s">
        <v>392</v>
      </c>
      <c r="D66" s="19"/>
    </row>
    <row r="67" spans="1:10" x14ac:dyDescent="0.3">
      <c r="C67" s="41" t="s">
        <v>393</v>
      </c>
      <c r="D67" s="19">
        <v>0.9375</v>
      </c>
    </row>
    <row r="68" spans="1:10" x14ac:dyDescent="0.3">
      <c r="C68" s="41" t="s">
        <v>441</v>
      </c>
      <c r="D68" s="42" t="s">
        <v>417</v>
      </c>
    </row>
    <row r="70" spans="1:10" x14ac:dyDescent="0.3">
      <c r="C70" s="1"/>
      <c r="D70" s="2" t="s">
        <v>627</v>
      </c>
      <c r="E70" s="2" t="s">
        <v>628</v>
      </c>
    </row>
    <row r="71" spans="1:10" x14ac:dyDescent="0.3">
      <c r="A71" s="22"/>
      <c r="B71" s="1" t="s">
        <v>351</v>
      </c>
      <c r="C71" s="1"/>
      <c r="D71" s="1" t="s">
        <v>26</v>
      </c>
      <c r="E71" s="1" t="s">
        <v>26</v>
      </c>
    </row>
    <row r="72" spans="1:10" x14ac:dyDescent="0.3">
      <c r="A72" s="22" t="s">
        <v>7</v>
      </c>
      <c r="B72" s="22" t="s">
        <v>17</v>
      </c>
      <c r="C72" s="22" t="s">
        <v>527</v>
      </c>
      <c r="D72">
        <v>918.57672034457073</v>
      </c>
      <c r="E72">
        <v>1124.5469742063492</v>
      </c>
    </row>
    <row r="73" spans="1:10" x14ac:dyDescent="0.3">
      <c r="A73" s="22" t="s">
        <v>8</v>
      </c>
      <c r="B73" s="22" t="s">
        <v>19</v>
      </c>
      <c r="C73" s="22" t="s">
        <v>527</v>
      </c>
      <c r="D73">
        <v>789.32305465367972</v>
      </c>
      <c r="E73">
        <v>1064.2722125472997</v>
      </c>
    </row>
    <row r="74" spans="1:10" x14ac:dyDescent="0.3">
      <c r="A74" s="22" t="s">
        <v>9</v>
      </c>
      <c r="B74" s="22" t="s">
        <v>20</v>
      </c>
      <c r="C74" s="22" t="s">
        <v>527</v>
      </c>
      <c r="D74">
        <v>1020.0440117031919</v>
      </c>
      <c r="E74">
        <v>995.26159951159957</v>
      </c>
    </row>
    <row r="75" spans="1:10" x14ac:dyDescent="0.3">
      <c r="A75" s="22" t="s">
        <v>10</v>
      </c>
      <c r="B75" s="22" t="s">
        <v>21</v>
      </c>
      <c r="C75" s="22" t="s">
        <v>18</v>
      </c>
      <c r="D75">
        <v>1251.2511994949496</v>
      </c>
      <c r="E75">
        <v>1300.3996489621491</v>
      </c>
    </row>
    <row r="76" spans="1:10" x14ac:dyDescent="0.3">
      <c r="A76" s="22" t="s">
        <v>16</v>
      </c>
      <c r="B76" s="22" t="s">
        <v>22</v>
      </c>
      <c r="C76" s="22" t="s">
        <v>527</v>
      </c>
      <c r="D76">
        <v>898.88333333333333</v>
      </c>
      <c r="E76">
        <v>1293.4452614379084</v>
      </c>
      <c r="F76" s="1"/>
      <c r="J76" s="1"/>
    </row>
    <row r="77" spans="1:10" x14ac:dyDescent="0.3">
      <c r="A77" s="22" t="s">
        <v>354</v>
      </c>
      <c r="B77" s="22" t="s">
        <v>23</v>
      </c>
      <c r="C77" s="22" t="s">
        <v>18</v>
      </c>
      <c r="D77">
        <v>652.52777777777783</v>
      </c>
      <c r="E77">
        <v>833.0832792207791</v>
      </c>
      <c r="F77" s="1"/>
      <c r="J77" s="1"/>
    </row>
    <row r="78" spans="1:10" x14ac:dyDescent="0.3">
      <c r="A78" s="22" t="s">
        <v>355</v>
      </c>
      <c r="B78" s="22" t="s">
        <v>24</v>
      </c>
      <c r="C78" s="22" t="s">
        <v>527</v>
      </c>
      <c r="D78">
        <v>1202.5004030257937</v>
      </c>
      <c r="E78">
        <v>1353.1261599511599</v>
      </c>
    </row>
    <row r="80" spans="1:10" x14ac:dyDescent="0.3">
      <c r="C80" s="22" t="s">
        <v>15</v>
      </c>
      <c r="D80" s="11">
        <v>961.9</v>
      </c>
      <c r="E80" s="11">
        <v>1138</v>
      </c>
    </row>
    <row r="81" spans="1:5" x14ac:dyDescent="0.3">
      <c r="C81" s="22" t="s">
        <v>380</v>
      </c>
      <c r="D81" s="11">
        <v>81.11</v>
      </c>
      <c r="E81" s="11">
        <v>71.680000000000007</v>
      </c>
    </row>
    <row r="83" spans="1:5" x14ac:dyDescent="0.3">
      <c r="C83" s="4" t="s">
        <v>42</v>
      </c>
    </row>
    <row r="84" spans="1:5" x14ac:dyDescent="0.3">
      <c r="C84" s="24" t="s">
        <v>392</v>
      </c>
      <c r="D84" s="11"/>
    </row>
    <row r="85" spans="1:5" x14ac:dyDescent="0.3">
      <c r="C85" s="24" t="s">
        <v>393</v>
      </c>
      <c r="D85" s="11">
        <v>3.1300000000000001E-2</v>
      </c>
    </row>
    <row r="86" spans="1:5" x14ac:dyDescent="0.3">
      <c r="C86" s="24" t="s">
        <v>441</v>
      </c>
      <c r="D86" s="43" t="s">
        <v>428</v>
      </c>
    </row>
    <row r="88" spans="1:5" x14ac:dyDescent="0.3">
      <c r="A88" s="22"/>
      <c r="B88" s="1" t="s">
        <v>351</v>
      </c>
      <c r="C88" s="1"/>
      <c r="D88" s="2" t="s">
        <v>627</v>
      </c>
      <c r="E88" s="2" t="s">
        <v>628</v>
      </c>
    </row>
    <row r="89" spans="1:5" x14ac:dyDescent="0.3">
      <c r="A89" s="22" t="s">
        <v>7</v>
      </c>
      <c r="B89" s="22" t="s">
        <v>17</v>
      </c>
      <c r="C89" s="22" t="s">
        <v>527</v>
      </c>
      <c r="D89" s="1" t="s">
        <v>27</v>
      </c>
      <c r="E89" s="1" t="s">
        <v>27</v>
      </c>
    </row>
    <row r="90" spans="1:5" x14ac:dyDescent="0.3">
      <c r="A90" s="22" t="s">
        <v>8</v>
      </c>
      <c r="B90" s="22" t="s">
        <v>19</v>
      </c>
      <c r="C90" s="22" t="s">
        <v>527</v>
      </c>
      <c r="D90">
        <v>0.7361893632938632</v>
      </c>
      <c r="E90">
        <v>0.67274790123282435</v>
      </c>
    </row>
    <row r="91" spans="1:5" x14ac:dyDescent="0.3">
      <c r="A91" s="22" t="s">
        <v>9</v>
      </c>
      <c r="B91" s="22" t="s">
        <v>20</v>
      </c>
      <c r="C91" s="22" t="s">
        <v>527</v>
      </c>
      <c r="D91">
        <v>0.82401228699494422</v>
      </c>
      <c r="E91">
        <v>0.67752055052801097</v>
      </c>
    </row>
    <row r="92" spans="1:5" x14ac:dyDescent="0.3">
      <c r="A92" s="22" t="s">
        <v>10</v>
      </c>
      <c r="B92" s="22" t="s">
        <v>21</v>
      </c>
      <c r="C92" s="22" t="s">
        <v>18</v>
      </c>
      <c r="D92">
        <v>0.65755733175604947</v>
      </c>
      <c r="E92">
        <v>0.70548081067843704</v>
      </c>
    </row>
    <row r="93" spans="1:5" x14ac:dyDescent="0.3">
      <c r="A93" s="22" t="s">
        <v>16</v>
      </c>
      <c r="B93" s="22" t="s">
        <v>22</v>
      </c>
      <c r="C93" s="22" t="s">
        <v>527</v>
      </c>
      <c r="D93">
        <v>0.53359404337601823</v>
      </c>
      <c r="E93">
        <v>0.47861621435667601</v>
      </c>
    </row>
    <row r="94" spans="1:5" x14ac:dyDescent="0.3">
      <c r="A94" s="22" t="s">
        <v>354</v>
      </c>
      <c r="B94" s="22" t="s">
        <v>23</v>
      </c>
      <c r="C94" s="22" t="s">
        <v>18</v>
      </c>
      <c r="D94">
        <v>0.66645227844516419</v>
      </c>
      <c r="E94">
        <v>0.56636261796347454</v>
      </c>
    </row>
    <row r="95" spans="1:5" x14ac:dyDescent="0.3">
      <c r="A95" s="22" t="s">
        <v>355</v>
      </c>
      <c r="B95" s="22" t="s">
        <v>24</v>
      </c>
      <c r="C95" s="22" t="s">
        <v>527</v>
      </c>
      <c r="D95">
        <v>1.0368259857926074</v>
      </c>
      <c r="E95">
        <v>0.83707864236780005</v>
      </c>
    </row>
    <row r="96" spans="1:5" x14ac:dyDescent="0.3">
      <c r="D96">
        <v>0.6100267284439469</v>
      </c>
      <c r="E96">
        <v>0.54174776090097509</v>
      </c>
    </row>
    <row r="98" spans="3:5" x14ac:dyDescent="0.3">
      <c r="C98" s="22" t="s">
        <v>15</v>
      </c>
      <c r="D98" s="11">
        <v>0.72350000000000003</v>
      </c>
      <c r="E98" s="11">
        <v>0.62570000000000003</v>
      </c>
    </row>
    <row r="99" spans="3:5" x14ac:dyDescent="0.3">
      <c r="C99" s="22" t="s">
        <v>380</v>
      </c>
      <c r="D99" s="11">
        <v>6.2670000000000003E-2</v>
      </c>
      <c r="E99" s="11">
        <v>4.5969999999999997E-2</v>
      </c>
    </row>
    <row r="100" spans="3:5" x14ac:dyDescent="0.3">
      <c r="C100" s="11"/>
      <c r="D100" s="11"/>
    </row>
    <row r="101" spans="3:5" x14ac:dyDescent="0.3">
      <c r="C101" s="4" t="s">
        <v>43</v>
      </c>
    </row>
    <row r="102" spans="3:5" x14ac:dyDescent="0.3">
      <c r="C102" s="41" t="s">
        <v>392</v>
      </c>
      <c r="D102" s="19"/>
    </row>
    <row r="103" spans="3:5" x14ac:dyDescent="0.3">
      <c r="C103" s="41" t="s">
        <v>393</v>
      </c>
      <c r="D103" s="19">
        <v>3.1300000000000001E-2</v>
      </c>
    </row>
    <row r="104" spans="3:5" x14ac:dyDescent="0.3">
      <c r="C104" s="41" t="s">
        <v>441</v>
      </c>
      <c r="D104" s="42" t="s">
        <v>428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RowHeight="14.4" x14ac:dyDescent="0.3"/>
  <cols>
    <col min="3" max="3" width="17.5546875" customWidth="1"/>
    <col min="4" max="4" width="15.6640625" customWidth="1"/>
    <col min="8" max="8" width="17.88671875" customWidth="1"/>
    <col min="9" max="9" width="14.44140625" customWidth="1"/>
  </cols>
  <sheetData>
    <row r="1" spans="1:9" x14ac:dyDescent="0.3">
      <c r="A1" s="70" t="s">
        <v>658</v>
      </c>
      <c r="B1" s="44" t="s">
        <v>353</v>
      </c>
      <c r="C1" s="45"/>
      <c r="D1" s="1"/>
      <c r="E1" s="1"/>
    </row>
    <row r="2" spans="1:9" x14ac:dyDescent="0.3">
      <c r="B2" s="45" t="s">
        <v>352</v>
      </c>
      <c r="C2" s="2" t="s">
        <v>621</v>
      </c>
      <c r="D2" s="2" t="s">
        <v>628</v>
      </c>
      <c r="E2" s="1"/>
    </row>
    <row r="3" spans="1:9" x14ac:dyDescent="0.3">
      <c r="A3" s="22" t="s">
        <v>7</v>
      </c>
      <c r="B3" t="s">
        <v>20</v>
      </c>
      <c r="C3" s="11">
        <v>-0.68799542999999996</v>
      </c>
      <c r="D3" s="11">
        <v>-0.42537308000000001</v>
      </c>
    </row>
    <row r="4" spans="1:9" x14ac:dyDescent="0.3">
      <c r="A4" s="22" t="s">
        <v>8</v>
      </c>
      <c r="B4" t="s">
        <v>21</v>
      </c>
      <c r="C4" s="11">
        <v>-0.32078912999999998</v>
      </c>
      <c r="D4" s="11">
        <v>-0.12526346999999999</v>
      </c>
    </row>
    <row r="5" spans="1:9" x14ac:dyDescent="0.3">
      <c r="A5" s="22" t="s">
        <v>9</v>
      </c>
      <c r="B5" t="s">
        <v>22</v>
      </c>
      <c r="C5" s="11">
        <v>-0.8402155</v>
      </c>
      <c r="D5" s="11">
        <v>-0.62014000000000002</v>
      </c>
    </row>
    <row r="6" spans="1:9" x14ac:dyDescent="0.3">
      <c r="A6" s="22" t="s">
        <v>10</v>
      </c>
      <c r="B6" t="s">
        <v>23</v>
      </c>
      <c r="C6" s="11">
        <v>-0.75962549999999995</v>
      </c>
      <c r="D6" s="11">
        <v>-0.57955999999999996</v>
      </c>
    </row>
    <row r="7" spans="1:9" x14ac:dyDescent="0.3">
      <c r="A7" s="22" t="s">
        <v>16</v>
      </c>
      <c r="B7" t="s">
        <v>24</v>
      </c>
      <c r="C7" s="11">
        <v>-0.60349560000000002</v>
      </c>
      <c r="D7" s="11">
        <v>-0.35937050999999998</v>
      </c>
    </row>
    <row r="8" spans="1:9" x14ac:dyDescent="0.3">
      <c r="A8" s="22" t="s">
        <v>354</v>
      </c>
      <c r="B8" t="s">
        <v>349</v>
      </c>
      <c r="C8" s="11">
        <v>-0.79564400000000002</v>
      </c>
      <c r="D8" s="11">
        <v>-0.65956300000000001</v>
      </c>
    </row>
    <row r="10" spans="1:9" x14ac:dyDescent="0.3">
      <c r="B10" t="s">
        <v>15</v>
      </c>
      <c r="C10" s="19">
        <v>-0.66800000000000004</v>
      </c>
      <c r="D10" s="19">
        <v>-0.46150000000000002</v>
      </c>
    </row>
    <row r="11" spans="1:9" x14ac:dyDescent="0.3">
      <c r="B11" t="s">
        <v>380</v>
      </c>
      <c r="C11" s="19">
        <v>7.7340000000000006E-2</v>
      </c>
      <c r="D11" s="19">
        <v>8.2280000000000006E-2</v>
      </c>
    </row>
    <row r="13" spans="1:9" x14ac:dyDescent="0.3">
      <c r="H13" s="19"/>
      <c r="I13" s="19"/>
    </row>
    <row r="14" spans="1:9" x14ac:dyDescent="0.3">
      <c r="A14" s="1"/>
      <c r="B14" s="44" t="s">
        <v>353</v>
      </c>
      <c r="C14" s="45"/>
      <c r="D14" s="1"/>
    </row>
    <row r="15" spans="1:9" x14ac:dyDescent="0.3">
      <c r="A15" s="1"/>
      <c r="B15" s="45" t="s">
        <v>352</v>
      </c>
      <c r="C15" s="2" t="s">
        <v>627</v>
      </c>
      <c r="D15" s="2" t="s">
        <v>628</v>
      </c>
    </row>
    <row r="16" spans="1:9" x14ac:dyDescent="0.3">
      <c r="A16" s="22" t="s">
        <v>7</v>
      </c>
      <c r="B16" t="s">
        <v>17</v>
      </c>
      <c r="C16">
        <v>-0.77166666666666683</v>
      </c>
      <c r="D16">
        <v>-0.65666666666666662</v>
      </c>
    </row>
    <row r="17" spans="1:4" x14ac:dyDescent="0.3">
      <c r="A17" s="22" t="s">
        <v>8</v>
      </c>
      <c r="B17" t="s">
        <v>19</v>
      </c>
      <c r="C17" s="11">
        <v>-0.80223999999999995</v>
      </c>
      <c r="D17">
        <v>-0.61383333333333334</v>
      </c>
    </row>
    <row r="18" spans="1:4" x14ac:dyDescent="0.3">
      <c r="A18" s="22" t="s">
        <v>9</v>
      </c>
      <c r="B18" t="s">
        <v>20</v>
      </c>
      <c r="C18">
        <v>-0.82300200000000001</v>
      </c>
      <c r="D18" s="5">
        <v>-0.60066666666666668</v>
      </c>
    </row>
    <row r="19" spans="1:4" x14ac:dyDescent="0.3">
      <c r="A19" s="22" t="s">
        <v>10</v>
      </c>
      <c r="B19" t="s">
        <v>21</v>
      </c>
      <c r="C19">
        <v>-0.80866666666666676</v>
      </c>
      <c r="D19">
        <v>-0.67580000000000007</v>
      </c>
    </row>
    <row r="20" spans="1:4" x14ac:dyDescent="0.3">
      <c r="A20" s="22" t="s">
        <v>16</v>
      </c>
      <c r="B20" s="22" t="s">
        <v>22</v>
      </c>
      <c r="C20">
        <v>-0.76555839999999997</v>
      </c>
      <c r="D20">
        <v>-0.63844500000000004</v>
      </c>
    </row>
    <row r="21" spans="1:4" x14ac:dyDescent="0.3">
      <c r="A21" s="22" t="s">
        <v>354</v>
      </c>
      <c r="B21" t="s">
        <v>23</v>
      </c>
      <c r="C21">
        <v>-0.61044999999999994</v>
      </c>
      <c r="D21">
        <v>-0.60126666666666662</v>
      </c>
    </row>
    <row r="22" spans="1:4" x14ac:dyDescent="0.3">
      <c r="A22" s="22" t="s">
        <v>355</v>
      </c>
      <c r="B22" t="s">
        <v>24</v>
      </c>
      <c r="C22">
        <v>-0.7642000000000001</v>
      </c>
      <c r="D22">
        <v>-0.72816666666666663</v>
      </c>
    </row>
    <row r="24" spans="1:4" x14ac:dyDescent="0.3">
      <c r="B24" t="s">
        <v>15</v>
      </c>
      <c r="C24" s="19">
        <v>-0.76370000000000005</v>
      </c>
      <c r="D24" s="19">
        <v>-0.64500000000000002</v>
      </c>
    </row>
    <row r="25" spans="1:4" x14ac:dyDescent="0.3">
      <c r="B25" s="22" t="s">
        <v>380</v>
      </c>
      <c r="C25" s="19">
        <v>2.6980000000000001E-2</v>
      </c>
      <c r="D25" s="19">
        <v>1.7520000000000001E-2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659</v>
      </c>
      <c r="B1" s="15" t="s">
        <v>556</v>
      </c>
      <c r="C1" s="15"/>
      <c r="E1" s="7" t="s">
        <v>557</v>
      </c>
      <c r="F1" s="7"/>
    </row>
    <row r="2" spans="1:6" x14ac:dyDescent="0.3">
      <c r="A2" t="s">
        <v>7</v>
      </c>
      <c r="B2" s="11">
        <v>0.88917616899999996</v>
      </c>
      <c r="D2" s="22" t="s">
        <v>7</v>
      </c>
      <c r="E2" s="11">
        <v>0.72068839900000004</v>
      </c>
    </row>
    <row r="3" spans="1:6" x14ac:dyDescent="0.3">
      <c r="A3" s="22" t="s">
        <v>8</v>
      </c>
      <c r="B3" s="11">
        <v>1.110823831</v>
      </c>
      <c r="D3" s="22" t="s">
        <v>8</v>
      </c>
      <c r="E3" s="11">
        <v>0.63368198499999995</v>
      </c>
    </row>
    <row r="4" spans="1:6" x14ac:dyDescent="0.3">
      <c r="A4" s="22" t="s">
        <v>9</v>
      </c>
      <c r="B4" s="11">
        <v>1</v>
      </c>
      <c r="D4" s="22" t="s">
        <v>9</v>
      </c>
      <c r="E4" s="11">
        <v>0.55288847399999996</v>
      </c>
    </row>
    <row r="5" spans="1:6" x14ac:dyDescent="0.3">
      <c r="A5" s="22" t="s">
        <v>10</v>
      </c>
      <c r="B5" s="11">
        <v>0.96996861099999998</v>
      </c>
      <c r="D5" s="22" t="s">
        <v>10</v>
      </c>
      <c r="E5" s="11">
        <v>0.59136907100000002</v>
      </c>
    </row>
    <row r="6" spans="1:6" x14ac:dyDescent="0.3">
      <c r="A6" s="22" t="s">
        <v>16</v>
      </c>
      <c r="B6" s="11">
        <v>1.0300313889999999</v>
      </c>
      <c r="D6" s="22" t="s">
        <v>16</v>
      </c>
      <c r="E6" s="11">
        <v>0.64210879300000001</v>
      </c>
    </row>
    <row r="8" spans="1:6" x14ac:dyDescent="0.3">
      <c r="A8" t="s">
        <v>15</v>
      </c>
      <c r="B8">
        <f>AVERAGE(B2:B6)</f>
        <v>1</v>
      </c>
      <c r="D8" s="22" t="s">
        <v>15</v>
      </c>
      <c r="E8" s="11">
        <v>0.62809999999999999</v>
      </c>
    </row>
    <row r="9" spans="1:6" x14ac:dyDescent="0.3">
      <c r="A9" t="s">
        <v>380</v>
      </c>
      <c r="B9" s="11">
        <v>3.6310000000000002E-2</v>
      </c>
      <c r="D9" s="22" t="s">
        <v>380</v>
      </c>
      <c r="E9" s="11">
        <v>2.811E-2</v>
      </c>
    </row>
    <row r="12" spans="1:6" x14ac:dyDescent="0.3">
      <c r="A12" s="24" t="s">
        <v>400</v>
      </c>
      <c r="B12" s="11"/>
    </row>
    <row r="13" spans="1:6" x14ac:dyDescent="0.3">
      <c r="A13" s="24" t="s">
        <v>393</v>
      </c>
      <c r="B13" s="11">
        <v>7.9000000000000008E-3</v>
      </c>
    </row>
    <row r="14" spans="1:6" x14ac:dyDescent="0.3">
      <c r="A14" s="24" t="s">
        <v>441</v>
      </c>
      <c r="B14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Normal="100" workbookViewId="0"/>
  </sheetViews>
  <sheetFormatPr baseColWidth="10" defaultRowHeight="14.4" x14ac:dyDescent="0.3"/>
  <sheetData>
    <row r="1" spans="1:19" x14ac:dyDescent="0.3">
      <c r="A1" s="70" t="s">
        <v>660</v>
      </c>
      <c r="B1" s="15" t="s">
        <v>556</v>
      </c>
      <c r="C1" t="s">
        <v>0</v>
      </c>
      <c r="D1" s="4" t="s">
        <v>510</v>
      </c>
      <c r="E1" s="4" t="s">
        <v>511</v>
      </c>
      <c r="F1" s="4" t="s">
        <v>313</v>
      </c>
    </row>
    <row r="2" spans="1:19" x14ac:dyDescent="0.3">
      <c r="A2" t="s">
        <v>7</v>
      </c>
      <c r="B2" s="1" t="s">
        <v>466</v>
      </c>
      <c r="C2" t="s">
        <v>11</v>
      </c>
      <c r="D2" s="11">
        <v>-72.11</v>
      </c>
      <c r="E2" s="11">
        <v>142.03483299999999</v>
      </c>
      <c r="F2" s="22">
        <v>20.69</v>
      </c>
      <c r="O2" s="1"/>
      <c r="P2" s="22"/>
      <c r="Q2" s="22"/>
      <c r="R2" s="22"/>
      <c r="S2" s="22"/>
    </row>
    <row r="3" spans="1:19" x14ac:dyDescent="0.3">
      <c r="A3" s="22" t="s">
        <v>7</v>
      </c>
      <c r="B3" s="1" t="s">
        <v>467</v>
      </c>
      <c r="C3" s="22" t="s">
        <v>11</v>
      </c>
      <c r="D3" s="11">
        <v>-64.87</v>
      </c>
      <c r="E3" s="11">
        <v>567.04586500000005</v>
      </c>
      <c r="F3" s="22">
        <v>4.7300000000000004</v>
      </c>
      <c r="O3" s="1"/>
      <c r="P3" s="22"/>
      <c r="Q3" s="22"/>
      <c r="R3" s="22"/>
      <c r="S3" s="22"/>
    </row>
    <row r="4" spans="1:19" x14ac:dyDescent="0.3">
      <c r="A4" s="22" t="s">
        <v>7</v>
      </c>
      <c r="B4" s="1" t="s">
        <v>468</v>
      </c>
      <c r="C4" s="22" t="s">
        <v>11</v>
      </c>
      <c r="D4" s="11">
        <v>-68.349999999999994</v>
      </c>
      <c r="E4" s="11">
        <v>793.67013399999996</v>
      </c>
      <c r="F4" s="22">
        <v>18.59</v>
      </c>
      <c r="O4" s="1"/>
      <c r="P4" s="22"/>
      <c r="Q4" s="22"/>
      <c r="R4" s="22"/>
      <c r="S4" s="22"/>
    </row>
    <row r="5" spans="1:19" x14ac:dyDescent="0.3">
      <c r="A5" s="22" t="s">
        <v>8</v>
      </c>
      <c r="B5" s="1" t="s">
        <v>469</v>
      </c>
      <c r="C5" t="s">
        <v>6</v>
      </c>
      <c r="D5" s="11">
        <v>-60.39</v>
      </c>
      <c r="E5" s="11">
        <v>986.32546500000001</v>
      </c>
      <c r="F5" s="22">
        <v>5</v>
      </c>
      <c r="O5" s="1"/>
      <c r="P5" s="22"/>
      <c r="Q5" s="22"/>
      <c r="R5" s="22"/>
      <c r="S5" s="22"/>
    </row>
    <row r="6" spans="1:19" x14ac:dyDescent="0.3">
      <c r="A6" s="22" t="s">
        <v>8</v>
      </c>
      <c r="B6" s="1" t="s">
        <v>470</v>
      </c>
      <c r="C6" s="22" t="s">
        <v>6</v>
      </c>
      <c r="D6" s="11">
        <v>-68.14</v>
      </c>
      <c r="E6" s="11">
        <v>328.02575300000001</v>
      </c>
      <c r="F6" s="22">
        <v>16.82</v>
      </c>
      <c r="O6" s="1"/>
      <c r="P6" s="22"/>
      <c r="Q6" s="22"/>
      <c r="R6" s="22"/>
      <c r="S6" s="22"/>
    </row>
    <row r="7" spans="1:19" x14ac:dyDescent="0.3">
      <c r="A7" s="22" t="s">
        <v>8</v>
      </c>
      <c r="B7" s="1" t="s">
        <v>471</v>
      </c>
      <c r="C7" s="22" t="s">
        <v>6</v>
      </c>
      <c r="D7" s="11">
        <v>-51.28</v>
      </c>
      <c r="E7" s="11">
        <v>248.55544599999999</v>
      </c>
      <c r="F7" s="22">
        <v>13.15</v>
      </c>
      <c r="O7" s="1"/>
      <c r="P7" s="22"/>
      <c r="Q7" s="22"/>
      <c r="R7" s="22"/>
      <c r="S7" s="22"/>
    </row>
    <row r="8" spans="1:19" x14ac:dyDescent="0.3">
      <c r="A8" s="22" t="s">
        <v>8</v>
      </c>
      <c r="B8" s="1" t="s">
        <v>472</v>
      </c>
      <c r="C8" s="22" t="s">
        <v>6</v>
      </c>
      <c r="D8" s="11">
        <v>-57.97</v>
      </c>
      <c r="E8" s="11">
        <v>574.98375799999997</v>
      </c>
      <c r="F8" s="22">
        <v>12.97</v>
      </c>
      <c r="O8" s="1"/>
      <c r="P8" s="22"/>
      <c r="Q8" s="22"/>
      <c r="R8" s="22"/>
      <c r="S8" s="22"/>
    </row>
    <row r="9" spans="1:19" x14ac:dyDescent="0.3">
      <c r="A9" s="22" t="s">
        <v>8</v>
      </c>
      <c r="B9" s="1" t="s">
        <v>473</v>
      </c>
      <c r="C9" s="22" t="s">
        <v>6</v>
      </c>
      <c r="D9" s="11">
        <v>-60.79</v>
      </c>
      <c r="E9" s="11">
        <v>514.81755599999997</v>
      </c>
      <c r="F9" s="22">
        <v>12</v>
      </c>
      <c r="O9" s="1"/>
      <c r="P9" s="22"/>
      <c r="Q9" s="22"/>
      <c r="R9" s="22"/>
      <c r="S9" s="22"/>
    </row>
    <row r="10" spans="1:19" x14ac:dyDescent="0.3">
      <c r="A10" s="22" t="s">
        <v>9</v>
      </c>
      <c r="B10" s="1" t="s">
        <v>474</v>
      </c>
      <c r="C10" t="s">
        <v>6</v>
      </c>
      <c r="D10" s="11">
        <v>-60.48</v>
      </c>
      <c r="E10" s="11">
        <v>379.66184500000003</v>
      </c>
      <c r="O10" s="1"/>
      <c r="P10" s="22"/>
      <c r="Q10" s="22"/>
      <c r="R10" s="22"/>
      <c r="S10" s="22"/>
    </row>
    <row r="11" spans="1:19" x14ac:dyDescent="0.3">
      <c r="A11" s="22" t="s">
        <v>9</v>
      </c>
      <c r="B11" s="1" t="s">
        <v>475</v>
      </c>
      <c r="C11" s="22" t="s">
        <v>6</v>
      </c>
      <c r="D11" s="11">
        <v>-64.540000000000006</v>
      </c>
      <c r="E11" s="11">
        <v>371.02477499999998</v>
      </c>
      <c r="O11" s="22"/>
      <c r="P11" s="22"/>
      <c r="Q11" s="22"/>
      <c r="R11" s="22"/>
      <c r="S11" s="22"/>
    </row>
    <row r="12" spans="1:19" x14ac:dyDescent="0.3">
      <c r="A12" s="22" t="s">
        <v>9</v>
      </c>
      <c r="B12" s="1" t="s">
        <v>476</v>
      </c>
      <c r="C12" s="22" t="s">
        <v>6</v>
      </c>
      <c r="D12" s="11">
        <v>-61.6</v>
      </c>
      <c r="E12" s="11">
        <v>467.27103399999999</v>
      </c>
      <c r="O12" s="22"/>
      <c r="P12" s="22"/>
      <c r="Q12" s="22"/>
      <c r="R12" s="22"/>
      <c r="S12" s="22"/>
    </row>
    <row r="13" spans="1:19" x14ac:dyDescent="0.3">
      <c r="A13" s="22" t="s">
        <v>9</v>
      </c>
      <c r="B13" s="1" t="s">
        <v>477</v>
      </c>
      <c r="C13" s="22" t="s">
        <v>6</v>
      </c>
      <c r="D13" s="11">
        <v>-70.3</v>
      </c>
      <c r="E13" s="11">
        <v>469.150308</v>
      </c>
      <c r="O13" s="22"/>
      <c r="P13" s="22"/>
      <c r="Q13" s="22"/>
      <c r="R13" s="22"/>
      <c r="S13" s="22"/>
    </row>
    <row r="14" spans="1:19" x14ac:dyDescent="0.3">
      <c r="A14" s="22" t="s">
        <v>9</v>
      </c>
      <c r="B14" s="1" t="s">
        <v>478</v>
      </c>
      <c r="C14" s="22" t="s">
        <v>6</v>
      </c>
      <c r="D14" s="11">
        <v>-60.77</v>
      </c>
      <c r="E14" s="11">
        <v>655.99187300000006</v>
      </c>
      <c r="O14" s="22"/>
      <c r="P14" s="22"/>
      <c r="Q14" s="22"/>
      <c r="R14" s="22"/>
      <c r="S14" s="22"/>
    </row>
    <row r="15" spans="1:19" x14ac:dyDescent="0.3">
      <c r="A15" s="22" t="s">
        <v>9</v>
      </c>
      <c r="B15" s="1" t="s">
        <v>479</v>
      </c>
      <c r="C15" s="22" t="s">
        <v>6</v>
      </c>
      <c r="D15" s="11">
        <v>-60.47</v>
      </c>
      <c r="E15" s="11">
        <v>293.63162599999998</v>
      </c>
      <c r="O15" s="22"/>
      <c r="P15" s="22"/>
      <c r="Q15" s="22"/>
      <c r="R15" s="22"/>
      <c r="S15" s="22"/>
    </row>
    <row r="16" spans="1:19" x14ac:dyDescent="0.3">
      <c r="A16" s="22" t="s">
        <v>10</v>
      </c>
      <c r="B16" s="1" t="s">
        <v>480</v>
      </c>
      <c r="C16" t="s">
        <v>12</v>
      </c>
      <c r="D16" s="11">
        <v>-63.15</v>
      </c>
      <c r="E16" s="11">
        <v>271.79956099999998</v>
      </c>
      <c r="O16" s="22"/>
      <c r="P16" s="22"/>
      <c r="Q16" s="22"/>
      <c r="R16" s="22"/>
      <c r="S16" s="22"/>
    </row>
    <row r="17" spans="1:19" x14ac:dyDescent="0.3">
      <c r="A17" s="22" t="s">
        <v>10</v>
      </c>
      <c r="B17" s="1" t="s">
        <v>481</v>
      </c>
      <c r="C17" s="22" t="s">
        <v>12</v>
      </c>
      <c r="D17" s="11">
        <v>-74.44</v>
      </c>
      <c r="E17" s="11">
        <v>295.67860400000001</v>
      </c>
      <c r="O17" s="22"/>
      <c r="P17" s="22"/>
      <c r="Q17" s="22"/>
      <c r="R17" s="22"/>
      <c r="S17" s="22"/>
    </row>
    <row r="18" spans="1:19" x14ac:dyDescent="0.3">
      <c r="A18" s="22" t="s">
        <v>10</v>
      </c>
      <c r="B18" s="1" t="s">
        <v>482</v>
      </c>
      <c r="C18" s="22" t="s">
        <v>12</v>
      </c>
      <c r="D18" s="11">
        <v>-60.07</v>
      </c>
      <c r="E18" s="11">
        <v>520.08929599999999</v>
      </c>
      <c r="O18" s="22"/>
      <c r="P18" s="22"/>
      <c r="Q18" s="22"/>
      <c r="R18" s="22"/>
      <c r="S18" s="22"/>
    </row>
    <row r="19" spans="1:19" x14ac:dyDescent="0.3">
      <c r="A19" s="22" t="s">
        <v>10</v>
      </c>
      <c r="B19" s="1" t="s">
        <v>483</v>
      </c>
      <c r="C19" s="22" t="s">
        <v>12</v>
      </c>
      <c r="D19" s="11">
        <v>-59.5</v>
      </c>
      <c r="E19" s="11">
        <v>361.808177</v>
      </c>
      <c r="O19" s="22"/>
      <c r="P19" s="22"/>
      <c r="Q19" s="22"/>
      <c r="R19" s="22"/>
      <c r="S19" s="22"/>
    </row>
    <row r="20" spans="1:19" x14ac:dyDescent="0.3">
      <c r="O20" s="22"/>
      <c r="P20" s="22"/>
      <c r="Q20" s="22"/>
      <c r="R20" s="22"/>
      <c r="S20" s="22"/>
    </row>
    <row r="21" spans="1:19" x14ac:dyDescent="0.3">
      <c r="C21" t="s">
        <v>15</v>
      </c>
      <c r="D21">
        <f>AVERAGE(D2:D19)</f>
        <v>-63.289999999999992</v>
      </c>
      <c r="E21" s="22">
        <f>AVERAGE(E2:E19)</f>
        <v>457.86477272222226</v>
      </c>
      <c r="F21" s="22">
        <f>AVERAGE(F2:F19)</f>
        <v>12.993750000000002</v>
      </c>
      <c r="O21" s="22"/>
    </row>
    <row r="22" spans="1:19" x14ac:dyDescent="0.3">
      <c r="C22" t="s">
        <v>380</v>
      </c>
      <c r="D22">
        <f>STDEVA(D2:D19)/SQRT(19)</f>
        <v>1.2947256663415576</v>
      </c>
      <c r="E22" s="22">
        <f t="shared" ref="E22:F22" si="0">STDEVA(E2:E19)/SQRT(19)</f>
        <v>47.71746773851676</v>
      </c>
      <c r="F22" s="22">
        <f t="shared" si="0"/>
        <v>1.3388149498436326</v>
      </c>
      <c r="O22" s="22"/>
    </row>
    <row r="23" spans="1:19" x14ac:dyDescent="0.3">
      <c r="O23" s="22"/>
    </row>
    <row r="24" spans="1:19" x14ac:dyDescent="0.3">
      <c r="B24" s="7" t="s">
        <v>557</v>
      </c>
      <c r="C24" t="s">
        <v>0</v>
      </c>
      <c r="D24" s="4" t="s">
        <v>510</v>
      </c>
      <c r="E24" s="4" t="s">
        <v>511</v>
      </c>
      <c r="F24" s="4" t="s">
        <v>313</v>
      </c>
      <c r="O24" s="22"/>
    </row>
    <row r="25" spans="1:19" x14ac:dyDescent="0.3">
      <c r="A25" s="22" t="s">
        <v>7</v>
      </c>
      <c r="B25" s="1" t="s">
        <v>466</v>
      </c>
      <c r="C25" t="s">
        <v>5</v>
      </c>
      <c r="D25" s="11">
        <v>-51.98</v>
      </c>
      <c r="E25" s="11">
        <v>829</v>
      </c>
      <c r="F25" s="22">
        <v>23.22</v>
      </c>
      <c r="O25" s="22"/>
    </row>
    <row r="26" spans="1:19" x14ac:dyDescent="0.3">
      <c r="A26" s="22" t="s">
        <v>7</v>
      </c>
      <c r="B26" s="1" t="s">
        <v>467</v>
      </c>
      <c r="C26" s="22" t="s">
        <v>5</v>
      </c>
      <c r="D26" s="11">
        <v>-60.78</v>
      </c>
      <c r="E26" s="11">
        <v>950.97082999999998</v>
      </c>
      <c r="F26" s="22">
        <v>22.8</v>
      </c>
    </row>
    <row r="27" spans="1:19" x14ac:dyDescent="0.3">
      <c r="A27" s="22" t="s">
        <v>7</v>
      </c>
      <c r="B27" s="1" t="s">
        <v>468</v>
      </c>
      <c r="C27" s="22" t="s">
        <v>5</v>
      </c>
      <c r="D27" s="11">
        <v>-52.48</v>
      </c>
      <c r="E27" s="11">
        <v>663.51984100000004</v>
      </c>
      <c r="F27" s="22">
        <v>10.45</v>
      </c>
    </row>
    <row r="28" spans="1:19" x14ac:dyDescent="0.3">
      <c r="A28" s="22" t="s">
        <v>7</v>
      </c>
      <c r="B28" s="1" t="s">
        <v>469</v>
      </c>
      <c r="C28" s="22" t="s">
        <v>5</v>
      </c>
      <c r="D28" s="11">
        <v>-54.2</v>
      </c>
      <c r="E28" s="11">
        <v>882.69645700000001</v>
      </c>
      <c r="F28" s="22">
        <v>16.11</v>
      </c>
    </row>
    <row r="29" spans="1:19" x14ac:dyDescent="0.3">
      <c r="A29" s="22" t="s">
        <v>7</v>
      </c>
      <c r="B29" s="1" t="s">
        <v>470</v>
      </c>
      <c r="C29" s="22" t="s">
        <v>5</v>
      </c>
      <c r="D29" s="11">
        <v>-67.17</v>
      </c>
      <c r="E29" s="11">
        <v>421</v>
      </c>
      <c r="F29" s="22">
        <v>23.2</v>
      </c>
    </row>
    <row r="30" spans="1:19" x14ac:dyDescent="0.3">
      <c r="A30" s="22" t="s">
        <v>8</v>
      </c>
      <c r="B30" s="1" t="s">
        <v>471</v>
      </c>
      <c r="C30" s="22" t="s">
        <v>12</v>
      </c>
      <c r="D30" s="11">
        <v>-50.44</v>
      </c>
      <c r="E30" s="11">
        <v>319.70614499999999</v>
      </c>
      <c r="F30" s="22">
        <v>15.63</v>
      </c>
    </row>
    <row r="31" spans="1:19" x14ac:dyDescent="0.3">
      <c r="A31" s="22" t="s">
        <v>8</v>
      </c>
      <c r="B31" s="1" t="s">
        <v>472</v>
      </c>
      <c r="C31" s="22" t="s">
        <v>12</v>
      </c>
      <c r="D31" s="11">
        <v>-55.21</v>
      </c>
      <c r="E31" s="11">
        <v>210.77535</v>
      </c>
      <c r="F31" s="22">
        <v>6.74</v>
      </c>
    </row>
    <row r="32" spans="1:19" x14ac:dyDescent="0.3">
      <c r="A32" s="22" t="s">
        <v>8</v>
      </c>
      <c r="B32" s="1" t="s">
        <v>473</v>
      </c>
      <c r="C32" s="22" t="s">
        <v>12</v>
      </c>
      <c r="D32" s="11">
        <v>-50.53</v>
      </c>
      <c r="E32" s="11">
        <v>982.56663100000003</v>
      </c>
      <c r="F32" s="22">
        <v>16.940000000000001</v>
      </c>
    </row>
    <row r="33" spans="1:16" x14ac:dyDescent="0.3">
      <c r="A33" s="22" t="s">
        <v>9</v>
      </c>
      <c r="B33" s="1" t="s">
        <v>474</v>
      </c>
      <c r="C33" s="22" t="s">
        <v>12</v>
      </c>
      <c r="D33" s="11">
        <v>-62</v>
      </c>
      <c r="E33" s="11">
        <v>824.1</v>
      </c>
    </row>
    <row r="34" spans="1:16" x14ac:dyDescent="0.3">
      <c r="A34" s="22" t="s">
        <v>9</v>
      </c>
      <c r="B34" s="1" t="s">
        <v>475</v>
      </c>
      <c r="C34" s="22" t="s">
        <v>12</v>
      </c>
      <c r="D34" s="11">
        <v>-63</v>
      </c>
      <c r="E34" s="11">
        <v>300.2</v>
      </c>
    </row>
    <row r="35" spans="1:16" x14ac:dyDescent="0.3">
      <c r="A35" s="22" t="s">
        <v>9</v>
      </c>
      <c r="B35" s="1" t="s">
        <v>476</v>
      </c>
      <c r="C35" t="s">
        <v>12</v>
      </c>
      <c r="D35" s="11">
        <v>-57</v>
      </c>
      <c r="E35" s="11">
        <v>688.4</v>
      </c>
      <c r="P35" s="28"/>
    </row>
    <row r="36" spans="1:16" x14ac:dyDescent="0.3">
      <c r="A36" s="22" t="s">
        <v>9</v>
      </c>
      <c r="B36" s="1" t="s">
        <v>477</v>
      </c>
      <c r="C36" s="22" t="s">
        <v>12</v>
      </c>
      <c r="D36" s="11">
        <v>-57.1</v>
      </c>
      <c r="E36" s="11">
        <v>609.20000000000005</v>
      </c>
    </row>
    <row r="37" spans="1:16" x14ac:dyDescent="0.3">
      <c r="A37" s="22" t="s">
        <v>9</v>
      </c>
      <c r="B37" s="1" t="s">
        <v>478</v>
      </c>
      <c r="C37" s="22" t="s">
        <v>12</v>
      </c>
      <c r="D37" s="11">
        <v>-58.4</v>
      </c>
      <c r="E37" s="11">
        <v>761.2</v>
      </c>
    </row>
    <row r="38" spans="1:16" x14ac:dyDescent="0.3">
      <c r="A38" s="22" t="s">
        <v>9</v>
      </c>
      <c r="B38" s="1" t="s">
        <v>479</v>
      </c>
      <c r="C38" s="22" t="s">
        <v>12</v>
      </c>
      <c r="D38" s="11">
        <v>-59.2</v>
      </c>
      <c r="E38" s="11">
        <v>684</v>
      </c>
    </row>
    <row r="39" spans="1:16" x14ac:dyDescent="0.3">
      <c r="A39" s="22" t="s">
        <v>10</v>
      </c>
      <c r="B39" s="1" t="s">
        <v>480</v>
      </c>
      <c r="C39" t="s">
        <v>384</v>
      </c>
      <c r="D39" s="11">
        <v>-64.7</v>
      </c>
      <c r="E39" s="11">
        <v>320</v>
      </c>
    </row>
    <row r="40" spans="1:16" x14ac:dyDescent="0.3">
      <c r="A40" s="22" t="s">
        <v>10</v>
      </c>
      <c r="B40" s="1" t="s">
        <v>481</v>
      </c>
      <c r="C40" t="s">
        <v>384</v>
      </c>
      <c r="D40" s="11">
        <v>-59.6</v>
      </c>
      <c r="E40" s="11">
        <v>802</v>
      </c>
    </row>
    <row r="41" spans="1:16" x14ac:dyDescent="0.3">
      <c r="A41" s="22" t="s">
        <v>10</v>
      </c>
      <c r="B41" s="1" t="s">
        <v>482</v>
      </c>
      <c r="C41" t="s">
        <v>384</v>
      </c>
      <c r="D41" s="11">
        <v>-56</v>
      </c>
      <c r="E41" s="11">
        <v>109.75</v>
      </c>
    </row>
    <row r="42" spans="1:16" x14ac:dyDescent="0.3">
      <c r="A42" s="22" t="s">
        <v>10</v>
      </c>
      <c r="B42" s="1" t="s">
        <v>483</v>
      </c>
      <c r="C42" t="s">
        <v>384</v>
      </c>
      <c r="D42" s="11">
        <v>-63.9</v>
      </c>
      <c r="E42" s="11">
        <v>506.25</v>
      </c>
    </row>
    <row r="43" spans="1:16" x14ac:dyDescent="0.3">
      <c r="A43" s="22" t="s">
        <v>10</v>
      </c>
      <c r="B43" s="1" t="s">
        <v>484</v>
      </c>
      <c r="C43" t="s">
        <v>384</v>
      </c>
      <c r="D43" s="11">
        <v>-57.2</v>
      </c>
      <c r="E43" s="11">
        <v>289.39999999999998</v>
      </c>
    </row>
    <row r="44" spans="1:16" x14ac:dyDescent="0.3">
      <c r="A44" s="22" t="s">
        <v>10</v>
      </c>
      <c r="B44" s="1" t="s">
        <v>485</v>
      </c>
      <c r="C44" t="s">
        <v>384</v>
      </c>
      <c r="D44" s="11">
        <v>-59.3</v>
      </c>
      <c r="E44" s="11">
        <v>806.8</v>
      </c>
    </row>
    <row r="45" spans="1:16" x14ac:dyDescent="0.3">
      <c r="A45" s="22" t="s">
        <v>10</v>
      </c>
      <c r="B45" s="1" t="s">
        <v>486</v>
      </c>
      <c r="C45" t="s">
        <v>384</v>
      </c>
      <c r="D45" s="11">
        <v>-52.7</v>
      </c>
      <c r="E45" s="11">
        <v>550.6</v>
      </c>
    </row>
    <row r="46" spans="1:16" x14ac:dyDescent="0.3">
      <c r="A46" t="s">
        <v>16</v>
      </c>
      <c r="B46" s="1" t="s">
        <v>487</v>
      </c>
      <c r="C46" t="s">
        <v>6</v>
      </c>
      <c r="D46" s="11">
        <v>-55.9</v>
      </c>
      <c r="E46" s="11">
        <v>653</v>
      </c>
    </row>
    <row r="47" spans="1:16" x14ac:dyDescent="0.3">
      <c r="A47" s="22" t="s">
        <v>16</v>
      </c>
      <c r="B47" s="1" t="s">
        <v>488</v>
      </c>
      <c r="C47" t="s">
        <v>6</v>
      </c>
      <c r="D47" s="11">
        <v>-54.3</v>
      </c>
      <c r="E47" s="11">
        <v>349.8</v>
      </c>
    </row>
    <row r="48" spans="1:16" x14ac:dyDescent="0.3">
      <c r="A48" s="22" t="s">
        <v>16</v>
      </c>
      <c r="B48" s="1" t="s">
        <v>489</v>
      </c>
      <c r="C48" t="s">
        <v>6</v>
      </c>
      <c r="D48" s="11">
        <v>-56.1</v>
      </c>
      <c r="E48" s="11">
        <v>512.6</v>
      </c>
    </row>
    <row r="49" spans="1:6" x14ac:dyDescent="0.3">
      <c r="A49" s="22" t="s">
        <v>16</v>
      </c>
      <c r="B49" s="1" t="s">
        <v>512</v>
      </c>
      <c r="C49" t="s">
        <v>6</v>
      </c>
      <c r="D49" s="11">
        <v>-60.2</v>
      </c>
      <c r="E49" s="11">
        <v>728.3</v>
      </c>
    </row>
    <row r="50" spans="1:6" x14ac:dyDescent="0.3">
      <c r="A50" s="22" t="s">
        <v>16</v>
      </c>
      <c r="B50" s="1" t="s">
        <v>513</v>
      </c>
      <c r="C50" s="22" t="s">
        <v>6</v>
      </c>
      <c r="D50" s="11">
        <v>-57.9</v>
      </c>
      <c r="E50" s="11">
        <v>427.3</v>
      </c>
    </row>
    <row r="51" spans="1:6" x14ac:dyDescent="0.3">
      <c r="A51" s="22" t="s">
        <v>16</v>
      </c>
      <c r="B51" s="1" t="s">
        <v>514</v>
      </c>
      <c r="C51" s="22" t="s">
        <v>6</v>
      </c>
      <c r="D51" s="11">
        <v>-64.8</v>
      </c>
      <c r="E51" s="11">
        <v>341.2</v>
      </c>
    </row>
    <row r="52" spans="1:6" x14ac:dyDescent="0.3">
      <c r="A52" s="22" t="s">
        <v>16</v>
      </c>
      <c r="B52" s="1" t="s">
        <v>515</v>
      </c>
      <c r="C52" s="22" t="s">
        <v>6</v>
      </c>
      <c r="D52" s="11">
        <v>-68.900000000000006</v>
      </c>
      <c r="E52" s="11">
        <v>608</v>
      </c>
    </row>
    <row r="53" spans="1:6" x14ac:dyDescent="0.3">
      <c r="A53" s="22" t="s">
        <v>16</v>
      </c>
      <c r="B53" s="1" t="s">
        <v>516</v>
      </c>
      <c r="C53" s="22" t="s">
        <v>6</v>
      </c>
      <c r="D53" s="11">
        <v>-58.2</v>
      </c>
      <c r="E53" s="11">
        <v>352.8</v>
      </c>
    </row>
    <row r="54" spans="1:6" x14ac:dyDescent="0.3">
      <c r="A54" s="22" t="s">
        <v>16</v>
      </c>
      <c r="B54" s="1" t="s">
        <v>517</v>
      </c>
      <c r="C54" s="22" t="s">
        <v>6</v>
      </c>
      <c r="D54" s="11">
        <v>-57.1</v>
      </c>
      <c r="E54" s="11">
        <v>277</v>
      </c>
    </row>
    <row r="56" spans="1:6" x14ac:dyDescent="0.3">
      <c r="C56" t="s">
        <v>15</v>
      </c>
      <c r="D56" s="22">
        <f>AVERAGE(D25:D54)</f>
        <v>-58.209666666666671</v>
      </c>
      <c r="E56" s="22">
        <f>AVERAGE(E25:E54)</f>
        <v>558.73784179999996</v>
      </c>
      <c r="F56" s="22">
        <f>AVERAGE(F25:F42)</f>
        <v>16.88625</v>
      </c>
    </row>
    <row r="57" spans="1:6" x14ac:dyDescent="0.3">
      <c r="D57" s="22">
        <f>STDEVA(D25:D54)/SQRT(30)</f>
        <v>0.86165965003034806</v>
      </c>
      <c r="E57" s="22">
        <f t="shared" ref="E57:F57" si="1">STDEVA(E25:E54)/SQRT(30)</f>
        <v>43.678898150986861</v>
      </c>
      <c r="F57" s="22">
        <f t="shared" si="1"/>
        <v>1.1159185571494341</v>
      </c>
    </row>
    <row r="59" spans="1:6" x14ac:dyDescent="0.3">
      <c r="B59" s="4" t="s">
        <v>306</v>
      </c>
    </row>
    <row r="60" spans="1:6" x14ac:dyDescent="0.3">
      <c r="A60" s="24" t="s">
        <v>400</v>
      </c>
      <c r="B60" s="11"/>
    </row>
    <row r="61" spans="1:6" x14ac:dyDescent="0.3">
      <c r="A61" s="24" t="s">
        <v>393</v>
      </c>
      <c r="B61" s="11">
        <v>1E-3</v>
      </c>
    </row>
    <row r="62" spans="1:6" x14ac:dyDescent="0.3">
      <c r="A62" s="24" t="s">
        <v>441</v>
      </c>
      <c r="B62" s="11" t="s">
        <v>420</v>
      </c>
    </row>
    <row r="64" spans="1:6" x14ac:dyDescent="0.3">
      <c r="B64" s="4" t="s">
        <v>307</v>
      </c>
    </row>
    <row r="65" spans="1:2" x14ac:dyDescent="0.3">
      <c r="A65" s="29" t="s">
        <v>400</v>
      </c>
      <c r="B65" s="28"/>
    </row>
    <row r="66" spans="1:2" x14ac:dyDescent="0.3">
      <c r="A66" s="29" t="s">
        <v>393</v>
      </c>
      <c r="B66" s="28">
        <v>0.15820000000000001</v>
      </c>
    </row>
    <row r="67" spans="1:2" x14ac:dyDescent="0.3">
      <c r="A67" s="24" t="s">
        <v>441</v>
      </c>
      <c r="B67" s="11" t="s">
        <v>417</v>
      </c>
    </row>
    <row r="68" spans="1:2" x14ac:dyDescent="0.3">
      <c r="B68" s="29"/>
    </row>
    <row r="69" spans="1:2" x14ac:dyDescent="0.3">
      <c r="B69" s="4" t="s">
        <v>313</v>
      </c>
    </row>
    <row r="70" spans="1:2" x14ac:dyDescent="0.3">
      <c r="A70" s="30" t="s">
        <v>400</v>
      </c>
      <c r="B70" s="6"/>
    </row>
    <row r="71" spans="1:2" x14ac:dyDescent="0.3">
      <c r="A71" s="30" t="s">
        <v>393</v>
      </c>
      <c r="B71" s="6">
        <v>0.13039999999999999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Normal="100" workbookViewId="0"/>
  </sheetViews>
  <sheetFormatPr baseColWidth="10" defaultRowHeight="14.4" x14ac:dyDescent="0.3"/>
  <cols>
    <col min="2" max="2" width="18.6640625" customWidth="1"/>
    <col min="3" max="3" width="18.88671875" customWidth="1"/>
  </cols>
  <sheetData>
    <row r="1" spans="1:4" x14ac:dyDescent="0.3">
      <c r="A1" s="70" t="s">
        <v>661</v>
      </c>
      <c r="B1" s="15" t="s">
        <v>556</v>
      </c>
      <c r="C1" t="s">
        <v>0</v>
      </c>
      <c r="D1" s="22" t="s">
        <v>629</v>
      </c>
    </row>
    <row r="2" spans="1:4" x14ac:dyDescent="0.3">
      <c r="A2" t="s">
        <v>7</v>
      </c>
      <c r="B2" t="s">
        <v>466</v>
      </c>
      <c r="C2" t="s">
        <v>6</v>
      </c>
      <c r="D2" s="5" t="s">
        <v>3</v>
      </c>
    </row>
    <row r="3" spans="1:4" x14ac:dyDescent="0.3">
      <c r="A3" s="22" t="s">
        <v>7</v>
      </c>
      <c r="B3" s="22" t="s">
        <v>467</v>
      </c>
      <c r="C3" t="s">
        <v>6</v>
      </c>
      <c r="D3" s="5" t="s">
        <v>3</v>
      </c>
    </row>
    <row r="4" spans="1:4" x14ac:dyDescent="0.3">
      <c r="A4" s="22" t="s">
        <v>7</v>
      </c>
      <c r="B4" s="22" t="s">
        <v>468</v>
      </c>
      <c r="C4" t="s">
        <v>6</v>
      </c>
      <c r="D4" s="5" t="s">
        <v>3</v>
      </c>
    </row>
    <row r="5" spans="1:4" x14ac:dyDescent="0.3">
      <c r="A5" s="22" t="s">
        <v>7</v>
      </c>
      <c r="B5" s="22" t="s">
        <v>469</v>
      </c>
      <c r="C5" t="s">
        <v>6</v>
      </c>
      <c r="D5" s="5" t="s">
        <v>4</v>
      </c>
    </row>
    <row r="6" spans="1:4" x14ac:dyDescent="0.3">
      <c r="A6" s="22" t="s">
        <v>7</v>
      </c>
      <c r="B6" s="22" t="s">
        <v>470</v>
      </c>
      <c r="C6" t="s">
        <v>6</v>
      </c>
      <c r="D6" s="5" t="s">
        <v>4</v>
      </c>
    </row>
    <row r="7" spans="1:4" x14ac:dyDescent="0.3">
      <c r="A7" s="22" t="s">
        <v>7</v>
      </c>
      <c r="B7" s="22" t="s">
        <v>471</v>
      </c>
      <c r="C7" t="s">
        <v>6</v>
      </c>
      <c r="D7" s="5" t="s">
        <v>3</v>
      </c>
    </row>
    <row r="8" spans="1:4" x14ac:dyDescent="0.3">
      <c r="D8" s="5"/>
    </row>
    <row r="9" spans="1:4" x14ac:dyDescent="0.3">
      <c r="A9" s="22" t="s">
        <v>8</v>
      </c>
      <c r="B9" t="s">
        <v>472</v>
      </c>
      <c r="C9" t="s">
        <v>12</v>
      </c>
      <c r="D9" s="5" t="s">
        <v>3</v>
      </c>
    </row>
    <row r="10" spans="1:4" x14ac:dyDescent="0.3">
      <c r="A10" s="22" t="s">
        <v>8</v>
      </c>
      <c r="B10" s="22" t="s">
        <v>473</v>
      </c>
      <c r="C10" t="s">
        <v>12</v>
      </c>
      <c r="D10" s="5" t="s">
        <v>3</v>
      </c>
    </row>
    <row r="11" spans="1:4" x14ac:dyDescent="0.3">
      <c r="A11" s="22" t="s">
        <v>8</v>
      </c>
      <c r="B11" s="22" t="s">
        <v>474</v>
      </c>
      <c r="C11" t="s">
        <v>12</v>
      </c>
      <c r="D11" s="5" t="s">
        <v>3</v>
      </c>
    </row>
    <row r="12" spans="1:4" x14ac:dyDescent="0.3">
      <c r="A12" s="22" t="s">
        <v>8</v>
      </c>
      <c r="B12" s="22" t="s">
        <v>475</v>
      </c>
      <c r="C12" t="s">
        <v>12</v>
      </c>
      <c r="D12" s="5" t="s">
        <v>3</v>
      </c>
    </row>
    <row r="14" spans="1:4" x14ac:dyDescent="0.3">
      <c r="A14" s="22"/>
      <c r="B14" s="15" t="s">
        <v>556</v>
      </c>
      <c r="C14" s="22" t="s">
        <v>524</v>
      </c>
      <c r="D14" s="22">
        <v>8</v>
      </c>
    </row>
    <row r="15" spans="1:4" x14ac:dyDescent="0.3">
      <c r="A15" s="22"/>
      <c r="B15" s="22"/>
      <c r="C15" s="22" t="s">
        <v>525</v>
      </c>
      <c r="D15">
        <v>2</v>
      </c>
    </row>
    <row r="17" spans="1:13" x14ac:dyDescent="0.3">
      <c r="C17" t="s">
        <v>522</v>
      </c>
      <c r="D17">
        <v>80</v>
      </c>
    </row>
    <row r="18" spans="1:13" x14ac:dyDescent="0.3">
      <c r="C18" t="s">
        <v>523</v>
      </c>
      <c r="D18">
        <v>20</v>
      </c>
    </row>
    <row r="21" spans="1:13" x14ac:dyDescent="0.3">
      <c r="B21" s="15" t="s">
        <v>556</v>
      </c>
      <c r="C21" t="s">
        <v>519</v>
      </c>
      <c r="D21" t="s">
        <v>520</v>
      </c>
      <c r="E21" t="s">
        <v>521</v>
      </c>
    </row>
    <row r="22" spans="1:13" x14ac:dyDescent="0.3">
      <c r="A22" s="22" t="s">
        <v>7</v>
      </c>
      <c r="B22" s="22" t="s">
        <v>466</v>
      </c>
      <c r="C22">
        <v>5.2</v>
      </c>
      <c r="D22">
        <v>0.15</v>
      </c>
      <c r="E22">
        <v>1.05</v>
      </c>
      <c r="M22" s="22"/>
    </row>
    <row r="23" spans="1:13" x14ac:dyDescent="0.3">
      <c r="A23" s="22" t="s">
        <v>7</v>
      </c>
      <c r="B23" s="22" t="s">
        <v>467</v>
      </c>
      <c r="C23">
        <v>10.5</v>
      </c>
      <c r="D23">
        <v>1.3633333333333331</v>
      </c>
      <c r="E23">
        <v>0.36666666666666664</v>
      </c>
      <c r="M23" s="22" t="s">
        <v>440</v>
      </c>
    </row>
    <row r="24" spans="1:13" x14ac:dyDescent="0.3">
      <c r="A24" s="22" t="s">
        <v>7</v>
      </c>
      <c r="B24" s="22" t="s">
        <v>468</v>
      </c>
      <c r="C24">
        <v>7</v>
      </c>
      <c r="D24">
        <v>0.12</v>
      </c>
      <c r="E24">
        <v>1.1000000000000001</v>
      </c>
      <c r="M24" s="22"/>
    </row>
    <row r="25" spans="1:13" x14ac:dyDescent="0.3">
      <c r="A25" s="22" t="s">
        <v>7</v>
      </c>
      <c r="B25" s="22" t="s">
        <v>471</v>
      </c>
      <c r="C25">
        <v>5.7228571428571424</v>
      </c>
      <c r="D25">
        <v>0.44714285714285712</v>
      </c>
      <c r="E25">
        <v>0.48</v>
      </c>
      <c r="M25" s="22"/>
    </row>
    <row r="26" spans="1:13" x14ac:dyDescent="0.3">
      <c r="A26" s="22" t="s">
        <v>8</v>
      </c>
      <c r="B26" s="22" t="s">
        <v>472</v>
      </c>
      <c r="C26">
        <v>7.621666666666667</v>
      </c>
      <c r="D26">
        <v>0.5508333333333334</v>
      </c>
      <c r="E26">
        <f>16/20</f>
        <v>0.8</v>
      </c>
      <c r="M26" s="22"/>
    </row>
    <row r="27" spans="1:13" x14ac:dyDescent="0.3">
      <c r="A27" s="22" t="s">
        <v>8</v>
      </c>
      <c r="B27" s="22" t="s">
        <v>473</v>
      </c>
      <c r="C27">
        <v>5</v>
      </c>
      <c r="D27">
        <v>1.1399999999999999</v>
      </c>
      <c r="E27">
        <f>10/100</f>
        <v>0.1</v>
      </c>
      <c r="K27" s="22"/>
      <c r="L27" s="22"/>
      <c r="M27" s="22"/>
    </row>
    <row r="28" spans="1:13" x14ac:dyDescent="0.3">
      <c r="A28" s="22" t="s">
        <v>8</v>
      </c>
      <c r="B28" s="22" t="s">
        <v>474</v>
      </c>
      <c r="C28">
        <v>11</v>
      </c>
      <c r="D28">
        <v>0.57999999999999996</v>
      </c>
      <c r="E28">
        <f>15/20</f>
        <v>0.75</v>
      </c>
      <c r="K28" s="22"/>
      <c r="L28" s="22"/>
      <c r="M28" s="22"/>
    </row>
    <row r="29" spans="1:13" x14ac:dyDescent="0.3">
      <c r="A29" s="22" t="s">
        <v>8</v>
      </c>
      <c r="B29" s="22" t="s">
        <v>475</v>
      </c>
      <c r="C29">
        <v>15.5</v>
      </c>
      <c r="D29">
        <v>3</v>
      </c>
      <c r="E29">
        <v>0.26666666666666666</v>
      </c>
      <c r="K29" s="22"/>
      <c r="L29" s="22"/>
      <c r="M29" s="22"/>
    </row>
    <row r="30" spans="1:13" x14ac:dyDescent="0.3">
      <c r="K30" s="22"/>
      <c r="L30" s="22"/>
      <c r="M30" s="22"/>
    </row>
    <row r="31" spans="1:13" x14ac:dyDescent="0.3">
      <c r="B31" s="22" t="s">
        <v>15</v>
      </c>
      <c r="C31">
        <f>AVERAGE(C22:C24,C25:C29)</f>
        <v>8.4430654761904762</v>
      </c>
      <c r="D31">
        <f>AVERAGE(D22:D24,D25:D29)</f>
        <v>0.91891369047619043</v>
      </c>
      <c r="E31">
        <f>AVERAGE(E22:E24,E25:E29)</f>
        <v>0.61416666666666664</v>
      </c>
      <c r="K31" s="22"/>
      <c r="L31" s="22"/>
      <c r="M31" s="22"/>
    </row>
    <row r="32" spans="1:13" x14ac:dyDescent="0.3">
      <c r="B32" s="22" t="s">
        <v>380</v>
      </c>
      <c r="C32">
        <f>STDEVA(C22:C29)/SQRT(8)</f>
        <v>1.2893662588749661</v>
      </c>
      <c r="D32" s="22">
        <f>STDEVA(D22:D29)/SQRT(8)</f>
        <v>0.33486972171561918</v>
      </c>
      <c r="E32" s="22">
        <f>STDEVA(E22:E29)/SQRT(8)</f>
        <v>0.12979035293227967</v>
      </c>
      <c r="K32" s="22"/>
      <c r="L32" s="22"/>
      <c r="M32" s="22"/>
    </row>
    <row r="33" spans="1:13" x14ac:dyDescent="0.3">
      <c r="K33" s="22"/>
      <c r="L33" s="22"/>
      <c r="M33" s="22"/>
    </row>
    <row r="34" spans="1:13" x14ac:dyDescent="0.3">
      <c r="B34" s="7" t="s">
        <v>557</v>
      </c>
      <c r="C34" t="s">
        <v>0</v>
      </c>
      <c r="D34" s="22" t="s">
        <v>629</v>
      </c>
      <c r="K34" s="22"/>
      <c r="L34" s="22"/>
      <c r="M34" s="22"/>
    </row>
    <row r="35" spans="1:13" x14ac:dyDescent="0.3">
      <c r="A35" s="22" t="s">
        <v>7</v>
      </c>
      <c r="B35" s="22" t="s">
        <v>466</v>
      </c>
      <c r="C35" s="22" t="s">
        <v>6</v>
      </c>
      <c r="D35" s="5" t="s">
        <v>4</v>
      </c>
      <c r="G35" s="22"/>
      <c r="H35" s="22"/>
      <c r="I35" s="1"/>
      <c r="K35" s="22"/>
      <c r="L35" s="22"/>
      <c r="M35" s="22"/>
    </row>
    <row r="36" spans="1:13" x14ac:dyDescent="0.3">
      <c r="A36" s="22" t="s">
        <v>7</v>
      </c>
      <c r="B36" s="22" t="s">
        <v>467</v>
      </c>
      <c r="C36" s="22" t="s">
        <v>6</v>
      </c>
      <c r="D36" s="5" t="s">
        <v>4</v>
      </c>
      <c r="G36" s="22"/>
      <c r="H36" s="22"/>
      <c r="I36" s="1"/>
      <c r="J36" s="22"/>
      <c r="K36" s="22"/>
      <c r="L36" s="22"/>
      <c r="M36" s="22"/>
    </row>
    <row r="37" spans="1:13" x14ac:dyDescent="0.3">
      <c r="A37" s="22" t="s">
        <v>7</v>
      </c>
      <c r="B37" s="22" t="s">
        <v>468</v>
      </c>
      <c r="C37" s="22" t="s">
        <v>6</v>
      </c>
      <c r="D37" s="5" t="s">
        <v>4</v>
      </c>
      <c r="G37" s="22"/>
      <c r="H37" s="22"/>
      <c r="I37" s="1"/>
      <c r="J37" s="22"/>
      <c r="K37" s="22"/>
      <c r="L37" s="22"/>
      <c r="M37" s="22"/>
    </row>
    <row r="38" spans="1:13" x14ac:dyDescent="0.3">
      <c r="A38" s="22" t="s">
        <v>7</v>
      </c>
      <c r="B38" s="22" t="s">
        <v>469</v>
      </c>
      <c r="C38" s="22" t="s">
        <v>6</v>
      </c>
      <c r="D38" s="5" t="s">
        <v>4</v>
      </c>
      <c r="G38" s="22"/>
      <c r="H38" s="22"/>
      <c r="I38" s="1"/>
    </row>
    <row r="39" spans="1:13" x14ac:dyDescent="0.3">
      <c r="A39" s="22" t="s">
        <v>7</v>
      </c>
      <c r="B39" s="22" t="s">
        <v>470</v>
      </c>
      <c r="C39" s="22" t="s">
        <v>6</v>
      </c>
      <c r="D39" s="5" t="s">
        <v>4</v>
      </c>
    </row>
    <row r="40" spans="1:13" x14ac:dyDescent="0.3">
      <c r="A40" s="22" t="s">
        <v>7</v>
      </c>
      <c r="B40" s="22" t="s">
        <v>471</v>
      </c>
      <c r="C40" s="22" t="s">
        <v>6</v>
      </c>
      <c r="D40" s="5" t="s">
        <v>3</v>
      </c>
    </row>
    <row r="41" spans="1:13" x14ac:dyDescent="0.3">
      <c r="A41" s="22" t="s">
        <v>7</v>
      </c>
      <c r="B41" s="22" t="s">
        <v>472</v>
      </c>
      <c r="C41" s="22" t="s">
        <v>6</v>
      </c>
      <c r="D41" s="5" t="s">
        <v>4</v>
      </c>
    </row>
    <row r="42" spans="1:13" x14ac:dyDescent="0.3">
      <c r="A42" s="22" t="s">
        <v>7</v>
      </c>
      <c r="B42" s="22" t="s">
        <v>473</v>
      </c>
      <c r="C42" s="22" t="s">
        <v>6</v>
      </c>
      <c r="D42" s="5" t="s">
        <v>3</v>
      </c>
    </row>
    <row r="43" spans="1:13" x14ac:dyDescent="0.3">
      <c r="A43" s="22" t="s">
        <v>7</v>
      </c>
      <c r="B43" s="22" t="s">
        <v>474</v>
      </c>
      <c r="C43" s="22" t="s">
        <v>6</v>
      </c>
      <c r="D43" s="5" t="s">
        <v>4</v>
      </c>
    </row>
    <row r="44" spans="1:13" x14ac:dyDescent="0.3">
      <c r="B44" s="22"/>
      <c r="C44" s="22"/>
      <c r="D44" s="5"/>
      <c r="M44" s="22"/>
    </row>
    <row r="45" spans="1:13" x14ac:dyDescent="0.3">
      <c r="A45" s="22" t="s">
        <v>8</v>
      </c>
      <c r="B45" s="22" t="s">
        <v>475</v>
      </c>
      <c r="C45" s="22" t="s">
        <v>12</v>
      </c>
      <c r="D45" s="5" t="s">
        <v>4</v>
      </c>
      <c r="M45" s="22"/>
    </row>
    <row r="46" spans="1:13" x14ac:dyDescent="0.3">
      <c r="A46" s="22" t="s">
        <v>8</v>
      </c>
      <c r="B46" s="22" t="s">
        <v>476</v>
      </c>
      <c r="C46" s="22" t="s">
        <v>12</v>
      </c>
      <c r="D46" s="5" t="s">
        <v>4</v>
      </c>
      <c r="K46" s="22"/>
      <c r="L46" s="22"/>
      <c r="M46" s="22"/>
    </row>
    <row r="47" spans="1:13" x14ac:dyDescent="0.3">
      <c r="A47" s="22" t="s">
        <v>8</v>
      </c>
      <c r="B47" s="22" t="s">
        <v>477</v>
      </c>
      <c r="C47" s="22" t="s">
        <v>12</v>
      </c>
      <c r="D47" s="5" t="s">
        <v>4</v>
      </c>
      <c r="E47" s="22"/>
      <c r="F47" s="22"/>
      <c r="G47" s="17"/>
      <c r="H47" s="17"/>
      <c r="I47" s="17"/>
      <c r="K47" s="22"/>
      <c r="L47" s="22"/>
      <c r="M47" s="22"/>
    </row>
    <row r="48" spans="1:13" x14ac:dyDescent="0.3">
      <c r="A48" s="22" t="s">
        <v>8</v>
      </c>
      <c r="B48" s="22" t="s">
        <v>478</v>
      </c>
      <c r="C48" s="22" t="s">
        <v>12</v>
      </c>
      <c r="D48" s="5" t="s">
        <v>3</v>
      </c>
    </row>
    <row r="49" spans="1:9" x14ac:dyDescent="0.3">
      <c r="B49" s="22"/>
      <c r="C49" s="22"/>
      <c r="D49" s="5"/>
      <c r="E49" s="22"/>
      <c r="F49" s="22"/>
      <c r="G49" s="17"/>
      <c r="H49" s="17"/>
      <c r="I49" s="17"/>
    </row>
    <row r="50" spans="1:9" x14ac:dyDescent="0.3">
      <c r="A50" s="22" t="s">
        <v>9</v>
      </c>
      <c r="B50" s="22" t="s">
        <v>479</v>
      </c>
      <c r="C50" s="22" t="s">
        <v>384</v>
      </c>
      <c r="D50" s="5" t="s">
        <v>3</v>
      </c>
    </row>
    <row r="51" spans="1:9" x14ac:dyDescent="0.3">
      <c r="A51" s="22" t="s">
        <v>9</v>
      </c>
      <c r="B51" s="22" t="s">
        <v>480</v>
      </c>
      <c r="C51" s="22" t="s">
        <v>384</v>
      </c>
      <c r="D51" s="5" t="s">
        <v>4</v>
      </c>
      <c r="E51" s="22"/>
      <c r="F51" s="22"/>
      <c r="G51" s="22"/>
      <c r="H51" s="22"/>
      <c r="I51" s="22"/>
    </row>
    <row r="52" spans="1:9" x14ac:dyDescent="0.3">
      <c r="A52" s="22" t="s">
        <v>9</v>
      </c>
      <c r="B52" s="22" t="s">
        <v>481</v>
      </c>
      <c r="C52" s="22" t="s">
        <v>384</v>
      </c>
      <c r="D52" s="5" t="s">
        <v>4</v>
      </c>
      <c r="E52" s="22"/>
      <c r="F52" s="22"/>
      <c r="G52" s="22"/>
      <c r="H52" s="22"/>
      <c r="I52" s="22"/>
    </row>
    <row r="53" spans="1:9" x14ac:dyDescent="0.3">
      <c r="A53" s="22" t="s">
        <v>9</v>
      </c>
      <c r="B53" s="22" t="s">
        <v>482</v>
      </c>
      <c r="C53" s="22" t="s">
        <v>384</v>
      </c>
      <c r="D53" s="5" t="s">
        <v>4</v>
      </c>
      <c r="E53" s="22"/>
      <c r="F53" s="22"/>
      <c r="G53" s="22"/>
      <c r="H53" s="22"/>
      <c r="I53" s="22"/>
    </row>
    <row r="54" spans="1:9" x14ac:dyDescent="0.3">
      <c r="B54" s="22"/>
      <c r="C54" s="22"/>
      <c r="D54" s="22"/>
      <c r="G54" s="22"/>
      <c r="H54" s="22"/>
      <c r="I54" s="22"/>
    </row>
    <row r="55" spans="1:9" x14ac:dyDescent="0.3">
      <c r="B55" s="22"/>
      <c r="C55" s="22"/>
      <c r="D55" s="22"/>
      <c r="G55" s="22"/>
      <c r="H55" s="22"/>
      <c r="I55" s="22"/>
    </row>
    <row r="56" spans="1:9" x14ac:dyDescent="0.3">
      <c r="B56" s="7" t="s">
        <v>557</v>
      </c>
      <c r="C56" s="22" t="s">
        <v>524</v>
      </c>
      <c r="D56" s="22">
        <v>4</v>
      </c>
    </row>
    <row r="57" spans="1:9" x14ac:dyDescent="0.3">
      <c r="B57" s="22"/>
      <c r="C57" s="22" t="s">
        <v>525</v>
      </c>
      <c r="D57" s="22">
        <v>13</v>
      </c>
    </row>
    <row r="58" spans="1:9" x14ac:dyDescent="0.3">
      <c r="B58" s="22"/>
      <c r="C58" s="22"/>
      <c r="D58" s="22"/>
      <c r="E58" s="22"/>
      <c r="F58" s="22"/>
      <c r="G58" s="22"/>
    </row>
    <row r="59" spans="1:9" x14ac:dyDescent="0.3">
      <c r="B59" s="22"/>
      <c r="C59" s="22" t="s">
        <v>522</v>
      </c>
      <c r="D59" s="22">
        <f>400/17</f>
        <v>23.529411764705884</v>
      </c>
      <c r="E59" s="22"/>
      <c r="F59" s="22"/>
      <c r="G59" s="22"/>
      <c r="H59" s="22"/>
      <c r="I59" s="22"/>
    </row>
    <row r="60" spans="1:9" x14ac:dyDescent="0.3">
      <c r="B60" s="22"/>
      <c r="C60" s="22" t="s">
        <v>523</v>
      </c>
      <c r="D60" s="22">
        <f>100-D59</f>
        <v>76.470588235294116</v>
      </c>
      <c r="E60" s="22"/>
      <c r="F60" s="22"/>
      <c r="G60" s="22"/>
      <c r="I60" s="22"/>
    </row>
    <row r="62" spans="1:9" x14ac:dyDescent="0.3">
      <c r="B62" s="7" t="s">
        <v>557</v>
      </c>
      <c r="C62" t="s">
        <v>30</v>
      </c>
      <c r="D62" t="s">
        <v>31</v>
      </c>
      <c r="E62" t="s">
        <v>29</v>
      </c>
    </row>
    <row r="63" spans="1:9" x14ac:dyDescent="0.3">
      <c r="A63" s="22" t="s">
        <v>7</v>
      </c>
      <c r="B63" s="22" t="s">
        <v>471</v>
      </c>
      <c r="C63" s="17">
        <v>5.0649999999999995</v>
      </c>
      <c r="D63" s="17">
        <v>0.51</v>
      </c>
      <c r="E63" s="17">
        <v>0.8</v>
      </c>
    </row>
    <row r="64" spans="1:9" x14ac:dyDescent="0.3">
      <c r="A64" s="22" t="s">
        <v>7</v>
      </c>
      <c r="B64" s="22" t="s">
        <v>473</v>
      </c>
      <c r="C64" s="17">
        <v>9.4787499999999998</v>
      </c>
      <c r="D64" s="17">
        <v>1.7603749999999998</v>
      </c>
      <c r="E64" s="17">
        <v>0.12</v>
      </c>
    </row>
    <row r="65" spans="1:5" x14ac:dyDescent="0.3">
      <c r="A65" s="22" t="s">
        <v>8</v>
      </c>
      <c r="B65" s="22" t="s">
        <v>478</v>
      </c>
      <c r="C65" s="17">
        <v>15.412000000000001</v>
      </c>
      <c r="D65" s="17">
        <v>1.966</v>
      </c>
      <c r="E65" s="17">
        <v>0.125</v>
      </c>
    </row>
    <row r="66" spans="1:5" x14ac:dyDescent="0.3">
      <c r="A66" s="22" t="s">
        <v>9</v>
      </c>
      <c r="B66" s="22" t="s">
        <v>479</v>
      </c>
      <c r="C66" s="17">
        <v>7.9033333333333333</v>
      </c>
      <c r="D66" s="17">
        <v>1.29</v>
      </c>
      <c r="E66" s="17">
        <v>0.5</v>
      </c>
    </row>
    <row r="67" spans="1:5" x14ac:dyDescent="0.3">
      <c r="A67" s="22"/>
      <c r="B67" s="22"/>
      <c r="C67" s="17"/>
      <c r="D67" s="17"/>
      <c r="E67" s="17"/>
    </row>
    <row r="68" spans="1:5" x14ac:dyDescent="0.3">
      <c r="A68" s="22"/>
      <c r="B68" s="22" t="s">
        <v>15</v>
      </c>
      <c r="C68" s="22">
        <f>AVERAGE(C63:C66)</f>
        <v>9.4647708333333345</v>
      </c>
      <c r="D68" s="22">
        <f t="shared" ref="D68:E68" si="0">AVERAGE(D63:D66)</f>
        <v>1.38159375</v>
      </c>
      <c r="E68" s="22">
        <f t="shared" si="0"/>
        <v>0.38624999999999998</v>
      </c>
    </row>
    <row r="69" spans="1:5" x14ac:dyDescent="0.3">
      <c r="A69" s="22"/>
      <c r="B69" s="22" t="s">
        <v>380</v>
      </c>
      <c r="C69" s="22">
        <f>STDEVA(C63:C66)/SQRT(4)</f>
        <v>2.1826169428427016</v>
      </c>
      <c r="D69" s="22">
        <f t="shared" ref="D69:E69" si="1">STDEVA(D63:D66)/SQRT(4)</f>
        <v>0.32314483085101198</v>
      </c>
      <c r="E69" s="22">
        <f t="shared" si="1"/>
        <v>0.16413123560127124</v>
      </c>
    </row>
    <row r="72" spans="1:5" x14ac:dyDescent="0.3">
      <c r="A72" s="24" t="s">
        <v>562</v>
      </c>
      <c r="B72" s="11" t="s">
        <v>563</v>
      </c>
    </row>
    <row r="73" spans="1:5" x14ac:dyDescent="0.3">
      <c r="A73" s="24" t="s">
        <v>393</v>
      </c>
      <c r="B73" s="11" t="s">
        <v>386</v>
      </c>
    </row>
    <row r="74" spans="1:5" x14ac:dyDescent="0.3">
      <c r="A74" s="24" t="s">
        <v>441</v>
      </c>
      <c r="B74" s="11" t="s">
        <v>422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Normal="100" workbookViewId="0"/>
  </sheetViews>
  <sheetFormatPr baseColWidth="10" defaultRowHeight="14.4" x14ac:dyDescent="0.3"/>
  <cols>
    <col min="4" max="4" width="19.33203125" customWidth="1"/>
  </cols>
  <sheetData>
    <row r="1" spans="1:19" x14ac:dyDescent="0.3">
      <c r="A1" s="70" t="s">
        <v>662</v>
      </c>
      <c r="B1" s="15" t="s">
        <v>556</v>
      </c>
      <c r="C1" s="22" t="s">
        <v>0</v>
      </c>
      <c r="D1" s="22" t="s">
        <v>526</v>
      </c>
    </row>
    <row r="2" spans="1:19" x14ac:dyDescent="0.3">
      <c r="A2" t="s">
        <v>9</v>
      </c>
      <c r="B2" s="1" t="s">
        <v>466</v>
      </c>
      <c r="C2" s="22" t="s">
        <v>11</v>
      </c>
      <c r="D2" t="s">
        <v>3</v>
      </c>
    </row>
    <row r="3" spans="1:19" x14ac:dyDescent="0.3">
      <c r="A3" s="22" t="s">
        <v>9</v>
      </c>
      <c r="B3" s="1" t="s">
        <v>467</v>
      </c>
      <c r="C3" s="22" t="s">
        <v>11</v>
      </c>
      <c r="D3" t="s">
        <v>3</v>
      </c>
    </row>
    <row r="4" spans="1:19" x14ac:dyDescent="0.3">
      <c r="A4" s="22" t="s">
        <v>9</v>
      </c>
      <c r="B4" s="1" t="s">
        <v>468</v>
      </c>
      <c r="C4" s="22" t="s">
        <v>11</v>
      </c>
      <c r="D4" t="s">
        <v>3</v>
      </c>
    </row>
    <row r="5" spans="1:19" x14ac:dyDescent="0.3">
      <c r="A5" s="22" t="s">
        <v>9</v>
      </c>
      <c r="B5" s="1" t="s">
        <v>469</v>
      </c>
      <c r="C5" s="22" t="s">
        <v>6</v>
      </c>
      <c r="D5" t="s">
        <v>4</v>
      </c>
    </row>
    <row r="6" spans="1:19" x14ac:dyDescent="0.3">
      <c r="A6" s="22" t="s">
        <v>9</v>
      </c>
      <c r="B6" s="1" t="s">
        <v>470</v>
      </c>
      <c r="C6" s="22" t="s">
        <v>6</v>
      </c>
      <c r="D6" t="s">
        <v>4</v>
      </c>
    </row>
    <row r="7" spans="1:19" x14ac:dyDescent="0.3">
      <c r="A7" s="22" t="s">
        <v>10</v>
      </c>
      <c r="B7" s="1" t="s">
        <v>471</v>
      </c>
      <c r="C7" s="22" t="s">
        <v>6</v>
      </c>
      <c r="D7" t="s">
        <v>3</v>
      </c>
    </row>
    <row r="8" spans="1:19" x14ac:dyDescent="0.3">
      <c r="A8" s="22" t="s">
        <v>10</v>
      </c>
      <c r="B8" s="1" t="s">
        <v>472</v>
      </c>
      <c r="C8" s="22" t="s">
        <v>6</v>
      </c>
      <c r="D8" t="s">
        <v>3</v>
      </c>
    </row>
    <row r="9" spans="1:19" x14ac:dyDescent="0.3">
      <c r="A9" s="22" t="s">
        <v>10</v>
      </c>
      <c r="B9" s="1" t="s">
        <v>473</v>
      </c>
      <c r="C9" s="22" t="s">
        <v>6</v>
      </c>
      <c r="D9" t="s">
        <v>3</v>
      </c>
    </row>
    <row r="11" spans="1:19" x14ac:dyDescent="0.3">
      <c r="B11" s="15" t="s">
        <v>556</v>
      </c>
      <c r="C11" s="22" t="s">
        <v>524</v>
      </c>
      <c r="D11" s="22">
        <v>6</v>
      </c>
    </row>
    <row r="12" spans="1:19" x14ac:dyDescent="0.3">
      <c r="B12" s="22"/>
      <c r="C12" s="22" t="s">
        <v>525</v>
      </c>
      <c r="D12" s="22">
        <v>8</v>
      </c>
    </row>
    <row r="13" spans="1:19" x14ac:dyDescent="0.3">
      <c r="B13" s="22"/>
      <c r="C13" s="22"/>
      <c r="D13" s="22"/>
      <c r="F13" s="22"/>
      <c r="G13" s="22"/>
      <c r="H13" s="22"/>
      <c r="I13" s="22"/>
      <c r="J13" s="22"/>
      <c r="O13" s="22"/>
      <c r="P13" s="22"/>
      <c r="Q13" s="22"/>
      <c r="R13" s="22"/>
      <c r="S13" s="22"/>
    </row>
    <row r="14" spans="1:19" x14ac:dyDescent="0.3">
      <c r="B14" s="22"/>
      <c r="C14" s="22" t="s">
        <v>522</v>
      </c>
      <c r="D14" s="22">
        <v>75</v>
      </c>
      <c r="F14" s="22"/>
      <c r="G14" s="22"/>
      <c r="H14" s="22"/>
      <c r="I14" s="22"/>
      <c r="J14" s="22"/>
      <c r="O14" s="22"/>
      <c r="P14" s="22"/>
      <c r="Q14" s="22"/>
      <c r="R14" s="22"/>
      <c r="S14" s="22"/>
    </row>
    <row r="15" spans="1:19" x14ac:dyDescent="0.3">
      <c r="B15" s="22"/>
      <c r="C15" s="22" t="s">
        <v>523</v>
      </c>
      <c r="D15" s="22">
        <v>25</v>
      </c>
      <c r="F15" s="22"/>
      <c r="G15" s="22"/>
      <c r="H15" s="22"/>
      <c r="I15" s="22"/>
      <c r="J15" s="22"/>
      <c r="O15" s="22"/>
      <c r="P15" s="22"/>
      <c r="Q15" s="22"/>
      <c r="R15" s="22"/>
      <c r="S15" s="22"/>
    </row>
    <row r="16" spans="1:19" x14ac:dyDescent="0.3">
      <c r="O16" s="22"/>
      <c r="P16" s="22"/>
      <c r="Q16" s="22"/>
      <c r="R16" s="22"/>
      <c r="S16" s="22"/>
    </row>
    <row r="17" spans="1:19" x14ac:dyDescent="0.3">
      <c r="A17" s="22"/>
      <c r="B17" s="15" t="s">
        <v>556</v>
      </c>
      <c r="C17" s="22" t="s">
        <v>329</v>
      </c>
      <c r="D17" s="22" t="s">
        <v>312</v>
      </c>
      <c r="E17" s="22" t="s">
        <v>330</v>
      </c>
      <c r="O17" s="22"/>
      <c r="P17" s="22"/>
      <c r="Q17" s="22"/>
      <c r="R17" s="22"/>
      <c r="S17" s="22"/>
    </row>
    <row r="18" spans="1:19" x14ac:dyDescent="0.3">
      <c r="A18" s="22" t="s">
        <v>9</v>
      </c>
      <c r="B18" s="1" t="s">
        <v>466</v>
      </c>
      <c r="C18">
        <v>6.6815384615384614</v>
      </c>
      <c r="D18">
        <v>0.91769230769230781</v>
      </c>
      <c r="E18">
        <v>0.61904761904761907</v>
      </c>
    </row>
    <row r="19" spans="1:19" x14ac:dyDescent="0.3">
      <c r="A19" s="22" t="s">
        <v>9</v>
      </c>
      <c r="B19" s="1" t="s">
        <v>467</v>
      </c>
      <c r="C19">
        <v>10.354761904761906</v>
      </c>
      <c r="D19">
        <v>2.4842857142857144</v>
      </c>
      <c r="E19">
        <v>0.21</v>
      </c>
    </row>
    <row r="20" spans="1:19" x14ac:dyDescent="0.3">
      <c r="A20" s="22" t="s">
        <v>9</v>
      </c>
      <c r="B20" s="1" t="s">
        <v>468</v>
      </c>
      <c r="C20">
        <v>10.203111111111113</v>
      </c>
      <c r="D20">
        <v>0.62688888888888872</v>
      </c>
      <c r="E20">
        <v>1.5</v>
      </c>
    </row>
    <row r="21" spans="1:19" x14ac:dyDescent="0.3">
      <c r="A21" s="22" t="s">
        <v>10</v>
      </c>
      <c r="B21" s="1" t="s">
        <v>471</v>
      </c>
      <c r="C21">
        <v>4.6733333333333338</v>
      </c>
      <c r="D21">
        <v>0.931111111111111</v>
      </c>
      <c r="E21">
        <v>0.9</v>
      </c>
      <c r="H21" s="22"/>
      <c r="I21" s="22"/>
    </row>
    <row r="22" spans="1:19" x14ac:dyDescent="0.3">
      <c r="A22" s="22" t="s">
        <v>10</v>
      </c>
      <c r="B22" s="1" t="s">
        <v>472</v>
      </c>
      <c r="C22">
        <v>2.4080000000000004</v>
      </c>
      <c r="D22">
        <v>1.0499999999999998</v>
      </c>
      <c r="E22">
        <v>0.33333000000000002</v>
      </c>
      <c r="H22" s="22"/>
      <c r="I22" s="22"/>
    </row>
    <row r="23" spans="1:19" x14ac:dyDescent="0.3">
      <c r="A23" s="22" t="s">
        <v>10</v>
      </c>
      <c r="B23" s="1" t="s">
        <v>473</v>
      </c>
      <c r="C23">
        <v>5.3083333333333336</v>
      </c>
      <c r="D23">
        <v>0.6163333333333334</v>
      </c>
      <c r="E23">
        <v>1.5</v>
      </c>
      <c r="H23" s="22"/>
      <c r="I23" s="22"/>
    </row>
    <row r="24" spans="1:19" x14ac:dyDescent="0.3">
      <c r="H24" s="22"/>
      <c r="I24" s="22"/>
    </row>
    <row r="25" spans="1:19" x14ac:dyDescent="0.3">
      <c r="A25" s="22"/>
      <c r="B25" s="22" t="s">
        <v>15</v>
      </c>
      <c r="C25" s="22">
        <f>AVERAGE(C18:C23)</f>
        <v>6.6048463573463581</v>
      </c>
      <c r="D25" s="22">
        <f>AVERAGE(D18:D23)</f>
        <v>1.1043852258852258</v>
      </c>
      <c r="E25" s="22">
        <f>AVERAGE(E18:E23)</f>
        <v>0.84372960317460322</v>
      </c>
      <c r="H25" s="22"/>
      <c r="I25" s="22"/>
      <c r="J25" s="22"/>
    </row>
    <row r="26" spans="1:19" x14ac:dyDescent="0.3">
      <c r="A26" s="22"/>
      <c r="B26" s="22" t="s">
        <v>380</v>
      </c>
      <c r="C26" s="22">
        <f>STDEVA(C18:C23)/SQRT(6)</f>
        <v>1.2915167499277576</v>
      </c>
      <c r="D26" s="22">
        <f>STDEVA(D18:D23)/SQRT(6)</f>
        <v>0.28508236686409533</v>
      </c>
      <c r="E26" s="22">
        <f>STDEVA(E18:E23)/SQRT(6)</f>
        <v>0.22928519242124981</v>
      </c>
      <c r="H26" s="22"/>
      <c r="I26" s="22"/>
      <c r="J26" s="22"/>
      <c r="O26" s="22"/>
    </row>
    <row r="27" spans="1:19" x14ac:dyDescent="0.3">
      <c r="H27" s="22"/>
      <c r="I27" s="22"/>
      <c r="J27" s="22"/>
    </row>
    <row r="28" spans="1:19" x14ac:dyDescent="0.3">
      <c r="H28" s="22"/>
      <c r="I28" s="22"/>
      <c r="J28" s="22"/>
    </row>
    <row r="29" spans="1:19" x14ac:dyDescent="0.3">
      <c r="B29" s="7" t="s">
        <v>557</v>
      </c>
      <c r="C29" s="22" t="s">
        <v>0</v>
      </c>
      <c r="D29" s="22" t="s">
        <v>526</v>
      </c>
    </row>
    <row r="30" spans="1:19" x14ac:dyDescent="0.3">
      <c r="A30" s="22" t="s">
        <v>10</v>
      </c>
      <c r="B30" s="1" t="s">
        <v>466</v>
      </c>
      <c r="C30" s="22" t="s">
        <v>5</v>
      </c>
      <c r="D30" s="40" t="s">
        <v>3</v>
      </c>
    </row>
    <row r="31" spans="1:19" x14ac:dyDescent="0.3">
      <c r="A31" s="22" t="s">
        <v>10</v>
      </c>
      <c r="B31" s="1" t="s">
        <v>467</v>
      </c>
      <c r="C31" s="22" t="s">
        <v>5</v>
      </c>
      <c r="D31" s="40" t="s">
        <v>3</v>
      </c>
    </row>
    <row r="32" spans="1:19" x14ac:dyDescent="0.3">
      <c r="A32" s="22" t="s">
        <v>10</v>
      </c>
      <c r="B32" s="1" t="s">
        <v>468</v>
      </c>
      <c r="C32" s="22" t="s">
        <v>5</v>
      </c>
      <c r="D32" s="40" t="s">
        <v>4</v>
      </c>
      <c r="E32" s="22"/>
      <c r="F32" s="1"/>
    </row>
    <row r="33" spans="1:10" x14ac:dyDescent="0.3">
      <c r="A33" s="22" t="s">
        <v>10</v>
      </c>
      <c r="B33" s="1" t="s">
        <v>469</v>
      </c>
      <c r="C33" s="22" t="s">
        <v>5</v>
      </c>
      <c r="D33" s="40" t="s">
        <v>4</v>
      </c>
      <c r="E33" s="22"/>
      <c r="F33" s="1"/>
    </row>
    <row r="34" spans="1:10" x14ac:dyDescent="0.3">
      <c r="A34" s="22" t="s">
        <v>10</v>
      </c>
      <c r="B34" s="1" t="s">
        <v>470</v>
      </c>
      <c r="C34" s="22" t="s">
        <v>5</v>
      </c>
      <c r="D34" s="40" t="s">
        <v>4</v>
      </c>
      <c r="E34" s="22"/>
      <c r="F34" s="1"/>
    </row>
    <row r="35" spans="1:10" x14ac:dyDescent="0.3">
      <c r="A35" s="22" t="s">
        <v>16</v>
      </c>
      <c r="B35" s="1" t="s">
        <v>471</v>
      </c>
      <c r="C35" s="22" t="s">
        <v>12</v>
      </c>
      <c r="D35" s="40" t="s">
        <v>4</v>
      </c>
      <c r="E35" s="22"/>
      <c r="F35" s="1"/>
      <c r="H35" s="22"/>
      <c r="I35" s="22"/>
      <c r="J35" s="22"/>
    </row>
    <row r="36" spans="1:10" x14ac:dyDescent="0.3">
      <c r="A36" s="22" t="s">
        <v>16</v>
      </c>
      <c r="B36" s="1" t="s">
        <v>472</v>
      </c>
      <c r="C36" s="22" t="s">
        <v>12</v>
      </c>
      <c r="D36" s="40" t="s">
        <v>4</v>
      </c>
      <c r="E36" s="22"/>
      <c r="F36" s="1"/>
      <c r="H36" s="22"/>
      <c r="I36" s="22"/>
      <c r="J36" s="22"/>
    </row>
    <row r="37" spans="1:10" x14ac:dyDescent="0.3">
      <c r="A37" s="22" t="s">
        <v>16</v>
      </c>
      <c r="B37" s="1" t="s">
        <v>473</v>
      </c>
      <c r="C37" s="22" t="s">
        <v>12</v>
      </c>
      <c r="D37" s="40" t="s">
        <v>4</v>
      </c>
      <c r="E37" s="22"/>
      <c r="F37" s="1"/>
    </row>
    <row r="38" spans="1:10" x14ac:dyDescent="0.3">
      <c r="A38" s="22" t="s">
        <v>354</v>
      </c>
      <c r="B38" s="1" t="s">
        <v>474</v>
      </c>
      <c r="C38" s="22" t="s">
        <v>12</v>
      </c>
      <c r="D38" s="40" t="s">
        <v>4</v>
      </c>
      <c r="E38" s="22"/>
      <c r="F38" s="1"/>
    </row>
    <row r="39" spans="1:10" x14ac:dyDescent="0.3">
      <c r="A39" s="22" t="s">
        <v>354</v>
      </c>
      <c r="B39" s="1" t="s">
        <v>475</v>
      </c>
      <c r="C39" s="22" t="s">
        <v>12</v>
      </c>
      <c r="D39" s="40" t="s">
        <v>4</v>
      </c>
      <c r="E39" s="22"/>
      <c r="F39" s="1"/>
    </row>
    <row r="40" spans="1:10" x14ac:dyDescent="0.3">
      <c r="A40" s="22" t="s">
        <v>355</v>
      </c>
      <c r="B40" s="1" t="s">
        <v>476</v>
      </c>
      <c r="C40" s="22" t="s">
        <v>384</v>
      </c>
      <c r="D40" s="40" t="s">
        <v>4</v>
      </c>
      <c r="E40" s="22"/>
      <c r="F40" s="1"/>
    </row>
    <row r="41" spans="1:10" x14ac:dyDescent="0.3">
      <c r="A41" s="22" t="s">
        <v>355</v>
      </c>
      <c r="B41" s="1" t="s">
        <v>477</v>
      </c>
      <c r="C41" s="22" t="s">
        <v>384</v>
      </c>
      <c r="D41" s="40" t="s">
        <v>4</v>
      </c>
      <c r="E41" s="22"/>
      <c r="F41" s="1"/>
    </row>
    <row r="42" spans="1:10" x14ac:dyDescent="0.3">
      <c r="A42" s="22" t="s">
        <v>355</v>
      </c>
      <c r="B42" s="1" t="s">
        <v>478</v>
      </c>
      <c r="C42" s="22" t="s">
        <v>384</v>
      </c>
      <c r="D42" s="40" t="s">
        <v>3</v>
      </c>
    </row>
    <row r="43" spans="1:10" x14ac:dyDescent="0.3">
      <c r="B43" s="1"/>
    </row>
    <row r="44" spans="1:10" x14ac:dyDescent="0.3">
      <c r="B44" s="7" t="s">
        <v>557</v>
      </c>
      <c r="C44" s="22" t="s">
        <v>524</v>
      </c>
      <c r="D44" s="22">
        <v>3</v>
      </c>
    </row>
    <row r="45" spans="1:10" x14ac:dyDescent="0.3">
      <c r="B45" s="22"/>
      <c r="C45" s="22" t="s">
        <v>525</v>
      </c>
      <c r="D45" s="22">
        <v>13</v>
      </c>
    </row>
    <row r="46" spans="1:10" x14ac:dyDescent="0.3">
      <c r="B46" s="22"/>
      <c r="C46" s="22"/>
      <c r="D46" s="22"/>
      <c r="F46" s="22"/>
      <c r="G46" s="22"/>
    </row>
    <row r="47" spans="1:10" x14ac:dyDescent="0.3">
      <c r="B47" s="22"/>
      <c r="C47" s="22" t="s">
        <v>522</v>
      </c>
      <c r="D47" s="22">
        <f>100-D48</f>
        <v>76.923076923076906</v>
      </c>
      <c r="F47" s="22"/>
      <c r="G47" s="22"/>
    </row>
    <row r="48" spans="1:10" x14ac:dyDescent="0.3">
      <c r="B48" s="22"/>
      <c r="C48" s="22" t="s">
        <v>523</v>
      </c>
      <c r="D48" s="22">
        <v>23.076923076923102</v>
      </c>
    </row>
    <row r="50" spans="1:5" x14ac:dyDescent="0.3">
      <c r="B50" s="7" t="s">
        <v>557</v>
      </c>
      <c r="C50" s="22" t="s">
        <v>30</v>
      </c>
      <c r="D50" s="22" t="s">
        <v>31</v>
      </c>
      <c r="E50" s="22" t="s">
        <v>29</v>
      </c>
    </row>
    <row r="51" spans="1:5" x14ac:dyDescent="0.3">
      <c r="A51" s="22" t="s">
        <v>10</v>
      </c>
      <c r="B51" s="1" t="s">
        <v>466</v>
      </c>
      <c r="C51" s="22">
        <v>22.872083333333332</v>
      </c>
      <c r="D51" s="22">
        <v>2.0829166666666667</v>
      </c>
      <c r="E51" s="22">
        <v>0.4</v>
      </c>
    </row>
    <row r="52" spans="1:5" x14ac:dyDescent="0.3">
      <c r="A52" s="22" t="s">
        <v>10</v>
      </c>
      <c r="B52" s="1" t="s">
        <v>467</v>
      </c>
      <c r="C52" s="22">
        <v>4.8936363636363645</v>
      </c>
      <c r="D52" s="22">
        <v>1.4836363636363636</v>
      </c>
      <c r="E52" s="22">
        <v>0.27500000000000002</v>
      </c>
    </row>
    <row r="53" spans="1:5" x14ac:dyDescent="0.3">
      <c r="A53" s="22" t="s">
        <v>355</v>
      </c>
      <c r="B53" s="1" t="s">
        <v>478</v>
      </c>
      <c r="C53" s="17">
        <v>6.7</v>
      </c>
      <c r="D53" s="17">
        <v>1.1860465099999999</v>
      </c>
      <c r="E53" s="17">
        <v>0.29339999999999999</v>
      </c>
    </row>
    <row r="55" spans="1:5" x14ac:dyDescent="0.3">
      <c r="A55" s="22"/>
      <c r="B55" s="22" t="s">
        <v>15</v>
      </c>
      <c r="C55" s="22">
        <f>AVERAGE(C51:C53)</f>
        <v>11.488573232323233</v>
      </c>
      <c r="D55" s="22">
        <f t="shared" ref="D55:E55" si="0">AVERAGE(D51:D53)</f>
        <v>1.5841998467676766</v>
      </c>
      <c r="E55" s="22">
        <f t="shared" si="0"/>
        <v>0.32280000000000003</v>
      </c>
    </row>
    <row r="56" spans="1:5" x14ac:dyDescent="0.3">
      <c r="A56" s="22"/>
      <c r="B56" s="22" t="s">
        <v>380</v>
      </c>
      <c r="C56" s="22">
        <f>STDEVA(C51:C53)/SQRT(3)</f>
        <v>5.7155916597071963</v>
      </c>
      <c r="D56" s="22">
        <f t="shared" ref="D56:E56" si="1">STDEVA(D51:D53)/SQRT(3)</f>
        <v>0.26374152756341468</v>
      </c>
      <c r="E56" s="22">
        <f t="shared" si="1"/>
        <v>3.8963743831071151E-2</v>
      </c>
    </row>
    <row r="59" spans="1:5" x14ac:dyDescent="0.3">
      <c r="A59" s="24" t="s">
        <v>562</v>
      </c>
      <c r="B59" s="11" t="s">
        <v>563</v>
      </c>
    </row>
    <row r="60" spans="1:5" x14ac:dyDescent="0.3">
      <c r="A60" s="24" t="s">
        <v>393</v>
      </c>
      <c r="B60" s="11" t="s">
        <v>386</v>
      </c>
    </row>
    <row r="61" spans="1:5" x14ac:dyDescent="0.3">
      <c r="A61" s="24" t="s">
        <v>441</v>
      </c>
      <c r="B61" s="11" t="s">
        <v>422</v>
      </c>
    </row>
    <row r="62" spans="1:5" x14ac:dyDescent="0.3">
      <c r="A62" s="24" t="s">
        <v>564</v>
      </c>
      <c r="B62" s="11" t="s">
        <v>565</v>
      </c>
    </row>
    <row r="63" spans="1:5" x14ac:dyDescent="0.3">
      <c r="A63" s="24" t="s">
        <v>566</v>
      </c>
      <c r="B63" s="11" t="s">
        <v>419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zoomScaleNormal="100" workbookViewId="0"/>
  </sheetViews>
  <sheetFormatPr baseColWidth="10" defaultRowHeight="14.4" x14ac:dyDescent="0.3"/>
  <cols>
    <col min="1" max="1" width="13.88671875" customWidth="1"/>
    <col min="4" max="4" width="14.6640625" customWidth="1"/>
    <col min="7" max="7" width="14.33203125" customWidth="1"/>
    <col min="10" max="10" width="15.44140625" customWidth="1"/>
    <col min="13" max="13" width="15" customWidth="1"/>
    <col min="16" max="16" width="15" customWidth="1"/>
    <col min="19" max="19" width="16" customWidth="1"/>
    <col min="22" max="22" width="15.109375" customWidth="1"/>
    <col min="25" max="25" width="15.33203125" customWidth="1"/>
    <col min="28" max="28" width="15.88671875" customWidth="1"/>
    <col min="31" max="31" width="14.88671875" customWidth="1"/>
    <col min="34" max="34" width="16" customWidth="1"/>
    <col min="37" max="37" width="13.77734375" customWidth="1"/>
    <col min="40" max="40" width="14.109375" customWidth="1"/>
  </cols>
  <sheetData>
    <row r="1" spans="1:6" x14ac:dyDescent="0.3">
      <c r="A1" s="70" t="s">
        <v>668</v>
      </c>
      <c r="B1" s="15" t="s">
        <v>556</v>
      </c>
      <c r="C1" s="4"/>
      <c r="D1" s="4"/>
      <c r="E1" s="7" t="s">
        <v>557</v>
      </c>
      <c r="F1" s="4"/>
    </row>
    <row r="2" spans="1:6" x14ac:dyDescent="0.3">
      <c r="A2" s="4"/>
      <c r="B2" s="4" t="s">
        <v>342</v>
      </c>
      <c r="C2" s="4"/>
      <c r="D2" s="4"/>
      <c r="E2" s="4" t="s">
        <v>342</v>
      </c>
      <c r="F2" s="4"/>
    </row>
    <row r="3" spans="1:6" x14ac:dyDescent="0.3">
      <c r="A3" s="22" t="s">
        <v>528</v>
      </c>
      <c r="B3">
        <v>0.13183604812753599</v>
      </c>
      <c r="D3" s="22" t="s">
        <v>528</v>
      </c>
      <c r="E3">
        <v>0.13753183999999999</v>
      </c>
    </row>
    <row r="4" spans="1:6" x14ac:dyDescent="0.3">
      <c r="A4" s="22" t="s">
        <v>529</v>
      </c>
      <c r="B4">
        <v>0.122552232980284</v>
      </c>
      <c r="D4" s="22" t="s">
        <v>529</v>
      </c>
      <c r="E4">
        <v>0.13241810253528957</v>
      </c>
    </row>
    <row r="5" spans="1:6" x14ac:dyDescent="0.3">
      <c r="A5" s="22" t="s">
        <v>530</v>
      </c>
      <c r="B5">
        <v>0.11113207614404925</v>
      </c>
      <c r="D5" s="22" t="s">
        <v>530</v>
      </c>
      <c r="E5">
        <v>0.10555307920411974</v>
      </c>
    </row>
    <row r="6" spans="1:6" x14ac:dyDescent="0.3">
      <c r="A6" s="22" t="s">
        <v>531</v>
      </c>
      <c r="B6">
        <v>0.10609026965607268</v>
      </c>
      <c r="D6" s="22" t="s">
        <v>531</v>
      </c>
      <c r="E6">
        <v>0.21218500207802038</v>
      </c>
    </row>
    <row r="7" spans="1:6" x14ac:dyDescent="0.3">
      <c r="A7" s="22" t="s">
        <v>532</v>
      </c>
      <c r="B7">
        <v>0.13111559111181675</v>
      </c>
      <c r="D7" s="22" t="s">
        <v>532</v>
      </c>
      <c r="E7">
        <v>0.22234056335306601</v>
      </c>
    </row>
    <row r="8" spans="1:6" x14ac:dyDescent="0.3">
      <c r="A8" s="22" t="s">
        <v>533</v>
      </c>
      <c r="B8">
        <v>0.1707250438251825</v>
      </c>
      <c r="D8" s="22" t="s">
        <v>533</v>
      </c>
      <c r="E8">
        <v>0.12547670488842186</v>
      </c>
    </row>
    <row r="9" spans="1:6" x14ac:dyDescent="0.3">
      <c r="A9" s="22" t="s">
        <v>534</v>
      </c>
      <c r="B9">
        <v>0.1133949109664472</v>
      </c>
      <c r="D9" s="22" t="s">
        <v>534</v>
      </c>
      <c r="E9">
        <v>0.26274613612673248</v>
      </c>
    </row>
    <row r="10" spans="1:6" x14ac:dyDescent="0.3">
      <c r="A10" s="22" t="s">
        <v>535</v>
      </c>
      <c r="B10">
        <v>0.16089834564702971</v>
      </c>
      <c r="D10" s="22" t="s">
        <v>535</v>
      </c>
      <c r="E10">
        <v>0.13915135091188499</v>
      </c>
    </row>
    <row r="11" spans="1:6" x14ac:dyDescent="0.3">
      <c r="A11" s="22" t="s">
        <v>536</v>
      </c>
      <c r="B11">
        <v>8.3153968133567749E-2</v>
      </c>
      <c r="D11" s="22" t="s">
        <v>536</v>
      </c>
      <c r="E11">
        <v>0.16973554351291048</v>
      </c>
    </row>
    <row r="12" spans="1:6" x14ac:dyDescent="0.3">
      <c r="A12" s="22" t="s">
        <v>537</v>
      </c>
      <c r="B12">
        <v>0.13874313695634147</v>
      </c>
      <c r="D12" s="22" t="s">
        <v>537</v>
      </c>
      <c r="E12">
        <v>0.1497634907699395</v>
      </c>
    </row>
    <row r="13" spans="1:6" x14ac:dyDescent="0.3">
      <c r="A13" s="22" t="s">
        <v>538</v>
      </c>
      <c r="B13">
        <v>0.16626249519266717</v>
      </c>
      <c r="D13" s="22" t="s">
        <v>538</v>
      </c>
      <c r="E13">
        <v>0.17652985118543116</v>
      </c>
    </row>
    <row r="14" spans="1:6" x14ac:dyDescent="0.3">
      <c r="A14" s="22" t="s">
        <v>539</v>
      </c>
      <c r="B14">
        <v>0.10471217241832127</v>
      </c>
      <c r="D14" s="22" t="s">
        <v>539</v>
      </c>
      <c r="E14">
        <v>0.1102692336261204</v>
      </c>
    </row>
    <row r="15" spans="1:6" x14ac:dyDescent="0.3">
      <c r="A15" s="22" t="s">
        <v>540</v>
      </c>
      <c r="B15">
        <v>0.12872247627462902</v>
      </c>
      <c r="D15" s="22" t="s">
        <v>540</v>
      </c>
      <c r="E15">
        <v>0.13393126472669231</v>
      </c>
    </row>
    <row r="16" spans="1:6" x14ac:dyDescent="0.3">
      <c r="A16" s="22" t="s">
        <v>541</v>
      </c>
      <c r="B16">
        <v>0.11784834033605876</v>
      </c>
      <c r="D16" s="22" t="s">
        <v>541</v>
      </c>
      <c r="E16">
        <v>0.13854293816502694</v>
      </c>
    </row>
    <row r="18" spans="1:5" x14ac:dyDescent="0.3">
      <c r="A18" s="41" t="s">
        <v>15</v>
      </c>
      <c r="B18" s="19">
        <v>0.12770000000000001</v>
      </c>
      <c r="D18" s="41" t="s">
        <v>15</v>
      </c>
      <c r="E18" s="19">
        <v>0.1583</v>
      </c>
    </row>
    <row r="19" spans="1:5" x14ac:dyDescent="0.3">
      <c r="A19" s="41" t="s">
        <v>380</v>
      </c>
      <c r="B19" s="19">
        <v>6.7019999999999996E-3</v>
      </c>
      <c r="D19" s="41" t="s">
        <v>380</v>
      </c>
      <c r="E19" s="19">
        <v>1.2200000000000001E-2</v>
      </c>
    </row>
    <row r="21" spans="1:5" x14ac:dyDescent="0.3">
      <c r="A21" s="4" t="s">
        <v>342</v>
      </c>
    </row>
    <row r="22" spans="1:5" x14ac:dyDescent="0.3">
      <c r="A22" s="41" t="s">
        <v>400</v>
      </c>
      <c r="B22" s="19"/>
    </row>
    <row r="23" spans="1:5" x14ac:dyDescent="0.3">
      <c r="A23" s="41" t="s">
        <v>393</v>
      </c>
      <c r="B23" s="19">
        <v>3.95E-2</v>
      </c>
    </row>
    <row r="24" spans="1:5" x14ac:dyDescent="0.3">
      <c r="A24" s="41" t="s">
        <v>441</v>
      </c>
      <c r="B24" s="42" t="s">
        <v>428</v>
      </c>
    </row>
    <row r="26" spans="1:5" x14ac:dyDescent="0.3">
      <c r="B26" s="15" t="s">
        <v>556</v>
      </c>
      <c r="C26" s="4"/>
      <c r="D26" s="4"/>
      <c r="E26" s="7" t="s">
        <v>557</v>
      </c>
    </row>
    <row r="27" spans="1:5" x14ac:dyDescent="0.3">
      <c r="B27" s="4" t="s">
        <v>344</v>
      </c>
      <c r="E27" s="4" t="s">
        <v>344</v>
      </c>
    </row>
    <row r="28" spans="1:5" x14ac:dyDescent="0.3">
      <c r="A28" s="22" t="s">
        <v>528</v>
      </c>
      <c r="B28">
        <v>58.669859625619601</v>
      </c>
      <c r="D28" s="22" t="s">
        <v>528</v>
      </c>
      <c r="E28">
        <v>61.204608765634298</v>
      </c>
    </row>
    <row r="29" spans="1:5" x14ac:dyDescent="0.3">
      <c r="A29" s="22" t="s">
        <v>529</v>
      </c>
      <c r="B29">
        <v>54.538363428520604</v>
      </c>
      <c r="D29" s="22" t="s">
        <v>529</v>
      </c>
      <c r="E29">
        <v>58.928886279424788</v>
      </c>
    </row>
    <row r="30" spans="1:5" x14ac:dyDescent="0.3">
      <c r="A30" s="22" t="s">
        <v>530</v>
      </c>
      <c r="B30">
        <v>49.456149512063647</v>
      </c>
      <c r="D30" s="22" t="s">
        <v>530</v>
      </c>
      <c r="E30">
        <v>46.97337661370748</v>
      </c>
    </row>
    <row r="31" spans="1:5" x14ac:dyDescent="0.3">
      <c r="A31" s="22" t="s">
        <v>531</v>
      </c>
      <c r="B31">
        <v>47.212437848141732</v>
      </c>
      <c r="D31" s="22" t="s">
        <v>531</v>
      </c>
      <c r="E31">
        <v>94.426861722496682</v>
      </c>
    </row>
    <row r="32" spans="1:5" x14ac:dyDescent="0.3">
      <c r="A32" s="22" t="s">
        <v>532</v>
      </c>
      <c r="B32">
        <v>58.349240852689981</v>
      </c>
      <c r="D32" s="22" t="s">
        <v>532</v>
      </c>
      <c r="E32">
        <v>98.946303581447992</v>
      </c>
    </row>
    <row r="33" spans="1:5" x14ac:dyDescent="0.3">
      <c r="A33" s="22" t="s">
        <v>533</v>
      </c>
      <c r="B33">
        <v>75.976294026285586</v>
      </c>
      <c r="D33" s="22" t="s">
        <v>533</v>
      </c>
      <c r="E33">
        <v>55.839815942961373</v>
      </c>
    </row>
    <row r="34" spans="1:5" x14ac:dyDescent="0.3">
      <c r="A34" s="22" t="s">
        <v>534</v>
      </c>
      <c r="B34">
        <v>50.463159379786781</v>
      </c>
      <c r="D34" s="22" t="s">
        <v>534</v>
      </c>
      <c r="E34">
        <v>116.92764720023199</v>
      </c>
    </row>
    <row r="35" spans="1:5" x14ac:dyDescent="0.3">
      <c r="A35" s="22" t="s">
        <v>535</v>
      </c>
      <c r="B35">
        <v>71.603203275432463</v>
      </c>
      <c r="D35" s="22" t="s">
        <v>535</v>
      </c>
      <c r="E35">
        <v>61.925325741089559</v>
      </c>
    </row>
    <row r="36" spans="1:5" x14ac:dyDescent="0.3">
      <c r="A36" s="22" t="s">
        <v>536</v>
      </c>
      <c r="B36">
        <v>37.005293370066425</v>
      </c>
      <c r="D36" s="22" t="s">
        <v>536</v>
      </c>
      <c r="E36">
        <v>75.535945235154159</v>
      </c>
    </row>
    <row r="37" spans="1:5" x14ac:dyDescent="0.3">
      <c r="A37" s="22" t="s">
        <v>537</v>
      </c>
      <c r="B37">
        <v>61.743661804638819</v>
      </c>
      <c r="D37" s="22" t="s">
        <v>537</v>
      </c>
      <c r="E37">
        <v>66.647954829585871</v>
      </c>
    </row>
    <row r="38" spans="1:5" x14ac:dyDescent="0.3">
      <c r="A38" s="22" t="s">
        <v>538</v>
      </c>
      <c r="B38">
        <v>73.990364490617935</v>
      </c>
      <c r="D38" s="22" t="s">
        <v>538</v>
      </c>
      <c r="E38">
        <v>78.55955738874691</v>
      </c>
    </row>
    <row r="39" spans="1:5" x14ac:dyDescent="0.3">
      <c r="A39" s="22" t="s">
        <v>539</v>
      </c>
      <c r="B39">
        <v>46.599155118283853</v>
      </c>
      <c r="D39" s="22" t="s">
        <v>539</v>
      </c>
      <c r="E39">
        <v>49.072166146930229</v>
      </c>
    </row>
    <row r="40" spans="1:5" x14ac:dyDescent="0.3">
      <c r="A40" s="22" t="s">
        <v>540</v>
      </c>
      <c r="B40">
        <v>57.284253593439246</v>
      </c>
      <c r="D40" s="22" t="s">
        <v>540</v>
      </c>
      <c r="E40">
        <v>59.602275800889451</v>
      </c>
    </row>
    <row r="41" spans="1:5" x14ac:dyDescent="0.3">
      <c r="A41" s="22" t="s">
        <v>541</v>
      </c>
      <c r="B41">
        <v>52.44503064852325</v>
      </c>
      <c r="D41" s="22" t="s">
        <v>541</v>
      </c>
      <c r="E41">
        <v>61.654569062930726</v>
      </c>
    </row>
    <row r="43" spans="1:5" x14ac:dyDescent="0.3">
      <c r="A43" s="41" t="s">
        <v>15</v>
      </c>
      <c r="B43">
        <f>AVERAGE(B28:B41)</f>
        <v>56.809747641007853</v>
      </c>
      <c r="D43" s="41" t="s">
        <v>15</v>
      </c>
      <c r="E43" s="22">
        <f>AVERAGE(E28:E41)</f>
        <v>70.44609245080224</v>
      </c>
    </row>
    <row r="44" spans="1:5" x14ac:dyDescent="0.3">
      <c r="A44" s="41" t="s">
        <v>380</v>
      </c>
      <c r="B44">
        <f>STDEVA(B28:B41)/SQRT(14)</f>
        <v>2.9824768807599824</v>
      </c>
      <c r="D44" s="41" t="s">
        <v>380</v>
      </c>
      <c r="E44" s="22">
        <f>STDEVA(E28:E41)/SQRT(14)</f>
        <v>5.4272031634116509</v>
      </c>
    </row>
    <row r="46" spans="1:5" x14ac:dyDescent="0.3">
      <c r="A46" s="4" t="s">
        <v>344</v>
      </c>
      <c r="B46" s="22"/>
    </row>
    <row r="47" spans="1:5" x14ac:dyDescent="0.3">
      <c r="A47" s="41" t="s">
        <v>400</v>
      </c>
      <c r="B47" s="19"/>
    </row>
    <row r="48" spans="1:5" x14ac:dyDescent="0.3">
      <c r="A48" s="41" t="s">
        <v>393</v>
      </c>
      <c r="B48" s="19">
        <v>3.95E-2</v>
      </c>
    </row>
    <row r="49" spans="1:5" x14ac:dyDescent="0.3">
      <c r="A49" s="41" t="s">
        <v>441</v>
      </c>
      <c r="B49" s="42" t="s">
        <v>428</v>
      </c>
    </row>
    <row r="53" spans="1:5" x14ac:dyDescent="0.3">
      <c r="A53" s="4"/>
      <c r="B53" s="15" t="s">
        <v>556</v>
      </c>
      <c r="C53" s="4"/>
      <c r="D53" s="4"/>
      <c r="E53" s="7" t="s">
        <v>557</v>
      </c>
    </row>
    <row r="54" spans="1:5" x14ac:dyDescent="0.3">
      <c r="A54" s="4"/>
      <c r="B54" s="4" t="s">
        <v>343</v>
      </c>
      <c r="C54" s="4"/>
      <c r="D54" s="4"/>
      <c r="E54" s="4" t="s">
        <v>343</v>
      </c>
    </row>
    <row r="55" spans="1:5" x14ac:dyDescent="0.3">
      <c r="A55" s="22" t="s">
        <v>528</v>
      </c>
      <c r="B55">
        <v>9.1598669999999993E-2</v>
      </c>
      <c r="D55" s="22" t="s">
        <v>528</v>
      </c>
      <c r="E55">
        <v>0.10406992</v>
      </c>
    </row>
    <row r="56" spans="1:5" x14ac:dyDescent="0.3">
      <c r="A56" s="22" t="s">
        <v>529</v>
      </c>
      <c r="B56">
        <v>7.2695190000000007E-2</v>
      </c>
      <c r="D56" s="22" t="s">
        <v>529</v>
      </c>
      <c r="E56">
        <v>0.11514976</v>
      </c>
    </row>
    <row r="57" spans="1:5" x14ac:dyDescent="0.3">
      <c r="A57" s="22" t="s">
        <v>530</v>
      </c>
      <c r="B57">
        <v>6.7052470000000003E-2</v>
      </c>
      <c r="D57" s="22" t="s">
        <v>530</v>
      </c>
      <c r="E57">
        <v>0.32321962999999998</v>
      </c>
    </row>
    <row r="58" spans="1:5" x14ac:dyDescent="0.3">
      <c r="A58" s="22" t="s">
        <v>531</v>
      </c>
      <c r="B58">
        <v>0.15065118</v>
      </c>
      <c r="D58" s="22" t="s">
        <v>531</v>
      </c>
      <c r="E58">
        <v>0.10309256999999999</v>
      </c>
    </row>
    <row r="59" spans="1:5" x14ac:dyDescent="0.3">
      <c r="A59" s="22" t="s">
        <v>532</v>
      </c>
      <c r="B59">
        <v>8.5889209999999994E-2</v>
      </c>
      <c r="D59" s="22" t="s">
        <v>532</v>
      </c>
      <c r="E59">
        <v>0.10084047</v>
      </c>
    </row>
    <row r="60" spans="1:5" x14ac:dyDescent="0.3">
      <c r="A60" s="22" t="s">
        <v>533</v>
      </c>
      <c r="B60">
        <v>0.10670315</v>
      </c>
      <c r="D60" s="22" t="s">
        <v>533</v>
      </c>
      <c r="E60">
        <v>0.10248699999999999</v>
      </c>
    </row>
    <row r="61" spans="1:5" x14ac:dyDescent="0.3">
      <c r="A61" s="22" t="s">
        <v>534</v>
      </c>
      <c r="B61">
        <v>8.4787849999999998E-2</v>
      </c>
      <c r="D61" s="22" t="s">
        <v>534</v>
      </c>
      <c r="E61">
        <v>0.12164804999999999</v>
      </c>
    </row>
    <row r="62" spans="1:5" x14ac:dyDescent="0.3">
      <c r="A62" s="22" t="s">
        <v>535</v>
      </c>
      <c r="B62">
        <v>0.14046661999999999</v>
      </c>
      <c r="D62" s="22" t="s">
        <v>535</v>
      </c>
      <c r="E62">
        <v>0.11239732</v>
      </c>
    </row>
    <row r="63" spans="1:5" x14ac:dyDescent="0.3">
      <c r="A63" s="22" t="s">
        <v>536</v>
      </c>
      <c r="B63">
        <v>9.7622500000000001E-2</v>
      </c>
      <c r="D63" s="22" t="s">
        <v>536</v>
      </c>
      <c r="E63">
        <v>0.12730166000000001</v>
      </c>
    </row>
    <row r="64" spans="1:5" x14ac:dyDescent="0.3">
      <c r="A64" s="22" t="s">
        <v>537</v>
      </c>
      <c r="B64">
        <v>0.11174753</v>
      </c>
      <c r="D64" s="22" t="s">
        <v>537</v>
      </c>
      <c r="E64">
        <v>0.11881237</v>
      </c>
    </row>
    <row r="65" spans="1:5" x14ac:dyDescent="0.3">
      <c r="A65" s="22" t="s">
        <v>538</v>
      </c>
      <c r="B65">
        <v>0.11195052</v>
      </c>
      <c r="D65" s="22" t="s">
        <v>538</v>
      </c>
      <c r="E65">
        <v>0.12175196000000001</v>
      </c>
    </row>
    <row r="66" spans="1:5" x14ac:dyDescent="0.3">
      <c r="A66" s="22" t="s">
        <v>539</v>
      </c>
      <c r="B66">
        <v>0.10260458</v>
      </c>
      <c r="D66" s="22" t="s">
        <v>539</v>
      </c>
      <c r="E66">
        <v>0.16838420000000001</v>
      </c>
    </row>
    <row r="67" spans="1:5" x14ac:dyDescent="0.3">
      <c r="A67" s="22" t="s">
        <v>540</v>
      </c>
      <c r="B67">
        <v>6.90561022304335E-2</v>
      </c>
      <c r="D67" s="22" t="s">
        <v>540</v>
      </c>
      <c r="E67">
        <v>0.10687886000000001</v>
      </c>
    </row>
    <row r="68" spans="1:5" x14ac:dyDescent="0.3">
      <c r="A68" s="22" t="s">
        <v>541</v>
      </c>
      <c r="B68">
        <v>6.590361426581437E-2</v>
      </c>
      <c r="D68" s="22" t="s">
        <v>541</v>
      </c>
      <c r="E68">
        <v>0.12356532000000001</v>
      </c>
    </row>
    <row r="70" spans="1:5" x14ac:dyDescent="0.3">
      <c r="A70" s="41" t="s">
        <v>15</v>
      </c>
      <c r="B70" s="19">
        <v>9.7049999999999997E-2</v>
      </c>
      <c r="C70" s="4"/>
      <c r="D70" s="41" t="s">
        <v>15</v>
      </c>
      <c r="E70" s="19">
        <v>0.1321</v>
      </c>
    </row>
    <row r="71" spans="1:5" x14ac:dyDescent="0.3">
      <c r="A71" s="41" t="s">
        <v>380</v>
      </c>
      <c r="B71" s="19">
        <v>6.9820000000000004E-3</v>
      </c>
      <c r="C71" s="4"/>
      <c r="D71" s="41" t="s">
        <v>380</v>
      </c>
      <c r="E71" s="19">
        <v>1.5389999999999999E-2</v>
      </c>
    </row>
    <row r="73" spans="1:5" x14ac:dyDescent="0.3">
      <c r="A73" s="4" t="s">
        <v>343</v>
      </c>
      <c r="D73" s="19"/>
      <c r="E73" s="19"/>
    </row>
    <row r="74" spans="1:5" x14ac:dyDescent="0.3">
      <c r="A74" s="41" t="s">
        <v>400</v>
      </c>
      <c r="B74" s="19"/>
      <c r="D74" s="19"/>
      <c r="E74" s="19"/>
    </row>
    <row r="75" spans="1:5" x14ac:dyDescent="0.3">
      <c r="A75" s="41" t="s">
        <v>393</v>
      </c>
      <c r="B75" s="19">
        <v>6.7000000000000002E-3</v>
      </c>
      <c r="D75" s="19"/>
      <c r="E75" s="19"/>
    </row>
    <row r="76" spans="1:5" x14ac:dyDescent="0.3">
      <c r="A76" s="41" t="s">
        <v>441</v>
      </c>
      <c r="B76" s="42" t="s">
        <v>420</v>
      </c>
    </row>
    <row r="78" spans="1:5" x14ac:dyDescent="0.3">
      <c r="B78" s="15" t="s">
        <v>556</v>
      </c>
      <c r="C78" s="4"/>
      <c r="D78" s="4"/>
      <c r="E78" s="7" t="s">
        <v>557</v>
      </c>
    </row>
    <row r="79" spans="1:5" x14ac:dyDescent="0.3">
      <c r="B79" s="4" t="s">
        <v>345</v>
      </c>
      <c r="E79" s="4" t="s">
        <v>345</v>
      </c>
    </row>
    <row r="80" spans="1:5" x14ac:dyDescent="0.3">
      <c r="A80" s="22" t="s">
        <v>528</v>
      </c>
      <c r="B80">
        <v>40.763366219796396</v>
      </c>
      <c r="D80" s="22" t="s">
        <v>528</v>
      </c>
      <c r="E80">
        <v>46.313339062946149</v>
      </c>
    </row>
    <row r="81" spans="1:5" x14ac:dyDescent="0.3">
      <c r="A81" s="22" t="s">
        <v>529</v>
      </c>
      <c r="B81">
        <v>32.350913527321758</v>
      </c>
      <c r="D81" s="22" t="s">
        <v>529</v>
      </c>
      <c r="E81">
        <v>51.244104712455574</v>
      </c>
    </row>
    <row r="82" spans="1:5" x14ac:dyDescent="0.3">
      <c r="A82" s="22" t="s">
        <v>530</v>
      </c>
      <c r="B82">
        <v>29.839782505050692</v>
      </c>
      <c r="D82" s="22" t="s">
        <v>530</v>
      </c>
      <c r="E82">
        <v>143.83964469262588</v>
      </c>
    </row>
    <row r="83" spans="1:5" x14ac:dyDescent="0.3">
      <c r="A83" s="22" t="s">
        <v>531</v>
      </c>
      <c r="B83">
        <v>67.042995512756548</v>
      </c>
      <c r="D83" s="22" t="s">
        <v>531</v>
      </c>
      <c r="E83">
        <v>45.87839742050835</v>
      </c>
    </row>
    <row r="84" spans="1:5" x14ac:dyDescent="0.3">
      <c r="A84" s="22" t="s">
        <v>532</v>
      </c>
      <c r="B84">
        <v>38.222534470849837</v>
      </c>
      <c r="D84" s="22" t="s">
        <v>532</v>
      </c>
      <c r="E84">
        <v>44.876164778226503</v>
      </c>
    </row>
    <row r="85" spans="1:5" x14ac:dyDescent="0.3">
      <c r="A85" s="22" t="s">
        <v>533</v>
      </c>
      <c r="B85">
        <v>47.485182702498506</v>
      </c>
      <c r="D85" s="22" t="s">
        <v>533</v>
      </c>
      <c r="E85">
        <v>45.60890582546967</v>
      </c>
    </row>
    <row r="86" spans="1:5" x14ac:dyDescent="0.3">
      <c r="A86" s="22" t="s">
        <v>534</v>
      </c>
      <c r="B86">
        <v>37.732405727497621</v>
      </c>
      <c r="D86" s="22" t="s">
        <v>534</v>
      </c>
      <c r="E86">
        <v>54.135982673919862</v>
      </c>
    </row>
    <row r="87" spans="1:5" x14ac:dyDescent="0.3">
      <c r="A87" s="22" t="s">
        <v>535</v>
      </c>
      <c r="B87">
        <v>62.510648601305853</v>
      </c>
      <c r="D87" s="22" t="s">
        <v>535</v>
      </c>
      <c r="E87">
        <v>50.019210074596572</v>
      </c>
    </row>
    <row r="88" spans="1:5" x14ac:dyDescent="0.3">
      <c r="A88" s="22" t="s">
        <v>536</v>
      </c>
      <c r="B88">
        <v>43.444099338910426</v>
      </c>
      <c r="D88" s="22" t="s">
        <v>536</v>
      </c>
      <c r="E88">
        <v>56.651959978982305</v>
      </c>
    </row>
    <row r="89" spans="1:5" x14ac:dyDescent="0.3">
      <c r="A89" s="22" t="s">
        <v>537</v>
      </c>
      <c r="B89">
        <v>49.73003963428382</v>
      </c>
      <c r="D89" s="22" t="s">
        <v>537</v>
      </c>
      <c r="E89">
        <v>52.874044456671164</v>
      </c>
    </row>
    <row r="90" spans="1:5" x14ac:dyDescent="0.3">
      <c r="A90" s="22" t="s">
        <v>538</v>
      </c>
      <c r="B90">
        <v>49.820374523523554</v>
      </c>
      <c r="D90" s="22" t="s">
        <v>538</v>
      </c>
      <c r="E90">
        <v>54.182224845164271</v>
      </c>
    </row>
    <row r="91" spans="1:5" x14ac:dyDescent="0.3">
      <c r="A91" s="22" t="s">
        <v>539</v>
      </c>
      <c r="B91">
        <v>45.66123143893244</v>
      </c>
      <c r="D91" s="22" t="s">
        <v>539</v>
      </c>
      <c r="E91">
        <v>74.934568484754664</v>
      </c>
    </row>
    <row r="92" spans="1:5" x14ac:dyDescent="0.3">
      <c r="A92" s="22" t="s">
        <v>540</v>
      </c>
      <c r="B92">
        <v>30.731441678474809</v>
      </c>
      <c r="D92" s="22" t="s">
        <v>540</v>
      </c>
      <c r="E92">
        <v>47.563377408584088</v>
      </c>
    </row>
    <row r="93" spans="1:5" x14ac:dyDescent="0.3">
      <c r="A93" s="22" t="s">
        <v>541</v>
      </c>
      <c r="B93">
        <v>29.328517144687684</v>
      </c>
      <c r="D93" s="22" t="s">
        <v>541</v>
      </c>
      <c r="E93">
        <v>54.989208808668657</v>
      </c>
    </row>
    <row r="94" spans="1:5" x14ac:dyDescent="0.3">
      <c r="A94" s="22"/>
      <c r="D94" s="22"/>
    </row>
    <row r="95" spans="1:5" x14ac:dyDescent="0.3">
      <c r="A95" s="41" t="s">
        <v>15</v>
      </c>
      <c r="B95" s="22">
        <f>AVERAGE(B80:B93)</f>
        <v>43.190252358992133</v>
      </c>
      <c r="D95" s="41" t="s">
        <v>15</v>
      </c>
      <c r="E95" s="22">
        <f>AVERAGE(E80:E93)</f>
        <v>58.793652373112408</v>
      </c>
    </row>
    <row r="96" spans="1:5" x14ac:dyDescent="0.3">
      <c r="A96" s="41" t="s">
        <v>380</v>
      </c>
      <c r="B96" s="22">
        <f>STDEVA(B80:B93)/SQRT(14)</f>
        <v>3.1070878494420384</v>
      </c>
      <c r="D96" s="41" t="s">
        <v>380</v>
      </c>
      <c r="E96" s="22">
        <f>STDEVA(E80:E93)/SQRT(14)</f>
        <v>6.8502880123281455</v>
      </c>
    </row>
    <row r="98" spans="1:6" x14ac:dyDescent="0.3">
      <c r="A98" s="4" t="s">
        <v>345</v>
      </c>
      <c r="B98" s="22"/>
    </row>
    <row r="99" spans="1:6" x14ac:dyDescent="0.3">
      <c r="A99" s="41" t="s">
        <v>400</v>
      </c>
      <c r="B99" s="19"/>
    </row>
    <row r="100" spans="1:6" x14ac:dyDescent="0.3">
      <c r="A100" s="41" t="s">
        <v>393</v>
      </c>
      <c r="B100" s="19">
        <v>6.7000000000000002E-3</v>
      </c>
    </row>
    <row r="101" spans="1:6" x14ac:dyDescent="0.3">
      <c r="A101" s="41" t="s">
        <v>441</v>
      </c>
      <c r="B101" s="42" t="s">
        <v>420</v>
      </c>
    </row>
    <row r="104" spans="1:6" x14ac:dyDescent="0.3">
      <c r="B104" s="15" t="s">
        <v>556</v>
      </c>
      <c r="C104" s="4"/>
      <c r="D104" s="4"/>
      <c r="E104" s="7" t="s">
        <v>557</v>
      </c>
    </row>
    <row r="105" spans="1:6" x14ac:dyDescent="0.3">
      <c r="B105" s="4" t="s">
        <v>347</v>
      </c>
      <c r="E105" s="4" t="s">
        <v>347</v>
      </c>
    </row>
    <row r="106" spans="1:6" x14ac:dyDescent="0.3">
      <c r="A106" t="s">
        <v>528</v>
      </c>
      <c r="B106" s="1">
        <v>100</v>
      </c>
      <c r="C106" s="1"/>
      <c r="D106" s="22" t="s">
        <v>528</v>
      </c>
      <c r="E106" s="1">
        <v>85.329485329485337</v>
      </c>
      <c r="F106" s="1"/>
    </row>
    <row r="107" spans="1:6" x14ac:dyDescent="0.3">
      <c r="A107" s="22" t="s">
        <v>529</v>
      </c>
      <c r="B107" s="1">
        <v>100</v>
      </c>
      <c r="C107" s="1"/>
      <c r="D107" s="22" t="s">
        <v>529</v>
      </c>
      <c r="E107" s="1">
        <v>89.181286549707593</v>
      </c>
      <c r="F107" s="1"/>
    </row>
    <row r="108" spans="1:6" x14ac:dyDescent="0.3">
      <c r="A108" s="22" t="s">
        <v>530</v>
      </c>
      <c r="B108" s="1">
        <v>100</v>
      </c>
      <c r="C108" s="1"/>
      <c r="D108" s="22" t="s">
        <v>530</v>
      </c>
      <c r="E108" s="1">
        <v>64.7826086956522</v>
      </c>
      <c r="F108" s="1"/>
    </row>
    <row r="109" spans="1:6" x14ac:dyDescent="0.3">
      <c r="A109" s="22" t="s">
        <v>531</v>
      </c>
      <c r="B109" s="1">
        <v>100</v>
      </c>
      <c r="C109" s="1"/>
      <c r="D109" s="22" t="s">
        <v>531</v>
      </c>
      <c r="E109" s="1">
        <v>78.571428571428555</v>
      </c>
      <c r="F109" s="1"/>
    </row>
    <row r="110" spans="1:6" x14ac:dyDescent="0.3">
      <c r="A110" s="22" t="s">
        <v>532</v>
      </c>
      <c r="B110" s="1">
        <v>100</v>
      </c>
      <c r="C110" s="1"/>
      <c r="D110" s="22" t="s">
        <v>532</v>
      </c>
      <c r="E110" s="1">
        <v>86.956521739130395</v>
      </c>
      <c r="F110" s="1"/>
    </row>
    <row r="111" spans="1:6" x14ac:dyDescent="0.3">
      <c r="A111" s="22" t="s">
        <v>533</v>
      </c>
      <c r="B111" s="1">
        <v>100</v>
      </c>
      <c r="C111" s="1"/>
      <c r="D111" s="22" t="s">
        <v>533</v>
      </c>
      <c r="E111" s="1">
        <v>79.942279942279939</v>
      </c>
      <c r="F111" s="1"/>
    </row>
    <row r="112" spans="1:6" x14ac:dyDescent="0.3">
      <c r="A112" s="22" t="s">
        <v>534</v>
      </c>
      <c r="B112" s="1">
        <v>95</v>
      </c>
      <c r="C112" s="1"/>
      <c r="D112" s="22" t="s">
        <v>534</v>
      </c>
      <c r="E112" s="1">
        <v>80</v>
      </c>
      <c r="F112" s="1"/>
    </row>
    <row r="113" spans="1:6" x14ac:dyDescent="0.3">
      <c r="A113" s="22" t="s">
        <v>535</v>
      </c>
      <c r="B113" s="1">
        <v>91.538461538461505</v>
      </c>
      <c r="C113" s="1"/>
      <c r="D113" s="22" t="s">
        <v>535</v>
      </c>
      <c r="E113" s="1">
        <v>95.238095238095198</v>
      </c>
      <c r="F113" s="1"/>
    </row>
    <row r="114" spans="1:6" x14ac:dyDescent="0.3">
      <c r="A114" s="22" t="s">
        <v>536</v>
      </c>
      <c r="B114" s="1">
        <v>100</v>
      </c>
      <c r="C114" s="1"/>
      <c r="D114" s="22" t="s">
        <v>536</v>
      </c>
      <c r="E114" s="1">
        <v>100</v>
      </c>
      <c r="F114" s="1"/>
    </row>
    <row r="115" spans="1:6" x14ac:dyDescent="0.3">
      <c r="A115" s="22" t="s">
        <v>537</v>
      </c>
      <c r="B115" s="1">
        <v>95.238095238095227</v>
      </c>
      <c r="C115" s="1"/>
      <c r="D115" s="22" t="s">
        <v>537</v>
      </c>
      <c r="E115" s="1">
        <v>100</v>
      </c>
      <c r="F115" s="1"/>
    </row>
    <row r="116" spans="1:6" x14ac:dyDescent="0.3">
      <c r="A116" s="22" t="s">
        <v>538</v>
      </c>
      <c r="B116" s="1">
        <v>100</v>
      </c>
      <c r="C116" s="1"/>
      <c r="D116" s="22" t="s">
        <v>538</v>
      </c>
      <c r="E116" s="1">
        <v>92.673992673992657</v>
      </c>
      <c r="F116" s="1"/>
    </row>
    <row r="117" spans="1:6" x14ac:dyDescent="0.3">
      <c r="A117" s="22" t="s">
        <v>539</v>
      </c>
      <c r="B117" s="1">
        <v>94.444444444444457</v>
      </c>
      <c r="C117" s="1"/>
      <c r="D117" s="22" t="s">
        <v>539</v>
      </c>
      <c r="E117" s="1">
        <v>80</v>
      </c>
      <c r="F117" s="1"/>
    </row>
    <row r="118" spans="1:6" x14ac:dyDescent="0.3">
      <c r="A118" s="22" t="s">
        <v>540</v>
      </c>
      <c r="B118" s="1">
        <v>100</v>
      </c>
      <c r="C118" s="1"/>
      <c r="D118" s="22" t="s">
        <v>540</v>
      </c>
      <c r="E118" s="1">
        <v>84.175084175084166</v>
      </c>
      <c r="F118" s="1"/>
    </row>
    <row r="119" spans="1:6" x14ac:dyDescent="0.3">
      <c r="A119" s="22" t="s">
        <v>541</v>
      </c>
      <c r="B119" s="1">
        <v>100</v>
      </c>
      <c r="C119" s="1"/>
      <c r="D119" s="22" t="s">
        <v>541</v>
      </c>
      <c r="E119" s="1">
        <v>86.6666666666667</v>
      </c>
      <c r="F119" s="1"/>
    </row>
    <row r="120" spans="1:6" x14ac:dyDescent="0.3">
      <c r="B120" s="1"/>
      <c r="C120" s="1"/>
      <c r="D120" s="1"/>
      <c r="E120" s="1"/>
      <c r="F120" s="1"/>
    </row>
    <row r="121" spans="1:6" x14ac:dyDescent="0.3">
      <c r="A121" s="41" t="s">
        <v>15</v>
      </c>
      <c r="B121" s="19">
        <v>98.3</v>
      </c>
      <c r="D121" s="41" t="s">
        <v>15</v>
      </c>
      <c r="E121" s="19">
        <v>85.97</v>
      </c>
    </row>
    <row r="122" spans="1:6" x14ac:dyDescent="0.3">
      <c r="A122" s="41" t="s">
        <v>380</v>
      </c>
      <c r="B122" s="19">
        <v>0.77649999999999997</v>
      </c>
      <c r="D122" s="41" t="s">
        <v>380</v>
      </c>
      <c r="E122" s="19">
        <v>2.5150000000000001</v>
      </c>
    </row>
    <row r="124" spans="1:6" x14ac:dyDescent="0.3">
      <c r="A124" s="4" t="s">
        <v>347</v>
      </c>
      <c r="B124" s="22"/>
    </row>
    <row r="125" spans="1:6" x14ac:dyDescent="0.3">
      <c r="A125" s="41" t="s">
        <v>400</v>
      </c>
      <c r="B125" s="19"/>
      <c r="C125" s="19"/>
    </row>
    <row r="126" spans="1:6" x14ac:dyDescent="0.3">
      <c r="A126" s="41" t="s">
        <v>393</v>
      </c>
      <c r="B126" s="19">
        <v>1E-4</v>
      </c>
    </row>
    <row r="127" spans="1:6" x14ac:dyDescent="0.3">
      <c r="A127" s="41" t="s">
        <v>441</v>
      </c>
      <c r="B127" s="42" t="s">
        <v>509</v>
      </c>
    </row>
    <row r="130" spans="1:5" x14ac:dyDescent="0.3">
      <c r="B130" s="15" t="s">
        <v>556</v>
      </c>
      <c r="C130" s="4"/>
      <c r="D130" s="4"/>
      <c r="E130" s="7" t="s">
        <v>557</v>
      </c>
    </row>
    <row r="131" spans="1:5" x14ac:dyDescent="0.3">
      <c r="B131" s="4" t="s">
        <v>348</v>
      </c>
      <c r="E131" s="4" t="s">
        <v>348</v>
      </c>
    </row>
    <row r="132" spans="1:5" x14ac:dyDescent="0.3">
      <c r="A132" s="22" t="s">
        <v>528</v>
      </c>
      <c r="B132" s="18">
        <v>27.905000000000001</v>
      </c>
      <c r="C132" s="1"/>
      <c r="D132" s="22" t="s">
        <v>528</v>
      </c>
      <c r="E132" s="18">
        <v>19.34</v>
      </c>
    </row>
    <row r="133" spans="1:5" x14ac:dyDescent="0.3">
      <c r="A133" s="22" t="s">
        <v>529</v>
      </c>
      <c r="B133" s="18">
        <v>22.545000000000002</v>
      </c>
      <c r="C133" s="1"/>
      <c r="D133" s="22" t="s">
        <v>529</v>
      </c>
      <c r="E133" s="18">
        <v>19.076666700000001</v>
      </c>
    </row>
    <row r="134" spans="1:5" x14ac:dyDescent="0.3">
      <c r="A134" s="22" t="s">
        <v>530</v>
      </c>
      <c r="B134" s="18">
        <v>21.145</v>
      </c>
      <c r="C134" s="1"/>
      <c r="D134" s="22" t="s">
        <v>530</v>
      </c>
      <c r="E134" s="18">
        <v>8.1349999999999998</v>
      </c>
    </row>
    <row r="135" spans="1:5" x14ac:dyDescent="0.3">
      <c r="A135" s="22" t="s">
        <v>531</v>
      </c>
      <c r="B135" s="18">
        <v>17.5</v>
      </c>
      <c r="C135" s="1"/>
      <c r="D135" s="22" t="s">
        <v>531</v>
      </c>
      <c r="E135" s="18">
        <v>9.3699999999999992</v>
      </c>
    </row>
    <row r="136" spans="1:5" x14ac:dyDescent="0.3">
      <c r="A136" s="22" t="s">
        <v>532</v>
      </c>
      <c r="B136" s="18">
        <v>17.324999999999999</v>
      </c>
      <c r="C136" s="1"/>
      <c r="D136" s="22" t="s">
        <v>532</v>
      </c>
      <c r="E136" s="18">
        <v>4.2300000000000004</v>
      </c>
    </row>
    <row r="137" spans="1:5" x14ac:dyDescent="0.3">
      <c r="A137" s="22" t="s">
        <v>533</v>
      </c>
      <c r="B137" s="18">
        <v>24.14</v>
      </c>
      <c r="C137" s="1"/>
      <c r="D137" s="22" t="s">
        <v>533</v>
      </c>
      <c r="E137" s="18">
        <v>14.8933333</v>
      </c>
    </row>
    <row r="138" spans="1:5" x14ac:dyDescent="0.3">
      <c r="A138" s="22" t="s">
        <v>534</v>
      </c>
      <c r="B138" s="18">
        <v>15.45</v>
      </c>
      <c r="C138" s="1"/>
      <c r="D138" s="22" t="s">
        <v>534</v>
      </c>
      <c r="E138" s="18">
        <v>6.84</v>
      </c>
    </row>
    <row r="139" spans="1:5" x14ac:dyDescent="0.3">
      <c r="A139" s="22" t="s">
        <v>535</v>
      </c>
      <c r="B139" s="18">
        <v>18.05</v>
      </c>
      <c r="C139" s="1"/>
      <c r="D139" s="22" t="s">
        <v>535</v>
      </c>
      <c r="E139" s="18">
        <v>14.97</v>
      </c>
    </row>
    <row r="140" spans="1:5" x14ac:dyDescent="0.3">
      <c r="A140" s="22" t="s">
        <v>536</v>
      </c>
      <c r="B140" s="1">
        <v>45.17</v>
      </c>
      <c r="C140" s="1"/>
      <c r="D140" s="22" t="s">
        <v>536</v>
      </c>
      <c r="E140" s="1">
        <v>21.29</v>
      </c>
    </row>
    <row r="141" spans="1:5" x14ac:dyDescent="0.3">
      <c r="A141" s="22" t="s">
        <v>537</v>
      </c>
      <c r="B141" s="1">
        <v>28.69</v>
      </c>
      <c r="C141" s="1"/>
      <c r="D141" s="22" t="s">
        <v>537</v>
      </c>
      <c r="E141" s="1">
        <v>27.18</v>
      </c>
    </row>
    <row r="142" spans="1:5" x14ac:dyDescent="0.3">
      <c r="A142" s="22" t="s">
        <v>538</v>
      </c>
      <c r="B142" s="1">
        <v>23.536666666666665</v>
      </c>
      <c r="C142" s="1"/>
      <c r="D142" s="22" t="s">
        <v>538</v>
      </c>
      <c r="E142" s="1">
        <v>23.52333333333333</v>
      </c>
    </row>
    <row r="143" spans="1:5" x14ac:dyDescent="0.3">
      <c r="A143" s="22" t="s">
        <v>539</v>
      </c>
      <c r="B143" s="1">
        <v>29.155000000000001</v>
      </c>
      <c r="C143" s="1"/>
      <c r="D143" s="22" t="s">
        <v>539</v>
      </c>
      <c r="E143" s="1">
        <v>22.393333333333299</v>
      </c>
    </row>
    <row r="144" spans="1:5" x14ac:dyDescent="0.3">
      <c r="A144" s="22" t="s">
        <v>540</v>
      </c>
      <c r="B144" s="1">
        <v>22.4</v>
      </c>
      <c r="C144" s="1"/>
      <c r="D144" s="22" t="s">
        <v>540</v>
      </c>
      <c r="E144" s="1">
        <v>23.453333333333333</v>
      </c>
    </row>
    <row r="145" spans="1:5" x14ac:dyDescent="0.3">
      <c r="A145" s="22" t="s">
        <v>541</v>
      </c>
      <c r="B145" s="1">
        <v>40.22</v>
      </c>
      <c r="C145" s="1"/>
      <c r="D145" s="22" t="s">
        <v>541</v>
      </c>
      <c r="E145" s="1">
        <v>21.96</v>
      </c>
    </row>
    <row r="146" spans="1:5" x14ac:dyDescent="0.3">
      <c r="A146" s="1"/>
      <c r="B146" s="1"/>
      <c r="C146" s="1"/>
      <c r="D146" s="1"/>
      <c r="E146" s="1"/>
    </row>
    <row r="147" spans="1:5" x14ac:dyDescent="0.3">
      <c r="A147" s="41" t="s">
        <v>15</v>
      </c>
      <c r="B147" s="19">
        <v>25.23</v>
      </c>
      <c r="D147" s="41" t="s">
        <v>15</v>
      </c>
      <c r="E147" s="19">
        <v>16.899999999999999</v>
      </c>
    </row>
    <row r="148" spans="1:5" x14ac:dyDescent="0.3">
      <c r="A148" s="41" t="s">
        <v>380</v>
      </c>
      <c r="B148" s="19">
        <v>2.2989999999999999</v>
      </c>
      <c r="D148" s="41" t="s">
        <v>380</v>
      </c>
      <c r="E148" s="19">
        <v>1.9350000000000001</v>
      </c>
    </row>
    <row r="150" spans="1:5" x14ac:dyDescent="0.3">
      <c r="A150" s="4" t="s">
        <v>348</v>
      </c>
    </row>
    <row r="151" spans="1:5" x14ac:dyDescent="0.3">
      <c r="A151" s="41" t="s">
        <v>400</v>
      </c>
      <c r="B151" s="19"/>
    </row>
    <row r="152" spans="1:5" x14ac:dyDescent="0.3">
      <c r="A152" s="41" t="s">
        <v>393</v>
      </c>
      <c r="B152" s="19">
        <v>1.6199999999999999E-2</v>
      </c>
      <c r="D152" s="19"/>
      <c r="E152" s="19"/>
    </row>
    <row r="153" spans="1:5" x14ac:dyDescent="0.3">
      <c r="A153" s="41" t="s">
        <v>441</v>
      </c>
      <c r="B153" s="42" t="s">
        <v>428</v>
      </c>
    </row>
    <row r="156" spans="1:5" x14ac:dyDescent="0.3">
      <c r="B156" s="15" t="s">
        <v>556</v>
      </c>
      <c r="C156" s="4"/>
      <c r="D156" s="4"/>
      <c r="E156" s="7" t="s">
        <v>557</v>
      </c>
    </row>
    <row r="157" spans="1:5" x14ac:dyDescent="0.3">
      <c r="B157" s="4" t="s">
        <v>346</v>
      </c>
      <c r="C157" s="4"/>
      <c r="D157" s="4"/>
      <c r="E157" s="4" t="s">
        <v>346</v>
      </c>
    </row>
    <row r="158" spans="1:5" x14ac:dyDescent="0.3">
      <c r="A158" s="22" t="s">
        <v>528</v>
      </c>
      <c r="B158" s="1">
        <v>1.7808243727598549</v>
      </c>
      <c r="D158" s="22" t="s">
        <v>528</v>
      </c>
      <c r="E158" s="1">
        <v>1.7044546850998465</v>
      </c>
    </row>
    <row r="159" spans="1:5" x14ac:dyDescent="0.3">
      <c r="A159" s="22" t="s">
        <v>529</v>
      </c>
      <c r="B159" s="1">
        <v>1.7263440860215051</v>
      </c>
      <c r="D159" s="22" t="s">
        <v>529</v>
      </c>
      <c r="E159" s="1">
        <v>1.9764669738863301</v>
      </c>
    </row>
    <row r="160" spans="1:5" x14ac:dyDescent="0.3">
      <c r="A160" s="22" t="s">
        <v>530</v>
      </c>
      <c r="B160" s="1">
        <v>1.8014814814814832</v>
      </c>
      <c r="D160" s="22" t="s">
        <v>530</v>
      </c>
      <c r="E160" s="1">
        <v>1.8447414234511001</v>
      </c>
    </row>
    <row r="161" spans="1:5" x14ac:dyDescent="0.3">
      <c r="A161" s="22" t="s">
        <v>531</v>
      </c>
      <c r="B161" s="1">
        <v>2.0428571428571449</v>
      </c>
      <c r="D161" s="22" t="s">
        <v>531</v>
      </c>
      <c r="E161" s="1">
        <v>2.0298866213151898</v>
      </c>
    </row>
    <row r="162" spans="1:5" x14ac:dyDescent="0.3">
      <c r="A162" s="22" t="s">
        <v>532</v>
      </c>
      <c r="B162" s="1">
        <v>2.0304964539007102</v>
      </c>
      <c r="D162" s="22" t="s">
        <v>532</v>
      </c>
      <c r="E162" s="1">
        <v>2.0888888888888899</v>
      </c>
    </row>
    <row r="163" spans="1:5" x14ac:dyDescent="0.3">
      <c r="A163" s="22" t="s">
        <v>533</v>
      </c>
      <c r="B163" s="1">
        <v>2.0038095238095202</v>
      </c>
      <c r="D163" s="22" t="s">
        <v>533</v>
      </c>
      <c r="E163" s="1">
        <v>1.9145175107079899</v>
      </c>
    </row>
    <row r="164" spans="1:5" x14ac:dyDescent="0.3">
      <c r="A164" s="22" t="s">
        <v>534</v>
      </c>
      <c r="B164" s="1">
        <v>1.6</v>
      </c>
      <c r="D164" s="22" t="s">
        <v>534</v>
      </c>
      <c r="E164" s="1">
        <v>1.61579254079254</v>
      </c>
    </row>
    <row r="165" spans="1:5" x14ac:dyDescent="0.3">
      <c r="A165" s="22" t="s">
        <v>535</v>
      </c>
      <c r="B165" s="1">
        <v>1.45335169880624</v>
      </c>
      <c r="D165" s="22" t="s">
        <v>535</v>
      </c>
      <c r="E165" s="1">
        <v>1.9489898989898999</v>
      </c>
    </row>
    <row r="166" spans="1:5" x14ac:dyDescent="0.3">
      <c r="A166" s="22" t="s">
        <v>536</v>
      </c>
      <c r="B166" s="1">
        <v>3.0174242424242399</v>
      </c>
      <c r="D166" s="22" t="s">
        <v>536</v>
      </c>
      <c r="E166" s="1">
        <v>2.4128787878787898</v>
      </c>
    </row>
    <row r="167" spans="1:5" x14ac:dyDescent="0.3">
      <c r="A167" s="22" t="s">
        <v>537</v>
      </c>
      <c r="B167" s="1">
        <v>2.0007731958762864</v>
      </c>
      <c r="D167" s="22" t="s">
        <v>537</v>
      </c>
      <c r="E167" s="1">
        <v>2.6029040404040402</v>
      </c>
    </row>
    <row r="168" spans="1:5" x14ac:dyDescent="0.3">
      <c r="A168" s="22" t="s">
        <v>538</v>
      </c>
      <c r="B168" s="1">
        <v>1.6418728522336792</v>
      </c>
      <c r="D168" s="22" t="s">
        <v>538</v>
      </c>
      <c r="E168" s="1">
        <v>1.8969358533791498</v>
      </c>
    </row>
    <row r="169" spans="1:5" x14ac:dyDescent="0.3">
      <c r="A169" s="22" t="s">
        <v>539</v>
      </c>
      <c r="B169" s="1">
        <v>1.7830756013745699</v>
      </c>
      <c r="D169" s="22" t="s">
        <v>539</v>
      </c>
      <c r="E169" s="1">
        <v>2.2102605956471915</v>
      </c>
    </row>
    <row r="170" spans="1:5" x14ac:dyDescent="0.3">
      <c r="A170" s="22" t="s">
        <v>540</v>
      </c>
      <c r="B170" s="1">
        <v>1.90000006</v>
      </c>
      <c r="D170" s="22" t="s">
        <v>540</v>
      </c>
      <c r="E170" s="1">
        <v>1.8642663750911199</v>
      </c>
    </row>
    <row r="171" spans="1:5" x14ac:dyDescent="0.3">
      <c r="A171" s="22" t="s">
        <v>541</v>
      </c>
      <c r="B171" s="1">
        <v>1.7558922558922567</v>
      </c>
      <c r="D171" s="22" t="s">
        <v>541</v>
      </c>
      <c r="E171" s="1">
        <v>1.90721649484536</v>
      </c>
    </row>
    <row r="173" spans="1:5" x14ac:dyDescent="0.3">
      <c r="A173" s="41" t="s">
        <v>15</v>
      </c>
      <c r="B173" s="19">
        <v>1.8959999999999999</v>
      </c>
      <c r="D173" s="41" t="s">
        <v>15</v>
      </c>
      <c r="E173" s="19">
        <v>2.0009999999999999</v>
      </c>
    </row>
    <row r="174" spans="1:5" x14ac:dyDescent="0.3">
      <c r="A174" s="41" t="s">
        <v>380</v>
      </c>
      <c r="B174" s="19">
        <v>9.8100000000000007E-2</v>
      </c>
      <c r="D174" s="41" t="s">
        <v>380</v>
      </c>
      <c r="E174" s="19">
        <v>7.009E-2</v>
      </c>
    </row>
    <row r="176" spans="1:5" x14ac:dyDescent="0.3">
      <c r="A176" s="4" t="s">
        <v>346</v>
      </c>
    </row>
    <row r="177" spans="1:5" x14ac:dyDescent="0.3">
      <c r="A177" s="41" t="s">
        <v>400</v>
      </c>
      <c r="B177" s="19"/>
      <c r="D177" s="19"/>
      <c r="E177" s="19"/>
    </row>
    <row r="178" spans="1:5" x14ac:dyDescent="0.3">
      <c r="A178" s="41" t="s">
        <v>393</v>
      </c>
      <c r="B178" s="19">
        <v>0.17810000000000001</v>
      </c>
    </row>
    <row r="179" spans="1:5" x14ac:dyDescent="0.3">
      <c r="A179" s="41" t="s">
        <v>441</v>
      </c>
      <c r="B179" s="42" t="s">
        <v>417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645</v>
      </c>
      <c r="B1" t="s">
        <v>0</v>
      </c>
      <c r="C1" t="s">
        <v>442</v>
      </c>
      <c r="D1" t="s">
        <v>443</v>
      </c>
      <c r="F1" t="s">
        <v>14</v>
      </c>
    </row>
    <row r="2" spans="1:6" x14ac:dyDescent="0.3">
      <c r="A2" t="s">
        <v>7</v>
      </c>
      <c r="B2" t="s">
        <v>11</v>
      </c>
      <c r="C2">
        <v>-84.92</v>
      </c>
      <c r="D2">
        <v>-76.42</v>
      </c>
      <c r="F2">
        <f>D2-C2</f>
        <v>8.5</v>
      </c>
    </row>
    <row r="3" spans="1:6" x14ac:dyDescent="0.3">
      <c r="A3" t="s">
        <v>7</v>
      </c>
      <c r="B3" t="s">
        <v>11</v>
      </c>
      <c r="C3">
        <v>-96.160000000000011</v>
      </c>
      <c r="D3">
        <v>-89.320000000000007</v>
      </c>
      <c r="F3">
        <f>D3-C3</f>
        <v>6.8400000000000034</v>
      </c>
    </row>
    <row r="4" spans="1:6" x14ac:dyDescent="0.3">
      <c r="A4" s="22" t="s">
        <v>7</v>
      </c>
      <c r="B4" s="22" t="s">
        <v>11</v>
      </c>
      <c r="C4" s="22">
        <v>-86.46</v>
      </c>
      <c r="D4" s="22">
        <v>-81.86</v>
      </c>
      <c r="F4" s="22">
        <v>4.6000000000000085</v>
      </c>
    </row>
    <row r="5" spans="1:6" x14ac:dyDescent="0.3">
      <c r="A5" t="s">
        <v>8</v>
      </c>
      <c r="B5" t="s">
        <v>6</v>
      </c>
      <c r="C5">
        <v>-91.17</v>
      </c>
      <c r="D5">
        <v>-85.62</v>
      </c>
      <c r="F5">
        <f>D5-C5</f>
        <v>5.5499999999999972</v>
      </c>
    </row>
    <row r="6" spans="1:6" x14ac:dyDescent="0.3">
      <c r="A6" t="s">
        <v>9</v>
      </c>
      <c r="B6" t="s">
        <v>12</v>
      </c>
      <c r="C6">
        <v>-91.320000000000007</v>
      </c>
      <c r="D6">
        <v>-67.210000000000008</v>
      </c>
      <c r="F6">
        <f>D6-C6</f>
        <v>24.11</v>
      </c>
    </row>
    <row r="7" spans="1:6" x14ac:dyDescent="0.3">
      <c r="A7" t="s">
        <v>9</v>
      </c>
      <c r="B7" t="s">
        <v>12</v>
      </c>
      <c r="C7">
        <v>-83.26</v>
      </c>
      <c r="D7">
        <v>-73.95</v>
      </c>
      <c r="F7">
        <f>D7-C7</f>
        <v>9.3100000000000023</v>
      </c>
    </row>
    <row r="8" spans="1:6" x14ac:dyDescent="0.3">
      <c r="A8" t="s">
        <v>10</v>
      </c>
      <c r="B8" t="s">
        <v>13</v>
      </c>
      <c r="C8">
        <v>-89.47</v>
      </c>
      <c r="D8">
        <v>-82.2</v>
      </c>
      <c r="F8">
        <f>D8-C8</f>
        <v>7.269999999999996</v>
      </c>
    </row>
    <row r="9" spans="1:6" x14ac:dyDescent="0.3">
      <c r="A9" t="s">
        <v>10</v>
      </c>
      <c r="B9" t="s">
        <v>13</v>
      </c>
      <c r="C9">
        <v>-86.73</v>
      </c>
      <c r="D9">
        <v>-68</v>
      </c>
      <c r="F9">
        <f>D9-C9</f>
        <v>18.730000000000004</v>
      </c>
    </row>
    <row r="13" spans="1:6" x14ac:dyDescent="0.3">
      <c r="B13" t="s">
        <v>15</v>
      </c>
      <c r="C13">
        <f>AVERAGE(C2:C9)</f>
        <v>-88.686250000000015</v>
      </c>
      <c r="D13">
        <f>AVERAGE(D2:D9)</f>
        <v>-78.072500000000005</v>
      </c>
      <c r="F13">
        <f>AVERAGE(F2:F9)</f>
        <v>10.613750000000001</v>
      </c>
    </row>
    <row r="14" spans="1:6" x14ac:dyDescent="0.3">
      <c r="B14" t="s">
        <v>380</v>
      </c>
      <c r="C14" s="11">
        <v>1.476</v>
      </c>
      <c r="D14" s="11">
        <v>2.847</v>
      </c>
      <c r="F14">
        <f>STDEVA(F2:F9)/SQRT(8)</f>
        <v>2.4691619005386074</v>
      </c>
    </row>
    <row r="17" spans="1:2" x14ac:dyDescent="0.3">
      <c r="A17" s="31" t="s">
        <v>392</v>
      </c>
      <c r="B17" s="11"/>
    </row>
    <row r="18" spans="1:2" x14ac:dyDescent="0.3">
      <c r="A18" s="24" t="s">
        <v>393</v>
      </c>
      <c r="B18" s="11">
        <v>7.7999999999999996E-3</v>
      </c>
    </row>
    <row r="19" spans="1:2" x14ac:dyDescent="0.3">
      <c r="A19" s="24" t="s">
        <v>441</v>
      </c>
      <c r="B19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/>
  </sheetViews>
  <sheetFormatPr baseColWidth="10" defaultRowHeight="14.4" x14ac:dyDescent="0.3"/>
  <cols>
    <col min="6" max="6" width="14.6640625" customWidth="1"/>
    <col min="8" max="8" width="26.88671875" customWidth="1"/>
    <col min="12" max="12" width="15.77734375" customWidth="1"/>
  </cols>
  <sheetData>
    <row r="1" spans="1:6" x14ac:dyDescent="0.3">
      <c r="A1" s="70" t="s">
        <v>669</v>
      </c>
    </row>
    <row r="2" spans="1:6" ht="26.4" x14ac:dyDescent="0.3">
      <c r="A2" s="59" t="s">
        <v>370</v>
      </c>
      <c r="B2" s="59" t="s">
        <v>371</v>
      </c>
      <c r="C2" s="59" t="s">
        <v>372</v>
      </c>
      <c r="D2" s="59" t="s">
        <v>373</v>
      </c>
      <c r="E2" s="59" t="s">
        <v>374</v>
      </c>
      <c r="F2" s="64" t="s">
        <v>375</v>
      </c>
    </row>
    <row r="3" spans="1:6" x14ac:dyDescent="0.3">
      <c r="A3" s="59" t="s">
        <v>7</v>
      </c>
      <c r="B3" s="65" t="s">
        <v>556</v>
      </c>
      <c r="C3" s="66">
        <v>108</v>
      </c>
      <c r="D3" s="66">
        <v>97</v>
      </c>
      <c r="E3" s="66">
        <v>212</v>
      </c>
      <c r="F3" s="57">
        <f t="shared" ref="F3:F30" si="0">SUM(C3:E3)/3</f>
        <v>139</v>
      </c>
    </row>
    <row r="4" spans="1:6" x14ac:dyDescent="0.3">
      <c r="A4" s="59" t="s">
        <v>8</v>
      </c>
      <c r="B4" s="65" t="s">
        <v>556</v>
      </c>
      <c r="C4" s="66">
        <v>290</v>
      </c>
      <c r="D4" s="66">
        <v>280</v>
      </c>
      <c r="E4" s="66">
        <v>270</v>
      </c>
      <c r="F4" s="57">
        <f t="shared" si="0"/>
        <v>280</v>
      </c>
    </row>
    <row r="5" spans="1:6" x14ac:dyDescent="0.3">
      <c r="A5" s="59" t="s">
        <v>7</v>
      </c>
      <c r="B5" s="67" t="s">
        <v>557</v>
      </c>
      <c r="C5" s="66">
        <v>207</v>
      </c>
      <c r="D5" s="66">
        <v>238</v>
      </c>
      <c r="E5" s="66">
        <v>147</v>
      </c>
      <c r="F5" s="57">
        <f t="shared" si="0"/>
        <v>197.33333333333334</v>
      </c>
    </row>
    <row r="6" spans="1:6" x14ac:dyDescent="0.3">
      <c r="A6" s="59" t="s">
        <v>8</v>
      </c>
      <c r="B6" s="67" t="s">
        <v>557</v>
      </c>
      <c r="C6" s="66">
        <v>147</v>
      </c>
      <c r="D6" s="66">
        <v>184</v>
      </c>
      <c r="E6" s="66">
        <v>216</v>
      </c>
      <c r="F6" s="57">
        <f t="shared" si="0"/>
        <v>182.33333333333334</v>
      </c>
    </row>
    <row r="7" spans="1:6" x14ac:dyDescent="0.3">
      <c r="A7" s="59" t="s">
        <v>9</v>
      </c>
      <c r="B7" s="65" t="s">
        <v>556</v>
      </c>
      <c r="C7" s="66">
        <v>151</v>
      </c>
      <c r="D7" s="66">
        <v>125</v>
      </c>
      <c r="E7" s="66">
        <v>233</v>
      </c>
      <c r="F7" s="57">
        <f t="shared" si="0"/>
        <v>169.66666666666666</v>
      </c>
    </row>
    <row r="8" spans="1:6" x14ac:dyDescent="0.3">
      <c r="A8" s="59" t="s">
        <v>10</v>
      </c>
      <c r="B8" s="65" t="s">
        <v>556</v>
      </c>
      <c r="C8" s="66">
        <v>112</v>
      </c>
      <c r="D8" s="66">
        <v>145</v>
      </c>
      <c r="E8" s="66">
        <v>202</v>
      </c>
      <c r="F8" s="57">
        <f t="shared" si="0"/>
        <v>153</v>
      </c>
    </row>
    <row r="9" spans="1:6" x14ac:dyDescent="0.3">
      <c r="A9" s="59" t="s">
        <v>9</v>
      </c>
      <c r="B9" s="67" t="s">
        <v>557</v>
      </c>
      <c r="C9" s="66">
        <v>112</v>
      </c>
      <c r="D9" s="66">
        <v>50</v>
      </c>
      <c r="E9" s="66">
        <v>140</v>
      </c>
      <c r="F9" s="57">
        <f t="shared" si="0"/>
        <v>100.66666666666667</v>
      </c>
    </row>
    <row r="10" spans="1:6" x14ac:dyDescent="0.3">
      <c r="A10" s="59" t="s">
        <v>10</v>
      </c>
      <c r="B10" s="67" t="s">
        <v>557</v>
      </c>
      <c r="C10" s="66">
        <v>138</v>
      </c>
      <c r="D10" s="66">
        <v>117</v>
      </c>
      <c r="E10" s="66">
        <v>138</v>
      </c>
      <c r="F10" s="57">
        <f t="shared" si="0"/>
        <v>131</v>
      </c>
    </row>
    <row r="11" spans="1:6" x14ac:dyDescent="0.3">
      <c r="A11" s="59" t="s">
        <v>16</v>
      </c>
      <c r="B11" s="65" t="s">
        <v>556</v>
      </c>
      <c r="C11" s="66">
        <v>120</v>
      </c>
      <c r="D11" s="66">
        <v>135</v>
      </c>
      <c r="E11" s="66">
        <v>154</v>
      </c>
      <c r="F11" s="57">
        <f t="shared" si="0"/>
        <v>136.33333333333334</v>
      </c>
    </row>
    <row r="12" spans="1:6" x14ac:dyDescent="0.3">
      <c r="A12" s="59" t="s">
        <v>354</v>
      </c>
      <c r="B12" s="65" t="s">
        <v>556</v>
      </c>
      <c r="C12" s="66">
        <v>90</v>
      </c>
      <c r="D12" s="66">
        <v>100</v>
      </c>
      <c r="E12" s="66">
        <v>137</v>
      </c>
      <c r="F12" s="57">
        <f t="shared" si="0"/>
        <v>109</v>
      </c>
    </row>
    <row r="13" spans="1:6" x14ac:dyDescent="0.3">
      <c r="A13" s="59" t="s">
        <v>16</v>
      </c>
      <c r="B13" s="67" t="s">
        <v>557</v>
      </c>
      <c r="C13" s="66">
        <v>81</v>
      </c>
      <c r="D13" s="66">
        <v>90</v>
      </c>
      <c r="E13" s="66">
        <v>62</v>
      </c>
      <c r="F13" s="57">
        <f t="shared" si="0"/>
        <v>77.666666666666671</v>
      </c>
    </row>
    <row r="14" spans="1:6" x14ac:dyDescent="0.3">
      <c r="A14" s="59" t="s">
        <v>354</v>
      </c>
      <c r="B14" s="67" t="s">
        <v>557</v>
      </c>
      <c r="C14" s="66">
        <v>30</v>
      </c>
      <c r="D14" s="66">
        <v>74</v>
      </c>
      <c r="E14" s="66">
        <v>54</v>
      </c>
      <c r="F14" s="57">
        <f t="shared" si="0"/>
        <v>52.666666666666664</v>
      </c>
    </row>
    <row r="15" spans="1:6" x14ac:dyDescent="0.3">
      <c r="A15" s="59" t="s">
        <v>355</v>
      </c>
      <c r="B15" s="65" t="s">
        <v>556</v>
      </c>
      <c r="C15" s="66">
        <v>93</v>
      </c>
      <c r="D15" s="66">
        <v>110</v>
      </c>
      <c r="E15" s="66">
        <v>133</v>
      </c>
      <c r="F15" s="57">
        <f t="shared" si="0"/>
        <v>112</v>
      </c>
    </row>
    <row r="16" spans="1:6" x14ac:dyDescent="0.3">
      <c r="A16" s="59" t="s">
        <v>356</v>
      </c>
      <c r="B16" s="65" t="s">
        <v>556</v>
      </c>
      <c r="C16" s="66">
        <v>89</v>
      </c>
      <c r="D16" s="66">
        <v>98</v>
      </c>
      <c r="E16" s="66">
        <v>116</v>
      </c>
      <c r="F16" s="57">
        <f t="shared" si="0"/>
        <v>101</v>
      </c>
    </row>
    <row r="17" spans="1:6" x14ac:dyDescent="0.3">
      <c r="A17" s="59" t="s">
        <v>355</v>
      </c>
      <c r="B17" s="67" t="s">
        <v>557</v>
      </c>
      <c r="C17" s="66">
        <v>52</v>
      </c>
      <c r="D17" s="66">
        <v>78</v>
      </c>
      <c r="E17" s="66">
        <v>65</v>
      </c>
      <c r="F17" s="57">
        <f t="shared" si="0"/>
        <v>65</v>
      </c>
    </row>
    <row r="18" spans="1:6" x14ac:dyDescent="0.3">
      <c r="A18" s="59" t="s">
        <v>356</v>
      </c>
      <c r="B18" s="67" t="s">
        <v>557</v>
      </c>
      <c r="C18" s="66">
        <v>28</v>
      </c>
      <c r="D18" s="66">
        <v>53</v>
      </c>
      <c r="E18" s="66">
        <v>63</v>
      </c>
      <c r="F18" s="57">
        <f t="shared" si="0"/>
        <v>48</v>
      </c>
    </row>
    <row r="19" spans="1:6" x14ac:dyDescent="0.3">
      <c r="A19" s="59" t="s">
        <v>357</v>
      </c>
      <c r="B19" s="65" t="s">
        <v>556</v>
      </c>
      <c r="C19" s="66">
        <v>48</v>
      </c>
      <c r="D19" s="66">
        <v>51</v>
      </c>
      <c r="E19" s="66">
        <v>60</v>
      </c>
      <c r="F19" s="57">
        <f t="shared" si="0"/>
        <v>53</v>
      </c>
    </row>
    <row r="20" spans="1:6" x14ac:dyDescent="0.3">
      <c r="A20" s="59" t="s">
        <v>358</v>
      </c>
      <c r="B20" s="65" t="s">
        <v>556</v>
      </c>
      <c r="C20" s="66">
        <v>66</v>
      </c>
      <c r="D20" s="66">
        <v>100</v>
      </c>
      <c r="E20" s="66">
        <v>126</v>
      </c>
      <c r="F20" s="57">
        <f t="shared" si="0"/>
        <v>97.333333333333329</v>
      </c>
    </row>
    <row r="21" spans="1:6" x14ac:dyDescent="0.3">
      <c r="A21" s="59" t="s">
        <v>357</v>
      </c>
      <c r="B21" s="67" t="s">
        <v>557</v>
      </c>
      <c r="C21" s="66">
        <v>51</v>
      </c>
      <c r="D21" s="66">
        <v>61</v>
      </c>
      <c r="E21" s="66">
        <v>88</v>
      </c>
      <c r="F21" s="57">
        <f t="shared" si="0"/>
        <v>66.666666666666671</v>
      </c>
    </row>
    <row r="22" spans="1:6" x14ac:dyDescent="0.3">
      <c r="A22" s="59" t="s">
        <v>358</v>
      </c>
      <c r="B22" s="67" t="s">
        <v>557</v>
      </c>
      <c r="C22" s="66">
        <v>12</v>
      </c>
      <c r="D22" s="66">
        <v>15</v>
      </c>
      <c r="E22" s="66">
        <v>71</v>
      </c>
      <c r="F22" s="57">
        <f t="shared" si="0"/>
        <v>32.666666666666664</v>
      </c>
    </row>
    <row r="23" spans="1:6" x14ac:dyDescent="0.3">
      <c r="A23" s="59" t="s">
        <v>359</v>
      </c>
      <c r="B23" s="65" t="s">
        <v>556</v>
      </c>
      <c r="C23" s="66">
        <v>128</v>
      </c>
      <c r="D23" s="66">
        <v>143</v>
      </c>
      <c r="E23" s="66">
        <v>147</v>
      </c>
      <c r="F23" s="57">
        <f t="shared" si="0"/>
        <v>139.33333333333334</v>
      </c>
    </row>
    <row r="24" spans="1:6" x14ac:dyDescent="0.3">
      <c r="A24" s="59" t="s">
        <v>360</v>
      </c>
      <c r="B24" s="65" t="s">
        <v>556</v>
      </c>
      <c r="C24" s="66">
        <v>135</v>
      </c>
      <c r="D24" s="66">
        <v>147</v>
      </c>
      <c r="E24" s="66">
        <v>161</v>
      </c>
      <c r="F24" s="57">
        <f t="shared" si="0"/>
        <v>147.66666666666666</v>
      </c>
    </row>
    <row r="25" spans="1:6" x14ac:dyDescent="0.3">
      <c r="A25" s="59" t="s">
        <v>359</v>
      </c>
      <c r="B25" s="67" t="s">
        <v>557</v>
      </c>
      <c r="C25" s="66">
        <v>30</v>
      </c>
      <c r="D25" s="66">
        <v>125</v>
      </c>
      <c r="E25" s="66">
        <v>133</v>
      </c>
      <c r="F25" s="57">
        <f t="shared" si="0"/>
        <v>96</v>
      </c>
    </row>
    <row r="26" spans="1:6" x14ac:dyDescent="0.3">
      <c r="A26" s="59" t="s">
        <v>360</v>
      </c>
      <c r="B26" s="67" t="s">
        <v>557</v>
      </c>
      <c r="C26" s="66">
        <v>102</v>
      </c>
      <c r="D26" s="66">
        <v>91</v>
      </c>
      <c r="E26" s="66">
        <v>100</v>
      </c>
      <c r="F26" s="57">
        <f t="shared" si="0"/>
        <v>97.666666666666671</v>
      </c>
    </row>
    <row r="27" spans="1:6" x14ac:dyDescent="0.3">
      <c r="A27" s="59" t="s">
        <v>361</v>
      </c>
      <c r="B27" s="65" t="s">
        <v>556</v>
      </c>
      <c r="C27" s="66">
        <v>148</v>
      </c>
      <c r="D27" s="66">
        <v>130</v>
      </c>
      <c r="E27" s="66">
        <v>152</v>
      </c>
      <c r="F27" s="57">
        <f t="shared" si="0"/>
        <v>143.33333333333334</v>
      </c>
    </row>
    <row r="28" spans="1:6" x14ac:dyDescent="0.3">
      <c r="A28" s="59" t="s">
        <v>362</v>
      </c>
      <c r="B28" s="65" t="s">
        <v>556</v>
      </c>
      <c r="C28" s="66">
        <v>137</v>
      </c>
      <c r="D28" s="66">
        <v>161</v>
      </c>
      <c r="E28" s="66">
        <v>162</v>
      </c>
      <c r="F28" s="57">
        <f t="shared" si="0"/>
        <v>153.33333333333334</v>
      </c>
    </row>
    <row r="29" spans="1:6" x14ac:dyDescent="0.3">
      <c r="A29" s="59" t="s">
        <v>361</v>
      </c>
      <c r="B29" s="67" t="s">
        <v>557</v>
      </c>
      <c r="C29" s="66">
        <v>116</v>
      </c>
      <c r="D29" s="66">
        <v>83</v>
      </c>
      <c r="E29" s="66">
        <v>118</v>
      </c>
      <c r="F29" s="57">
        <f t="shared" si="0"/>
        <v>105.66666666666667</v>
      </c>
    </row>
    <row r="30" spans="1:6" x14ac:dyDescent="0.3">
      <c r="A30" s="59" t="s">
        <v>362</v>
      </c>
      <c r="B30" s="67" t="s">
        <v>557</v>
      </c>
      <c r="C30" s="66">
        <v>56</v>
      </c>
      <c r="D30" s="66">
        <v>38</v>
      </c>
      <c r="E30" s="66">
        <v>81</v>
      </c>
      <c r="F30" s="57">
        <f t="shared" si="0"/>
        <v>58.333333333333336</v>
      </c>
    </row>
    <row r="33" spans="1:6" ht="26.4" x14ac:dyDescent="0.3">
      <c r="A33" s="68"/>
      <c r="B33" s="68"/>
      <c r="C33" s="59" t="s">
        <v>372</v>
      </c>
      <c r="D33" s="59" t="s">
        <v>373</v>
      </c>
      <c r="E33" s="59" t="s">
        <v>374</v>
      </c>
      <c r="F33" s="64" t="s">
        <v>375</v>
      </c>
    </row>
    <row r="34" spans="1:6" x14ac:dyDescent="0.3">
      <c r="A34" s="59" t="s">
        <v>7</v>
      </c>
      <c r="B34" s="65" t="s">
        <v>556</v>
      </c>
      <c r="C34" s="66">
        <v>108</v>
      </c>
      <c r="D34" s="66">
        <v>97</v>
      </c>
      <c r="E34" s="66">
        <v>212</v>
      </c>
      <c r="F34" s="68">
        <f>AVERAGE(C34:E34)</f>
        <v>139</v>
      </c>
    </row>
    <row r="35" spans="1:6" x14ac:dyDescent="0.3">
      <c r="A35" s="59" t="s">
        <v>8</v>
      </c>
      <c r="B35" s="65" t="s">
        <v>556</v>
      </c>
      <c r="C35" s="66">
        <v>290</v>
      </c>
      <c r="D35" s="66">
        <v>280</v>
      </c>
      <c r="E35" s="66">
        <v>270</v>
      </c>
      <c r="F35" s="68">
        <f t="shared" ref="F35:F47" si="1">AVERAGE(C35:E35)</f>
        <v>280</v>
      </c>
    </row>
    <row r="36" spans="1:6" x14ac:dyDescent="0.3">
      <c r="A36" s="59" t="s">
        <v>9</v>
      </c>
      <c r="B36" s="65" t="s">
        <v>556</v>
      </c>
      <c r="C36" s="66">
        <v>151</v>
      </c>
      <c r="D36" s="66">
        <v>125</v>
      </c>
      <c r="E36" s="66">
        <v>233</v>
      </c>
      <c r="F36" s="68">
        <f t="shared" si="1"/>
        <v>169.66666666666666</v>
      </c>
    </row>
    <row r="37" spans="1:6" x14ac:dyDescent="0.3">
      <c r="A37" s="59" t="s">
        <v>10</v>
      </c>
      <c r="B37" s="65" t="s">
        <v>556</v>
      </c>
      <c r="C37" s="66">
        <v>112</v>
      </c>
      <c r="D37" s="66">
        <v>145</v>
      </c>
      <c r="E37" s="66">
        <v>202</v>
      </c>
      <c r="F37" s="68">
        <f t="shared" si="1"/>
        <v>153</v>
      </c>
    </row>
    <row r="38" spans="1:6" x14ac:dyDescent="0.3">
      <c r="A38" s="59" t="s">
        <v>16</v>
      </c>
      <c r="B38" s="65" t="s">
        <v>556</v>
      </c>
      <c r="C38" s="66">
        <v>120</v>
      </c>
      <c r="D38" s="66">
        <v>135</v>
      </c>
      <c r="E38" s="66">
        <v>154</v>
      </c>
      <c r="F38" s="68">
        <f t="shared" si="1"/>
        <v>136.33333333333334</v>
      </c>
    </row>
    <row r="39" spans="1:6" x14ac:dyDescent="0.3">
      <c r="A39" s="59" t="s">
        <v>354</v>
      </c>
      <c r="B39" s="65" t="s">
        <v>556</v>
      </c>
      <c r="C39" s="66">
        <v>90</v>
      </c>
      <c r="D39" s="66">
        <v>100</v>
      </c>
      <c r="E39" s="66">
        <v>137</v>
      </c>
      <c r="F39" s="68">
        <f t="shared" si="1"/>
        <v>109</v>
      </c>
    </row>
    <row r="40" spans="1:6" x14ac:dyDescent="0.3">
      <c r="A40" s="59" t="s">
        <v>355</v>
      </c>
      <c r="B40" s="65" t="s">
        <v>556</v>
      </c>
      <c r="C40" s="66">
        <v>93</v>
      </c>
      <c r="D40" s="66">
        <v>110</v>
      </c>
      <c r="E40" s="66">
        <v>133</v>
      </c>
      <c r="F40" s="68">
        <f t="shared" si="1"/>
        <v>112</v>
      </c>
    </row>
    <row r="41" spans="1:6" x14ac:dyDescent="0.3">
      <c r="A41" s="59" t="s">
        <v>356</v>
      </c>
      <c r="B41" s="65" t="s">
        <v>556</v>
      </c>
      <c r="C41" s="66">
        <v>89</v>
      </c>
      <c r="D41" s="66">
        <v>98</v>
      </c>
      <c r="E41" s="66">
        <v>116</v>
      </c>
      <c r="F41" s="68">
        <f t="shared" si="1"/>
        <v>101</v>
      </c>
    </row>
    <row r="42" spans="1:6" x14ac:dyDescent="0.3">
      <c r="A42" s="59" t="s">
        <v>357</v>
      </c>
      <c r="B42" s="65" t="s">
        <v>556</v>
      </c>
      <c r="C42" s="66">
        <v>48</v>
      </c>
      <c r="D42" s="66">
        <v>51</v>
      </c>
      <c r="E42" s="66">
        <v>60</v>
      </c>
      <c r="F42" s="68">
        <f t="shared" si="1"/>
        <v>53</v>
      </c>
    </row>
    <row r="43" spans="1:6" x14ac:dyDescent="0.3">
      <c r="A43" s="59" t="s">
        <v>358</v>
      </c>
      <c r="B43" s="65" t="s">
        <v>556</v>
      </c>
      <c r="C43" s="66">
        <v>66</v>
      </c>
      <c r="D43" s="66">
        <v>100</v>
      </c>
      <c r="E43" s="66">
        <v>126</v>
      </c>
      <c r="F43" s="68">
        <f>AVERAGE(C43:E43)</f>
        <v>97.333333333333329</v>
      </c>
    </row>
    <row r="44" spans="1:6" x14ac:dyDescent="0.3">
      <c r="A44" s="59" t="s">
        <v>359</v>
      </c>
      <c r="B44" s="65" t="s">
        <v>556</v>
      </c>
      <c r="C44" s="66">
        <v>128</v>
      </c>
      <c r="D44" s="66">
        <v>143</v>
      </c>
      <c r="E44" s="66">
        <v>147</v>
      </c>
      <c r="F44" s="68">
        <f t="shared" si="1"/>
        <v>139.33333333333334</v>
      </c>
    </row>
    <row r="45" spans="1:6" x14ac:dyDescent="0.3">
      <c r="A45" s="59" t="s">
        <v>360</v>
      </c>
      <c r="B45" s="65" t="s">
        <v>556</v>
      </c>
      <c r="C45" s="66">
        <v>135</v>
      </c>
      <c r="D45" s="66">
        <v>147</v>
      </c>
      <c r="E45" s="66">
        <v>161</v>
      </c>
      <c r="F45" s="68">
        <f t="shared" si="1"/>
        <v>147.66666666666666</v>
      </c>
    </row>
    <row r="46" spans="1:6" x14ac:dyDescent="0.3">
      <c r="A46" s="59" t="s">
        <v>361</v>
      </c>
      <c r="B46" s="65" t="s">
        <v>556</v>
      </c>
      <c r="C46" s="66">
        <v>148</v>
      </c>
      <c r="D46" s="66">
        <v>130</v>
      </c>
      <c r="E46" s="66">
        <v>152</v>
      </c>
      <c r="F46" s="68">
        <f t="shared" si="1"/>
        <v>143.33333333333334</v>
      </c>
    </row>
    <row r="47" spans="1:6" x14ac:dyDescent="0.3">
      <c r="A47" s="59" t="s">
        <v>362</v>
      </c>
      <c r="B47" s="65" t="s">
        <v>556</v>
      </c>
      <c r="C47" s="66">
        <v>137</v>
      </c>
      <c r="D47" s="66">
        <v>161</v>
      </c>
      <c r="E47" s="66">
        <v>162</v>
      </c>
      <c r="F47" s="68">
        <f t="shared" si="1"/>
        <v>153.33333333333334</v>
      </c>
    </row>
    <row r="48" spans="1:6" x14ac:dyDescent="0.3">
      <c r="A48" s="68"/>
      <c r="B48" s="68"/>
      <c r="C48" s="68"/>
      <c r="D48" s="68"/>
      <c r="E48" s="69" t="s">
        <v>15</v>
      </c>
      <c r="F48" s="69">
        <f>AVERAGE(F34:F47)</f>
        <v>138.14285714285714</v>
      </c>
    </row>
    <row r="49" spans="1:6" x14ac:dyDescent="0.3">
      <c r="A49" s="68"/>
      <c r="B49" s="68"/>
      <c r="C49" s="68"/>
      <c r="D49" s="68"/>
      <c r="E49" s="69" t="s">
        <v>380</v>
      </c>
      <c r="F49" s="69">
        <f>STDEVA(F34:F47)/SQRT(14)</f>
        <v>13.570901602775994</v>
      </c>
    </row>
    <row r="52" spans="1:6" ht="26.4" x14ac:dyDescent="0.3">
      <c r="A52" s="68"/>
      <c r="B52" s="68"/>
      <c r="C52" s="59" t="s">
        <v>372</v>
      </c>
      <c r="D52" s="59" t="s">
        <v>373</v>
      </c>
      <c r="E52" s="59" t="s">
        <v>374</v>
      </c>
      <c r="F52" s="64" t="s">
        <v>375</v>
      </c>
    </row>
    <row r="53" spans="1:6" x14ac:dyDescent="0.3">
      <c r="A53" s="59" t="s">
        <v>7</v>
      </c>
      <c r="B53" s="67" t="s">
        <v>557</v>
      </c>
      <c r="C53" s="66">
        <v>207</v>
      </c>
      <c r="D53" s="66">
        <v>238</v>
      </c>
      <c r="E53" s="66">
        <v>147</v>
      </c>
      <c r="F53" s="68">
        <f>AVERAGE(C53:E53)</f>
        <v>197.33333333333334</v>
      </c>
    </row>
    <row r="54" spans="1:6" x14ac:dyDescent="0.3">
      <c r="A54" s="59" t="s">
        <v>8</v>
      </c>
      <c r="B54" s="67" t="s">
        <v>557</v>
      </c>
      <c r="C54" s="66">
        <v>147</v>
      </c>
      <c r="D54" s="66">
        <v>184</v>
      </c>
      <c r="E54" s="66">
        <v>216</v>
      </c>
      <c r="F54" s="68">
        <f t="shared" ref="F54:F66" si="2">AVERAGE(C54:E54)</f>
        <v>182.33333333333334</v>
      </c>
    </row>
    <row r="55" spans="1:6" x14ac:dyDescent="0.3">
      <c r="A55" s="59" t="s">
        <v>9</v>
      </c>
      <c r="B55" s="67" t="s">
        <v>557</v>
      </c>
      <c r="C55" s="66">
        <v>112</v>
      </c>
      <c r="D55" s="66">
        <v>50</v>
      </c>
      <c r="E55" s="66">
        <v>140</v>
      </c>
      <c r="F55" s="68">
        <f t="shared" si="2"/>
        <v>100.66666666666667</v>
      </c>
    </row>
    <row r="56" spans="1:6" x14ac:dyDescent="0.3">
      <c r="A56" s="59" t="s">
        <v>10</v>
      </c>
      <c r="B56" s="67" t="s">
        <v>557</v>
      </c>
      <c r="C56" s="66">
        <v>138</v>
      </c>
      <c r="D56" s="66">
        <v>117</v>
      </c>
      <c r="E56" s="66">
        <v>138</v>
      </c>
      <c r="F56" s="68">
        <f t="shared" si="2"/>
        <v>131</v>
      </c>
    </row>
    <row r="57" spans="1:6" x14ac:dyDescent="0.3">
      <c r="A57" s="59" t="s">
        <v>16</v>
      </c>
      <c r="B57" s="67" t="s">
        <v>557</v>
      </c>
      <c r="C57" s="66">
        <v>81</v>
      </c>
      <c r="D57" s="66">
        <v>90</v>
      </c>
      <c r="E57" s="66">
        <v>62</v>
      </c>
      <c r="F57" s="68">
        <f t="shared" si="2"/>
        <v>77.666666666666671</v>
      </c>
    </row>
    <row r="58" spans="1:6" x14ac:dyDescent="0.3">
      <c r="A58" s="59" t="s">
        <v>354</v>
      </c>
      <c r="B58" s="67" t="s">
        <v>557</v>
      </c>
      <c r="C58" s="66">
        <v>30</v>
      </c>
      <c r="D58" s="66">
        <v>74</v>
      </c>
      <c r="E58" s="66">
        <v>54</v>
      </c>
      <c r="F58" s="68">
        <f t="shared" si="2"/>
        <v>52.666666666666664</v>
      </c>
    </row>
    <row r="59" spans="1:6" x14ac:dyDescent="0.3">
      <c r="A59" s="59" t="s">
        <v>355</v>
      </c>
      <c r="B59" s="67" t="s">
        <v>557</v>
      </c>
      <c r="C59" s="66">
        <v>52</v>
      </c>
      <c r="D59" s="66">
        <v>78</v>
      </c>
      <c r="E59" s="66">
        <v>65</v>
      </c>
      <c r="F59" s="68">
        <f t="shared" si="2"/>
        <v>65</v>
      </c>
    </row>
    <row r="60" spans="1:6" x14ac:dyDescent="0.3">
      <c r="A60" s="59" t="s">
        <v>356</v>
      </c>
      <c r="B60" s="67" t="s">
        <v>557</v>
      </c>
      <c r="C60" s="66">
        <v>28</v>
      </c>
      <c r="D60" s="66">
        <v>53</v>
      </c>
      <c r="E60" s="66">
        <v>63</v>
      </c>
      <c r="F60" s="68">
        <f t="shared" si="2"/>
        <v>48</v>
      </c>
    </row>
    <row r="61" spans="1:6" x14ac:dyDescent="0.3">
      <c r="A61" s="59" t="s">
        <v>357</v>
      </c>
      <c r="B61" s="67" t="s">
        <v>557</v>
      </c>
      <c r="C61" s="66">
        <v>51</v>
      </c>
      <c r="D61" s="66">
        <v>61</v>
      </c>
      <c r="E61" s="66">
        <v>88</v>
      </c>
      <c r="F61" s="68">
        <f t="shared" si="2"/>
        <v>66.666666666666671</v>
      </c>
    </row>
    <row r="62" spans="1:6" x14ac:dyDescent="0.3">
      <c r="A62" s="59" t="s">
        <v>358</v>
      </c>
      <c r="B62" s="67" t="s">
        <v>557</v>
      </c>
      <c r="C62" s="66">
        <v>12</v>
      </c>
      <c r="D62" s="66">
        <v>15</v>
      </c>
      <c r="E62" s="66">
        <v>71</v>
      </c>
      <c r="F62" s="68">
        <f t="shared" si="2"/>
        <v>32.666666666666664</v>
      </c>
    </row>
    <row r="63" spans="1:6" x14ac:dyDescent="0.3">
      <c r="A63" s="59" t="s">
        <v>359</v>
      </c>
      <c r="B63" s="67" t="s">
        <v>557</v>
      </c>
      <c r="C63" s="66">
        <v>30</v>
      </c>
      <c r="D63" s="66">
        <v>125</v>
      </c>
      <c r="E63" s="66">
        <v>133</v>
      </c>
      <c r="F63" s="68">
        <f t="shared" si="2"/>
        <v>96</v>
      </c>
    </row>
    <row r="64" spans="1:6" x14ac:dyDescent="0.3">
      <c r="A64" s="59" t="s">
        <v>360</v>
      </c>
      <c r="B64" s="67" t="s">
        <v>557</v>
      </c>
      <c r="C64" s="66">
        <v>102</v>
      </c>
      <c r="D64" s="66">
        <v>91</v>
      </c>
      <c r="E64" s="66">
        <v>100</v>
      </c>
      <c r="F64" s="68">
        <f t="shared" si="2"/>
        <v>97.666666666666671</v>
      </c>
    </row>
    <row r="65" spans="1:6" x14ac:dyDescent="0.3">
      <c r="A65" s="59" t="s">
        <v>361</v>
      </c>
      <c r="B65" s="67" t="s">
        <v>557</v>
      </c>
      <c r="C65" s="66">
        <v>116</v>
      </c>
      <c r="D65" s="66">
        <v>83</v>
      </c>
      <c r="E65" s="66">
        <v>118</v>
      </c>
      <c r="F65" s="68">
        <f t="shared" si="2"/>
        <v>105.66666666666667</v>
      </c>
    </row>
    <row r="66" spans="1:6" x14ac:dyDescent="0.3">
      <c r="A66" s="59" t="s">
        <v>362</v>
      </c>
      <c r="B66" s="67" t="s">
        <v>557</v>
      </c>
      <c r="C66" s="66">
        <v>56</v>
      </c>
      <c r="D66" s="66">
        <v>38</v>
      </c>
      <c r="E66" s="66">
        <v>81</v>
      </c>
      <c r="F66" s="68">
        <f t="shared" si="2"/>
        <v>58.333333333333336</v>
      </c>
    </row>
    <row r="67" spans="1:6" x14ac:dyDescent="0.3">
      <c r="A67" s="68"/>
      <c r="B67" s="68"/>
      <c r="C67" s="68"/>
      <c r="D67" s="68"/>
      <c r="E67" s="69" t="s">
        <v>15</v>
      </c>
      <c r="F67" s="69">
        <f>AVERAGE(F53:F66)</f>
        <v>93.69047619047619</v>
      </c>
    </row>
    <row r="68" spans="1:6" x14ac:dyDescent="0.3">
      <c r="A68" s="68"/>
      <c r="B68" s="68"/>
      <c r="C68" s="68"/>
      <c r="D68" s="68"/>
      <c r="E68" s="69" t="s">
        <v>380</v>
      </c>
      <c r="F68" s="69">
        <f>STDEVA(F53:F66)/SQRT(14)</f>
        <v>13.000303569561359</v>
      </c>
    </row>
    <row r="71" spans="1:6" x14ac:dyDescent="0.3">
      <c r="A71" s="31" t="s">
        <v>424</v>
      </c>
      <c r="B71" s="11" t="s">
        <v>413</v>
      </c>
      <c r="C71" s="11" t="s">
        <v>414</v>
      </c>
    </row>
    <row r="72" spans="1:6" x14ac:dyDescent="0.3">
      <c r="A72" s="41" t="s">
        <v>543</v>
      </c>
      <c r="B72" s="11"/>
      <c r="C72" s="11"/>
    </row>
    <row r="73" spans="1:6" x14ac:dyDescent="0.3">
      <c r="A73" s="24" t="s">
        <v>425</v>
      </c>
      <c r="B73" s="11" t="s">
        <v>417</v>
      </c>
      <c r="C73" s="11">
        <v>0.15939999999999999</v>
      </c>
    </row>
    <row r="74" spans="1:6" x14ac:dyDescent="0.3">
      <c r="A74" s="24" t="s">
        <v>426</v>
      </c>
      <c r="B74" s="11" t="s">
        <v>417</v>
      </c>
      <c r="C74" s="11">
        <v>0.1946</v>
      </c>
    </row>
    <row r="75" spans="1:6" x14ac:dyDescent="0.3">
      <c r="A75" s="24" t="s">
        <v>427</v>
      </c>
      <c r="B75" s="11" t="s">
        <v>428</v>
      </c>
      <c r="C75" s="11">
        <v>2.12E-2</v>
      </c>
    </row>
    <row r="77" spans="1:6" ht="43.2" x14ac:dyDescent="0.3">
      <c r="A77" s="51" t="s">
        <v>542</v>
      </c>
    </row>
    <row r="78" spans="1:6" x14ac:dyDescent="0.3">
      <c r="A78" s="31" t="s">
        <v>400</v>
      </c>
      <c r="B78" s="11"/>
    </row>
    <row r="79" spans="1:6" x14ac:dyDescent="0.3">
      <c r="A79" s="24" t="s">
        <v>393</v>
      </c>
      <c r="B79" s="11">
        <v>1.06E-2</v>
      </c>
    </row>
    <row r="80" spans="1:6" x14ac:dyDescent="0.3">
      <c r="A80" s="41" t="s">
        <v>441</v>
      </c>
      <c r="B80" s="42" t="s">
        <v>428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670</v>
      </c>
    </row>
    <row r="2" spans="1:6" x14ac:dyDescent="0.3">
      <c r="B2" s="15" t="s">
        <v>556</v>
      </c>
      <c r="C2" t="s">
        <v>331</v>
      </c>
      <c r="D2" t="s">
        <v>332</v>
      </c>
      <c r="E2" t="s">
        <v>333</v>
      </c>
      <c r="F2" t="s">
        <v>333</v>
      </c>
    </row>
    <row r="3" spans="1:6" x14ac:dyDescent="0.3">
      <c r="C3" t="s">
        <v>334</v>
      </c>
      <c r="D3" t="s">
        <v>334</v>
      </c>
      <c r="E3" t="s">
        <v>335</v>
      </c>
      <c r="F3" t="s">
        <v>336</v>
      </c>
    </row>
    <row r="4" spans="1:6" x14ac:dyDescent="0.3">
      <c r="C4" t="s">
        <v>337</v>
      </c>
      <c r="D4" t="s">
        <v>338</v>
      </c>
      <c r="E4" t="s">
        <v>339</v>
      </c>
      <c r="F4" t="s">
        <v>339</v>
      </c>
    </row>
    <row r="5" spans="1:6" x14ac:dyDescent="0.3">
      <c r="C5" t="s">
        <v>340</v>
      </c>
      <c r="D5" t="s">
        <v>341</v>
      </c>
      <c r="E5" t="s">
        <v>28</v>
      </c>
      <c r="F5" t="s">
        <v>28</v>
      </c>
    </row>
    <row r="6" spans="1:6" x14ac:dyDescent="0.3">
      <c r="A6" t="s">
        <v>7</v>
      </c>
      <c r="B6" t="s">
        <v>384</v>
      </c>
      <c r="C6" s="19">
        <v>716</v>
      </c>
      <c r="D6" s="19">
        <v>7.9626210000000004</v>
      </c>
      <c r="E6" s="19">
        <v>87.318520000000007</v>
      </c>
      <c r="F6">
        <v>12.6814814814815</v>
      </c>
    </row>
    <row r="7" spans="1:6" x14ac:dyDescent="0.3">
      <c r="A7" s="22" t="s">
        <v>8</v>
      </c>
      <c r="B7" s="22" t="s">
        <v>384</v>
      </c>
      <c r="C7" s="19">
        <v>466.61970000000002</v>
      </c>
      <c r="D7" s="19">
        <v>5.195379</v>
      </c>
      <c r="E7" s="19">
        <v>73.820819999999998</v>
      </c>
      <c r="F7">
        <v>26.179175318896466</v>
      </c>
    </row>
    <row r="8" spans="1:6" x14ac:dyDescent="0.3">
      <c r="A8" s="22" t="s">
        <v>9</v>
      </c>
      <c r="B8" s="22" t="s">
        <v>384</v>
      </c>
      <c r="C8" s="19">
        <v>667.50289999999995</v>
      </c>
      <c r="D8" s="19">
        <v>7.7713200000000002</v>
      </c>
      <c r="E8" s="19">
        <v>78.244730000000004</v>
      </c>
      <c r="F8">
        <v>21.755271755271757</v>
      </c>
    </row>
    <row r="9" spans="1:6" x14ac:dyDescent="0.3">
      <c r="A9" s="22" t="s">
        <v>10</v>
      </c>
      <c r="B9" s="22" t="s">
        <v>384</v>
      </c>
      <c r="C9" s="19">
        <v>642.08833300000003</v>
      </c>
      <c r="D9" s="19">
        <v>7.4440266700000004</v>
      </c>
      <c r="E9" s="19">
        <v>89.828955399999998</v>
      </c>
      <c r="F9">
        <f>100-E9</f>
        <v>10.171044600000002</v>
      </c>
    </row>
    <row r="10" spans="1:6" x14ac:dyDescent="0.3">
      <c r="A10" s="22" t="s">
        <v>16</v>
      </c>
      <c r="B10" s="22" t="s">
        <v>384</v>
      </c>
      <c r="C10" s="19">
        <v>619.64066700000001</v>
      </c>
      <c r="D10" s="19">
        <v>7.0852833300000002</v>
      </c>
      <c r="E10" s="19">
        <v>88.697231000000002</v>
      </c>
      <c r="F10">
        <f>100-E10</f>
        <v>11.302768999999998</v>
      </c>
    </row>
    <row r="11" spans="1:6" x14ac:dyDescent="0.3">
      <c r="A11" s="22" t="s">
        <v>354</v>
      </c>
      <c r="B11" s="22" t="s">
        <v>384</v>
      </c>
      <c r="C11" s="19">
        <v>554.70579999999995</v>
      </c>
      <c r="D11" s="19">
        <v>6.1688999999999998</v>
      </c>
      <c r="E11" s="19">
        <v>80.874070000000003</v>
      </c>
      <c r="F11">
        <f>100-E11</f>
        <v>19.125929999999997</v>
      </c>
    </row>
    <row r="12" spans="1:6" x14ac:dyDescent="0.3">
      <c r="A12" s="22" t="s">
        <v>355</v>
      </c>
      <c r="B12" s="22" t="s">
        <v>384</v>
      </c>
      <c r="C12" s="19">
        <v>505.95800000000003</v>
      </c>
      <c r="D12" s="19">
        <v>5.6267550000000002</v>
      </c>
      <c r="E12" s="19">
        <v>77.822220000000002</v>
      </c>
      <c r="F12">
        <f>100-E12</f>
        <v>22.177779999999998</v>
      </c>
    </row>
    <row r="13" spans="1:6" x14ac:dyDescent="0.3">
      <c r="A13" s="22" t="s">
        <v>356</v>
      </c>
      <c r="B13" s="22" t="s">
        <v>384</v>
      </c>
      <c r="C13" s="19">
        <v>679.54930000000002</v>
      </c>
      <c r="D13" s="19">
        <v>7.5656129999999999</v>
      </c>
      <c r="E13" s="19">
        <v>84.022670000000005</v>
      </c>
      <c r="F13">
        <v>15.977329999999995</v>
      </c>
    </row>
    <row r="14" spans="1:6" x14ac:dyDescent="0.3">
      <c r="A14" s="22" t="s">
        <v>357</v>
      </c>
      <c r="B14" s="22" t="s">
        <v>384</v>
      </c>
      <c r="C14" s="19">
        <v>526.23199999999997</v>
      </c>
      <c r="D14" s="19">
        <v>5.8522270000000001</v>
      </c>
      <c r="E14" s="19">
        <v>77.822220000000002</v>
      </c>
      <c r="F14">
        <v>22.177779999999998</v>
      </c>
    </row>
    <row r="16" spans="1:6" x14ac:dyDescent="0.3">
      <c r="B16" s="4" t="s">
        <v>15</v>
      </c>
      <c r="C16" s="19">
        <v>597.6</v>
      </c>
      <c r="D16" s="19">
        <v>6.7409999999999997</v>
      </c>
      <c r="E16" s="19">
        <v>82.05</v>
      </c>
      <c r="F16">
        <f>AVERAGE(F6:F14)</f>
        <v>17.949840239516632</v>
      </c>
    </row>
    <row r="17" spans="1:6" x14ac:dyDescent="0.3">
      <c r="B17" s="4" t="s">
        <v>380</v>
      </c>
      <c r="C17" s="19">
        <v>29.01</v>
      </c>
      <c r="D17" s="19">
        <v>0.34549999999999997</v>
      </c>
      <c r="E17" s="19">
        <v>1.8839999999999999</v>
      </c>
      <c r="F17">
        <f>STDEVA(F6:F14)/SQRT(9)</f>
        <v>1.8844282198823938</v>
      </c>
    </row>
    <row r="19" spans="1:6" x14ac:dyDescent="0.3">
      <c r="B19" s="7" t="s">
        <v>557</v>
      </c>
      <c r="C19" t="s">
        <v>331</v>
      </c>
      <c r="D19" t="s">
        <v>332</v>
      </c>
      <c r="E19" t="s">
        <v>333</v>
      </c>
      <c r="F19" t="s">
        <v>333</v>
      </c>
    </row>
    <row r="20" spans="1:6" x14ac:dyDescent="0.3">
      <c r="C20" t="s">
        <v>334</v>
      </c>
      <c r="D20" t="s">
        <v>334</v>
      </c>
      <c r="E20" t="s">
        <v>335</v>
      </c>
      <c r="F20" t="s">
        <v>336</v>
      </c>
    </row>
    <row r="21" spans="1:6" x14ac:dyDescent="0.3">
      <c r="C21" t="s">
        <v>337</v>
      </c>
      <c r="D21" t="s">
        <v>338</v>
      </c>
      <c r="E21" t="s">
        <v>339</v>
      </c>
      <c r="F21" t="s">
        <v>339</v>
      </c>
    </row>
    <row r="22" spans="1:6" x14ac:dyDescent="0.3">
      <c r="C22" t="s">
        <v>340</v>
      </c>
      <c r="D22" t="s">
        <v>341</v>
      </c>
      <c r="E22" t="s">
        <v>28</v>
      </c>
      <c r="F22" t="s">
        <v>28</v>
      </c>
    </row>
    <row r="23" spans="1:6" x14ac:dyDescent="0.3">
      <c r="A23" s="22" t="s">
        <v>7</v>
      </c>
      <c r="B23" s="22" t="s">
        <v>384</v>
      </c>
      <c r="C23" s="19">
        <v>566.54830000000004</v>
      </c>
      <c r="D23" s="19">
        <v>6.3113650000000003</v>
      </c>
      <c r="E23" s="19">
        <v>80.543189999999996</v>
      </c>
      <c r="F23">
        <v>19.456812110418522</v>
      </c>
    </row>
    <row r="24" spans="1:6" x14ac:dyDescent="0.3">
      <c r="A24" s="22" t="s">
        <v>8</v>
      </c>
      <c r="B24" s="22" t="s">
        <v>384</v>
      </c>
      <c r="C24" s="19">
        <v>285.52350000000001</v>
      </c>
      <c r="D24" s="19">
        <v>3.1812819999999999</v>
      </c>
      <c r="E24" s="19">
        <v>45.217260000000003</v>
      </c>
      <c r="F24">
        <v>54.782737653863265</v>
      </c>
    </row>
    <row r="25" spans="1:6" x14ac:dyDescent="0.3">
      <c r="A25" s="22" t="s">
        <v>9</v>
      </c>
      <c r="B25" s="22" t="s">
        <v>384</v>
      </c>
      <c r="C25" s="19">
        <v>301.95650000000001</v>
      </c>
      <c r="D25" s="19">
        <v>3.3729840000000002</v>
      </c>
      <c r="E25" s="19">
        <v>62.65437</v>
      </c>
      <c r="F25">
        <v>37.345633090313939</v>
      </c>
    </row>
    <row r="26" spans="1:6" x14ac:dyDescent="0.3">
      <c r="A26" s="22" t="s">
        <v>10</v>
      </c>
      <c r="B26" s="22" t="s">
        <v>384</v>
      </c>
      <c r="C26" s="19">
        <v>542.98966700000005</v>
      </c>
      <c r="D26" s="19">
        <v>6.1368600000000004</v>
      </c>
      <c r="E26" s="19">
        <v>82.971996399999995</v>
      </c>
      <c r="F26">
        <f>100-E26</f>
        <v>17.028003600000005</v>
      </c>
    </row>
    <row r="27" spans="1:6" x14ac:dyDescent="0.3">
      <c r="A27" s="22" t="s">
        <v>16</v>
      </c>
      <c r="B27" s="22" t="s">
        <v>384</v>
      </c>
      <c r="C27" s="19">
        <v>440.20833299999998</v>
      </c>
      <c r="D27" s="19">
        <v>5.0325199999999999</v>
      </c>
      <c r="E27" s="19">
        <v>81.071211199999993</v>
      </c>
      <c r="F27">
        <f>100-E27</f>
        <v>18.928788800000007</v>
      </c>
    </row>
    <row r="28" spans="1:6" x14ac:dyDescent="0.3">
      <c r="A28" s="22" t="s">
        <v>354</v>
      </c>
      <c r="B28" s="22" t="s">
        <v>384</v>
      </c>
      <c r="C28" s="19">
        <v>469.43049999999999</v>
      </c>
      <c r="D28" s="19">
        <v>5.2206469999999996</v>
      </c>
      <c r="E28" s="19">
        <v>72.711110000000005</v>
      </c>
      <c r="F28">
        <f>100-E28</f>
        <v>27.288889999999995</v>
      </c>
    </row>
    <row r="29" spans="1:6" x14ac:dyDescent="0.3">
      <c r="A29" s="22" t="s">
        <v>355</v>
      </c>
      <c r="B29" s="22" t="s">
        <v>384</v>
      </c>
      <c r="C29" s="19">
        <v>517.82799999999997</v>
      </c>
      <c r="D29" s="19">
        <v>5.7587599999999997</v>
      </c>
      <c r="E29" s="19">
        <v>79.155559999999994</v>
      </c>
      <c r="F29">
        <f>100-E29</f>
        <v>20.844440000000006</v>
      </c>
    </row>
    <row r="30" spans="1:6" x14ac:dyDescent="0.3">
      <c r="A30" s="22" t="s">
        <v>356</v>
      </c>
      <c r="B30" s="22" t="s">
        <v>384</v>
      </c>
      <c r="C30" s="19">
        <v>504.81259999999997</v>
      </c>
      <c r="D30" s="19">
        <v>5.624644</v>
      </c>
      <c r="E30" s="19">
        <v>84.789839999999998</v>
      </c>
      <c r="F30">
        <v>15.210160000000002</v>
      </c>
    </row>
    <row r="31" spans="1:6" x14ac:dyDescent="0.3">
      <c r="A31" s="22" t="s">
        <v>357</v>
      </c>
      <c r="B31" s="22" t="s">
        <v>384</v>
      </c>
      <c r="C31" s="19">
        <v>549.77800000000002</v>
      </c>
      <c r="D31" s="19">
        <v>6.1294449999999996</v>
      </c>
      <c r="E31" s="19">
        <v>85.503360000000001</v>
      </c>
      <c r="F31">
        <v>14.496639999999999</v>
      </c>
    </row>
    <row r="33" spans="1:6" x14ac:dyDescent="0.3">
      <c r="B33" s="4" t="s">
        <v>15</v>
      </c>
      <c r="C33" s="19">
        <v>464.3</v>
      </c>
      <c r="D33" s="19">
        <v>5.1970000000000001</v>
      </c>
      <c r="E33" s="19">
        <v>74.959999999999994</v>
      </c>
      <c r="F33" s="22">
        <f>AVERAGE(F23:F31)</f>
        <v>25.042456139399526</v>
      </c>
    </row>
    <row r="34" spans="1:6" x14ac:dyDescent="0.3">
      <c r="B34" s="4" t="s">
        <v>380</v>
      </c>
      <c r="C34" s="19">
        <v>34.840000000000003</v>
      </c>
      <c r="D34" s="19">
        <v>0.38929999999999998</v>
      </c>
      <c r="E34" s="19">
        <v>4.4080000000000004</v>
      </c>
      <c r="F34" s="22">
        <f>STDEVA(F23:F31)/SQRT(9)</f>
        <v>4.408354433979536</v>
      </c>
    </row>
    <row r="36" spans="1:6" x14ac:dyDescent="0.3">
      <c r="A36" s="4" t="s">
        <v>331</v>
      </c>
      <c r="B36" s="4"/>
      <c r="C36" s="4"/>
    </row>
    <row r="37" spans="1:6" x14ac:dyDescent="0.3">
      <c r="A37" s="41" t="s">
        <v>400</v>
      </c>
      <c r="B37" s="19"/>
    </row>
    <row r="38" spans="1:6" x14ac:dyDescent="0.3">
      <c r="A38" s="41" t="s">
        <v>393</v>
      </c>
      <c r="B38" s="19">
        <v>1.8800000000000001E-2</v>
      </c>
    </row>
    <row r="39" spans="1:6" x14ac:dyDescent="0.3">
      <c r="A39" s="41" t="s">
        <v>441</v>
      </c>
      <c r="B39" s="42" t="s">
        <v>428</v>
      </c>
    </row>
    <row r="41" spans="1:6" x14ac:dyDescent="0.3">
      <c r="A41" s="4" t="s">
        <v>332</v>
      </c>
      <c r="B41" s="22"/>
    </row>
    <row r="42" spans="1:6" x14ac:dyDescent="0.3">
      <c r="A42" s="41" t="s">
        <v>400</v>
      </c>
      <c r="B42" s="19"/>
    </row>
    <row r="43" spans="1:6" x14ac:dyDescent="0.3">
      <c r="A43" s="41" t="s">
        <v>393</v>
      </c>
      <c r="B43" s="19">
        <v>1.8800000000000001E-2</v>
      </c>
    </row>
    <row r="44" spans="1:6" x14ac:dyDescent="0.3">
      <c r="A44" s="41" t="s">
        <v>441</v>
      </c>
      <c r="B44" s="42" t="s">
        <v>428</v>
      </c>
    </row>
    <row r="46" spans="1:6" x14ac:dyDescent="0.3">
      <c r="A46" s="4" t="s">
        <v>544</v>
      </c>
    </row>
    <row r="47" spans="1:6" x14ac:dyDescent="0.3">
      <c r="A47" s="41" t="s">
        <v>400</v>
      </c>
      <c r="B47" s="19"/>
    </row>
    <row r="48" spans="1:6" x14ac:dyDescent="0.3">
      <c r="A48" s="41" t="s">
        <v>393</v>
      </c>
      <c r="B48" s="19">
        <v>0.37359999999999999</v>
      </c>
    </row>
    <row r="49" spans="1:2" x14ac:dyDescent="0.3">
      <c r="A49" s="41" t="s">
        <v>441</v>
      </c>
      <c r="B49" s="42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baseColWidth="10" defaultRowHeight="14.4" x14ac:dyDescent="0.3"/>
  <cols>
    <col min="1" max="1" width="18" style="27" customWidth="1"/>
    <col min="2" max="7" width="16.33203125" style="27" customWidth="1"/>
  </cols>
  <sheetData>
    <row r="1" spans="1:7" x14ac:dyDescent="0.3">
      <c r="A1" s="70" t="s">
        <v>644</v>
      </c>
      <c r="B1"/>
      <c r="C1"/>
      <c r="D1"/>
      <c r="E1"/>
      <c r="F1"/>
      <c r="G1"/>
    </row>
    <row r="2" spans="1:7" ht="26.4" x14ac:dyDescent="0.3">
      <c r="A2" s="58"/>
      <c r="B2" s="59" t="s">
        <v>402</v>
      </c>
      <c r="C2" s="59" t="s">
        <v>402</v>
      </c>
      <c r="D2" s="59" t="s">
        <v>402</v>
      </c>
      <c r="E2" s="59" t="s">
        <v>402</v>
      </c>
      <c r="F2" s="1"/>
      <c r="G2"/>
    </row>
    <row r="3" spans="1:7" ht="16.8" x14ac:dyDescent="0.3">
      <c r="A3" s="60" t="s">
        <v>633</v>
      </c>
      <c r="B3" s="61">
        <v>3</v>
      </c>
      <c r="C3" s="61">
        <v>6</v>
      </c>
      <c r="D3" s="61">
        <v>9</v>
      </c>
      <c r="E3" s="61">
        <v>12</v>
      </c>
      <c r="F3" s="1"/>
      <c r="G3"/>
    </row>
    <row r="4" spans="1:7" ht="15" x14ac:dyDescent="0.3">
      <c r="A4" s="51" t="s">
        <v>403</v>
      </c>
      <c r="B4" s="62">
        <v>-84.4</v>
      </c>
      <c r="C4" s="62">
        <v>-76.400000000000006</v>
      </c>
      <c r="D4" s="62">
        <v>-67.400000000000006</v>
      </c>
      <c r="E4" s="62">
        <v>-59.4</v>
      </c>
      <c r="F4" s="1"/>
      <c r="G4"/>
    </row>
    <row r="5" spans="1:7" ht="15" x14ac:dyDescent="0.3">
      <c r="A5" s="51" t="s">
        <v>404</v>
      </c>
      <c r="B5" s="62">
        <v>-86.9</v>
      </c>
      <c r="C5" s="62">
        <v>-74.900000000000006</v>
      </c>
      <c r="D5" s="62">
        <v>-66.900000000000006</v>
      </c>
      <c r="E5" s="62">
        <v>-61.9</v>
      </c>
      <c r="F5" s="1"/>
      <c r="G5"/>
    </row>
    <row r="6" spans="1:7" ht="15" x14ac:dyDescent="0.3">
      <c r="A6" s="51" t="s">
        <v>405</v>
      </c>
      <c r="B6" s="62">
        <v>-87.4</v>
      </c>
      <c r="C6" s="62">
        <v>-77.400000000000006</v>
      </c>
      <c r="D6" s="62">
        <v>-75.400000000000006</v>
      </c>
      <c r="E6" s="62">
        <v>-66.400000000000006</v>
      </c>
      <c r="F6" s="1"/>
      <c r="G6"/>
    </row>
    <row r="7" spans="1:7" ht="15" x14ac:dyDescent="0.3">
      <c r="A7" s="51" t="s">
        <v>406</v>
      </c>
      <c r="B7" s="62">
        <v>-87.4</v>
      </c>
      <c r="C7" s="62">
        <v>-84.4</v>
      </c>
      <c r="D7" s="62">
        <v>-73.900000000000006</v>
      </c>
      <c r="E7" s="62">
        <v>-65.400000000000006</v>
      </c>
      <c r="F7" s="1"/>
      <c r="G7"/>
    </row>
    <row r="8" spans="1:7" ht="15" x14ac:dyDescent="0.3">
      <c r="A8" s="51" t="s">
        <v>407</v>
      </c>
      <c r="B8" s="62">
        <v>-87.9</v>
      </c>
      <c r="C8" s="62">
        <v>-76.400000000000006</v>
      </c>
      <c r="D8" s="62">
        <v>-72.900000000000006</v>
      </c>
      <c r="E8" s="62">
        <v>-66.400000000000006</v>
      </c>
      <c r="F8" s="1"/>
      <c r="G8"/>
    </row>
    <row r="9" spans="1:7" ht="15" x14ac:dyDescent="0.3">
      <c r="A9" s="51" t="s">
        <v>408</v>
      </c>
      <c r="B9" s="62">
        <v>-88.4</v>
      </c>
      <c r="C9" s="62">
        <v>-74.400000000000006</v>
      </c>
      <c r="D9" s="62">
        <v>-68.400000000000006</v>
      </c>
      <c r="E9" s="62">
        <v>-58.4</v>
      </c>
      <c r="F9" s="1"/>
      <c r="G9"/>
    </row>
    <row r="10" spans="1:7" ht="15" x14ac:dyDescent="0.3">
      <c r="A10" s="51" t="s">
        <v>409</v>
      </c>
      <c r="B10" s="62">
        <v>-85.6</v>
      </c>
      <c r="C10" s="62">
        <v>-70.099999999999994</v>
      </c>
      <c r="D10" s="62">
        <v>-60.6</v>
      </c>
      <c r="E10" s="62">
        <v>-58.6</v>
      </c>
      <c r="F10" s="1"/>
      <c r="G10"/>
    </row>
    <row r="11" spans="1:7" ht="15" x14ac:dyDescent="0.3">
      <c r="A11" s="51" t="s">
        <v>410</v>
      </c>
      <c r="B11" s="62">
        <v>-80.400000000000006</v>
      </c>
      <c r="C11" s="62">
        <v>-70.400000000000006</v>
      </c>
      <c r="D11" s="62">
        <v>-65.400000000000006</v>
      </c>
      <c r="E11" s="62">
        <v>-58.4</v>
      </c>
      <c r="F11" s="1"/>
      <c r="G11"/>
    </row>
    <row r="12" spans="1:7" x14ac:dyDescent="0.3">
      <c r="A12" s="63"/>
      <c r="B12" s="63"/>
      <c r="C12" s="63"/>
      <c r="D12" s="63"/>
      <c r="E12" s="63"/>
      <c r="F12" s="1"/>
      <c r="G12"/>
    </row>
    <row r="13" spans="1:7" x14ac:dyDescent="0.3">
      <c r="A13" s="57"/>
      <c r="B13" s="57"/>
      <c r="C13" s="57"/>
      <c r="D13" s="57"/>
      <c r="E13" s="57"/>
      <c r="F13" s="1"/>
      <c r="G13"/>
    </row>
    <row r="14" spans="1:7" ht="39.6" x14ac:dyDescent="0.3">
      <c r="A14" s="57"/>
      <c r="B14" s="59"/>
      <c r="C14" s="59" t="s">
        <v>630</v>
      </c>
      <c r="D14" s="59" t="s">
        <v>630</v>
      </c>
      <c r="E14" s="59" t="s">
        <v>630</v>
      </c>
      <c r="F14" s="1"/>
      <c r="G14"/>
    </row>
    <row r="15" spans="1:7" ht="15" x14ac:dyDescent="0.3">
      <c r="A15" s="51" t="s">
        <v>403</v>
      </c>
      <c r="B15" s="62">
        <v>0</v>
      </c>
      <c r="C15" s="62">
        <v>8</v>
      </c>
      <c r="D15" s="62">
        <v>17</v>
      </c>
      <c r="E15" s="62">
        <v>25</v>
      </c>
      <c r="F15" s="1"/>
      <c r="G15"/>
    </row>
    <row r="16" spans="1:7" ht="15" x14ac:dyDescent="0.3">
      <c r="A16" s="51" t="s">
        <v>404</v>
      </c>
      <c r="B16" s="62">
        <v>0</v>
      </c>
      <c r="C16" s="62">
        <v>12</v>
      </c>
      <c r="D16" s="62">
        <v>20</v>
      </c>
      <c r="E16" s="62">
        <v>25</v>
      </c>
      <c r="F16" s="1"/>
      <c r="G16"/>
    </row>
    <row r="17" spans="1:7" ht="15" x14ac:dyDescent="0.3">
      <c r="A17" s="51" t="s">
        <v>405</v>
      </c>
      <c r="B17" s="62">
        <v>0</v>
      </c>
      <c r="C17" s="62">
        <v>10</v>
      </c>
      <c r="D17" s="62">
        <v>12</v>
      </c>
      <c r="E17" s="62">
        <v>21</v>
      </c>
      <c r="F17" s="1"/>
      <c r="G17"/>
    </row>
    <row r="18" spans="1:7" ht="15" x14ac:dyDescent="0.3">
      <c r="A18" s="51" t="s">
        <v>406</v>
      </c>
      <c r="B18" s="62">
        <v>0</v>
      </c>
      <c r="C18" s="62">
        <v>3</v>
      </c>
      <c r="D18" s="62">
        <v>13.5</v>
      </c>
      <c r="E18" s="62">
        <v>22</v>
      </c>
      <c r="F18" s="1"/>
      <c r="G18"/>
    </row>
    <row r="19" spans="1:7" ht="15" x14ac:dyDescent="0.3">
      <c r="A19" s="51" t="s">
        <v>407</v>
      </c>
      <c r="B19" s="62">
        <v>0</v>
      </c>
      <c r="C19" s="62">
        <v>11.5</v>
      </c>
      <c r="D19" s="62">
        <v>15</v>
      </c>
      <c r="E19" s="62">
        <v>21.5</v>
      </c>
      <c r="F19" s="1"/>
      <c r="G19"/>
    </row>
    <row r="20" spans="1:7" ht="15" x14ac:dyDescent="0.3">
      <c r="A20" s="51" t="s">
        <v>408</v>
      </c>
      <c r="B20" s="62">
        <v>0</v>
      </c>
      <c r="C20" s="62">
        <v>14</v>
      </c>
      <c r="D20" s="62">
        <v>20</v>
      </c>
      <c r="E20" s="62">
        <v>30</v>
      </c>
      <c r="F20" s="21"/>
      <c r="G20" s="21"/>
    </row>
    <row r="21" spans="1:7" ht="15" x14ac:dyDescent="0.3">
      <c r="A21" s="51" t="s">
        <v>409</v>
      </c>
      <c r="B21" s="62">
        <v>0</v>
      </c>
      <c r="C21" s="62">
        <v>15.5</v>
      </c>
      <c r="D21" s="62">
        <v>25</v>
      </c>
      <c r="E21" s="62">
        <v>27</v>
      </c>
      <c r="F21" s="1"/>
      <c r="G21"/>
    </row>
    <row r="22" spans="1:7" ht="15" x14ac:dyDescent="0.3">
      <c r="A22" s="51" t="s">
        <v>410</v>
      </c>
      <c r="B22" s="62">
        <v>0</v>
      </c>
      <c r="C22" s="62">
        <v>10</v>
      </c>
      <c r="D22" s="62">
        <v>15</v>
      </c>
      <c r="E22" s="62">
        <v>22</v>
      </c>
      <c r="F22" s="1"/>
      <c r="G22"/>
    </row>
    <row r="23" spans="1:7" x14ac:dyDescent="0.3">
      <c r="A23" s="58"/>
      <c r="B23" s="58"/>
      <c r="C23" s="63"/>
      <c r="D23" s="63"/>
      <c r="E23" s="63"/>
      <c r="F23" s="1"/>
      <c r="G23"/>
    </row>
    <row r="25" spans="1:7" x14ac:dyDescent="0.3">
      <c r="A25" s="22"/>
      <c r="B25" s="22" t="s">
        <v>0</v>
      </c>
      <c r="C25" s="4" t="s">
        <v>632</v>
      </c>
      <c r="D25" s="4" t="s">
        <v>631</v>
      </c>
      <c r="E25" s="4" t="s">
        <v>14</v>
      </c>
    </row>
    <row r="26" spans="1:7" x14ac:dyDescent="0.3">
      <c r="A26" s="22" t="s">
        <v>7</v>
      </c>
      <c r="B26" s="22" t="s">
        <v>403</v>
      </c>
      <c r="C26" s="22">
        <v>-84.92</v>
      </c>
      <c r="D26" s="22">
        <v>-76.42</v>
      </c>
      <c r="E26" s="22">
        <f>D26-C26</f>
        <v>8.5</v>
      </c>
    </row>
    <row r="27" spans="1:7" x14ac:dyDescent="0.3">
      <c r="A27" s="22" t="s">
        <v>7</v>
      </c>
      <c r="B27" s="22" t="s">
        <v>404</v>
      </c>
      <c r="C27" s="22">
        <v>-96.160000000000011</v>
      </c>
      <c r="D27" s="22">
        <v>-89.320000000000007</v>
      </c>
      <c r="E27" s="22">
        <f>D27-C27</f>
        <v>6.8400000000000034</v>
      </c>
    </row>
    <row r="28" spans="1:7" x14ac:dyDescent="0.3">
      <c r="A28" s="22" t="s">
        <v>7</v>
      </c>
      <c r="B28" s="22" t="s">
        <v>405</v>
      </c>
      <c r="C28" s="22">
        <v>-86.46</v>
      </c>
      <c r="D28" s="22">
        <v>-81.86</v>
      </c>
      <c r="E28" s="22">
        <v>4.6000000000000085</v>
      </c>
    </row>
    <row r="29" spans="1:7" x14ac:dyDescent="0.3">
      <c r="A29" s="22" t="s">
        <v>8</v>
      </c>
      <c r="B29" s="22" t="s">
        <v>406</v>
      </c>
      <c r="C29" s="22">
        <v>-91.17</v>
      </c>
      <c r="D29" s="22">
        <v>-85.62</v>
      </c>
      <c r="E29" s="22">
        <f>D29-C29</f>
        <v>5.5499999999999972</v>
      </c>
    </row>
    <row r="30" spans="1:7" x14ac:dyDescent="0.3">
      <c r="A30" s="22" t="s">
        <v>9</v>
      </c>
      <c r="B30" s="22" t="s">
        <v>407</v>
      </c>
      <c r="C30" s="22">
        <v>-91.320000000000007</v>
      </c>
      <c r="D30" s="22">
        <v>-67.210000000000008</v>
      </c>
      <c r="E30" s="22">
        <f>D30-C30</f>
        <v>24.11</v>
      </c>
    </row>
    <row r="31" spans="1:7" x14ac:dyDescent="0.3">
      <c r="A31" s="22" t="s">
        <v>9</v>
      </c>
      <c r="B31" s="22" t="s">
        <v>408</v>
      </c>
      <c r="C31" s="22">
        <v>-83.26</v>
      </c>
      <c r="D31" s="22">
        <v>-73.95</v>
      </c>
      <c r="E31" s="22">
        <f>D31-C31</f>
        <v>9.3100000000000023</v>
      </c>
    </row>
    <row r="32" spans="1:7" x14ac:dyDescent="0.3">
      <c r="A32" s="22" t="s">
        <v>10</v>
      </c>
      <c r="B32" s="22" t="s">
        <v>409</v>
      </c>
      <c r="C32" s="22">
        <v>-89.47</v>
      </c>
      <c r="D32" s="22">
        <v>-82.2</v>
      </c>
      <c r="E32" s="22">
        <f>D32-C32</f>
        <v>7.269999999999996</v>
      </c>
    </row>
    <row r="33" spans="1:5" x14ac:dyDescent="0.3">
      <c r="A33" s="22" t="s">
        <v>10</v>
      </c>
      <c r="B33" s="22" t="s">
        <v>410</v>
      </c>
      <c r="C33" s="22">
        <v>-86.73</v>
      </c>
      <c r="D33" s="22">
        <v>-68</v>
      </c>
      <c r="E33" s="22">
        <f>D33-C33</f>
        <v>18.730000000000004</v>
      </c>
    </row>
    <row r="34" spans="1:5" x14ac:dyDescent="0.3">
      <c r="A34" s="22"/>
      <c r="B34" s="22"/>
      <c r="C34" s="22"/>
      <c r="D34" s="22"/>
      <c r="E34" s="22"/>
    </row>
    <row r="35" spans="1:5" x14ac:dyDescent="0.3">
      <c r="A35" s="22"/>
      <c r="B35" s="22" t="s">
        <v>15</v>
      </c>
      <c r="C35" s="22">
        <f>AVERAGE(C26:C33)</f>
        <v>-88.686250000000015</v>
      </c>
      <c r="D35" s="22">
        <f>AVERAGE(D26:D33)</f>
        <v>-78.072500000000005</v>
      </c>
      <c r="E35" s="22">
        <f>AVERAGE(E26:E33)</f>
        <v>10.613750000000001</v>
      </c>
    </row>
    <row r="36" spans="1:5" x14ac:dyDescent="0.3">
      <c r="A36" s="22"/>
      <c r="B36" s="22" t="s">
        <v>380</v>
      </c>
      <c r="C36" s="11">
        <v>1.476</v>
      </c>
      <c r="D36" s="11">
        <v>2.847</v>
      </c>
      <c r="E36" s="22">
        <f>STDEVA(E26:E33)/SQRT(8)</f>
        <v>2.4691619005386074</v>
      </c>
    </row>
    <row r="37" spans="1:5" x14ac:dyDescent="0.3">
      <c r="A37" s="22"/>
    </row>
    <row r="38" spans="1:5" x14ac:dyDescent="0.3">
      <c r="A38" s="22"/>
    </row>
    <row r="40" spans="1:5" ht="43.2" x14ac:dyDescent="0.3">
      <c r="A40" s="27" t="s">
        <v>423</v>
      </c>
      <c r="B40" s="24" t="s">
        <v>411</v>
      </c>
      <c r="C40" s="11" t="s">
        <v>412</v>
      </c>
      <c r="D40" s="11" t="s">
        <v>413</v>
      </c>
      <c r="E40" s="11" t="s">
        <v>414</v>
      </c>
    </row>
    <row r="41" spans="1:5" x14ac:dyDescent="0.3">
      <c r="B41" s="24" t="s">
        <v>415</v>
      </c>
      <c r="C41" s="11" t="s">
        <v>416</v>
      </c>
      <c r="D41" s="11" t="s">
        <v>417</v>
      </c>
      <c r="E41" s="11">
        <v>0.19739999999999999</v>
      </c>
    </row>
    <row r="42" spans="1:5" x14ac:dyDescent="0.3">
      <c r="B42" s="24" t="s">
        <v>418</v>
      </c>
      <c r="C42" s="11" t="s">
        <v>419</v>
      </c>
      <c r="D42" s="11" t="s">
        <v>420</v>
      </c>
      <c r="E42" s="11">
        <v>2.5999999999999999E-3</v>
      </c>
    </row>
    <row r="43" spans="1:5" x14ac:dyDescent="0.3">
      <c r="B43" s="24" t="s">
        <v>421</v>
      </c>
      <c r="C43" s="11" t="s">
        <v>419</v>
      </c>
      <c r="D43" s="11" t="s">
        <v>422</v>
      </c>
      <c r="E43" s="11" t="s">
        <v>386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/>
  </sheetViews>
  <sheetFormatPr baseColWidth="10" defaultRowHeight="14.4" x14ac:dyDescent="0.3"/>
  <cols>
    <col min="1" max="1" width="16.6640625" customWidth="1"/>
  </cols>
  <sheetData>
    <row r="1" spans="1:10" x14ac:dyDescent="0.3">
      <c r="A1" s="70" t="s">
        <v>656</v>
      </c>
      <c r="B1" s="3" t="s">
        <v>621</v>
      </c>
      <c r="C1" s="3" t="s">
        <v>628</v>
      </c>
      <c r="D1" s="3" t="s">
        <v>621</v>
      </c>
      <c r="E1" s="3" t="s">
        <v>628</v>
      </c>
      <c r="F1" s="3" t="s">
        <v>621</v>
      </c>
      <c r="G1" s="3" t="s">
        <v>628</v>
      </c>
      <c r="I1" s="45"/>
      <c r="J1" s="45"/>
    </row>
    <row r="2" spans="1:10" x14ac:dyDescent="0.3">
      <c r="B2" s="22" t="s">
        <v>30</v>
      </c>
      <c r="C2" s="22" t="s">
        <v>30</v>
      </c>
      <c r="D2" s="22" t="s">
        <v>31</v>
      </c>
      <c r="E2" s="22" t="s">
        <v>31</v>
      </c>
      <c r="F2" s="22" t="s">
        <v>29</v>
      </c>
      <c r="G2" s="22" t="s">
        <v>29</v>
      </c>
      <c r="I2" s="22"/>
    </row>
    <row r="3" spans="1:10" x14ac:dyDescent="0.3">
      <c r="A3" t="s">
        <v>7</v>
      </c>
      <c r="B3" s="22">
        <v>4.546666666666666</v>
      </c>
      <c r="C3" s="22">
        <v>5.8299999999999992</v>
      </c>
      <c r="D3" s="22">
        <v>2.56</v>
      </c>
      <c r="E3" s="22">
        <v>5.8874999999999993</v>
      </c>
      <c r="F3" s="22">
        <v>0.05</v>
      </c>
      <c r="G3" s="22">
        <v>3.3333333333333333E-2</v>
      </c>
      <c r="I3" s="22"/>
    </row>
    <row r="4" spans="1:10" x14ac:dyDescent="0.3">
      <c r="A4" s="22" t="s">
        <v>8</v>
      </c>
      <c r="B4" s="22">
        <v>6.9701604231809897</v>
      </c>
      <c r="C4" s="22">
        <v>9.3498973846435494</v>
      </c>
      <c r="D4" s="22">
        <v>8.99613646477221</v>
      </c>
      <c r="E4" s="22">
        <v>29.97</v>
      </c>
      <c r="F4" s="22">
        <v>0.91531980454566764</v>
      </c>
      <c r="G4" s="22">
        <v>0.69519226253032651</v>
      </c>
      <c r="I4" s="22"/>
    </row>
    <row r="5" spans="1:10" x14ac:dyDescent="0.3">
      <c r="A5" s="22" t="s">
        <v>9</v>
      </c>
      <c r="B5" s="22">
        <v>7.1201722851266673</v>
      </c>
      <c r="C5" s="22">
        <v>11.852985807877298</v>
      </c>
      <c r="D5" s="22">
        <v>2.2000000000000002</v>
      </c>
      <c r="E5" s="22">
        <v>4.87</v>
      </c>
      <c r="F5" s="22">
        <v>0.36794738673766847</v>
      </c>
      <c r="G5" s="22">
        <v>0.20612539836332364</v>
      </c>
      <c r="I5" s="22"/>
    </row>
    <row r="6" spans="1:10" x14ac:dyDescent="0.3">
      <c r="A6" s="22" t="s">
        <v>10</v>
      </c>
      <c r="B6" s="22">
        <v>5.9313309972102797</v>
      </c>
      <c r="C6" s="22">
        <v>7.2054612804052471</v>
      </c>
      <c r="D6" s="22">
        <v>0.96836496030367303</v>
      </c>
      <c r="E6" s="22">
        <v>3.5445889776583699</v>
      </c>
      <c r="F6" s="22">
        <v>0.53085350553194655</v>
      </c>
      <c r="G6" s="22">
        <v>0.32105184873676318</v>
      </c>
      <c r="I6" s="22"/>
    </row>
    <row r="7" spans="1:10" x14ac:dyDescent="0.3">
      <c r="A7" s="22" t="s">
        <v>10</v>
      </c>
      <c r="B7" s="22">
        <v>10.616856363084541</v>
      </c>
      <c r="C7" s="22">
        <v>13</v>
      </c>
      <c r="D7" s="22">
        <v>7.0793374565972202</v>
      </c>
      <c r="E7" s="22">
        <v>8.3000000000000007</v>
      </c>
      <c r="F7" s="22">
        <v>0.1</v>
      </c>
      <c r="G7" s="22">
        <v>4.4444444444444446E-2</v>
      </c>
      <c r="I7" s="22"/>
    </row>
    <row r="8" spans="1:10" x14ac:dyDescent="0.3">
      <c r="A8" s="22" t="s">
        <v>16</v>
      </c>
      <c r="B8" s="22">
        <v>8.2680000000000007</v>
      </c>
      <c r="C8" s="22">
        <v>10.273250000000001</v>
      </c>
      <c r="D8" s="22">
        <v>5.37</v>
      </c>
      <c r="E8" s="22">
        <v>6.9841315789473697</v>
      </c>
      <c r="F8" s="22">
        <v>0.27328377787494545</v>
      </c>
      <c r="G8" s="22">
        <v>0.22</v>
      </c>
      <c r="I8" s="22"/>
    </row>
    <row r="9" spans="1:10" x14ac:dyDescent="0.3">
      <c r="A9" s="22" t="s">
        <v>16</v>
      </c>
      <c r="B9" s="22">
        <v>6.4269405162179574</v>
      </c>
      <c r="C9" s="22">
        <v>7.9429242756901814</v>
      </c>
      <c r="D9" s="22">
        <v>1.345</v>
      </c>
      <c r="E9" s="22">
        <v>2.629</v>
      </c>
      <c r="F9" s="22">
        <v>0.46851178628427004</v>
      </c>
      <c r="G9" s="22">
        <v>0.33152584591880419</v>
      </c>
      <c r="I9" s="22"/>
    </row>
    <row r="10" spans="1:10" x14ac:dyDescent="0.3">
      <c r="A10" s="22" t="s">
        <v>354</v>
      </c>
      <c r="B10" s="22">
        <v>0.31</v>
      </c>
      <c r="C10" s="22">
        <v>0.68</v>
      </c>
      <c r="D10" s="22">
        <v>2.08</v>
      </c>
      <c r="E10" s="22">
        <v>4.46</v>
      </c>
      <c r="F10" s="22">
        <v>1.5</v>
      </c>
      <c r="G10" s="22">
        <v>0.8</v>
      </c>
      <c r="I10" s="22"/>
    </row>
    <row r="11" spans="1:10" x14ac:dyDescent="0.3">
      <c r="A11" s="22" t="s">
        <v>355</v>
      </c>
      <c r="B11" s="22">
        <v>4.1500000000000004</v>
      </c>
      <c r="C11" s="22">
        <v>5.28</v>
      </c>
      <c r="D11" s="22">
        <v>0.57599999999999996</v>
      </c>
      <c r="E11" s="22">
        <v>2.04</v>
      </c>
      <c r="F11" s="22">
        <v>1.6</v>
      </c>
      <c r="G11" s="22">
        <v>0.5</v>
      </c>
      <c r="I11" s="22"/>
    </row>
    <row r="13" spans="1:10" x14ac:dyDescent="0.3">
      <c r="A13" t="s">
        <v>15</v>
      </c>
      <c r="B13" s="19">
        <v>6.0380000000000003</v>
      </c>
      <c r="C13" s="19">
        <v>7.9349999999999996</v>
      </c>
      <c r="D13" s="11">
        <v>3.464</v>
      </c>
      <c r="E13" s="11">
        <v>7.6319999999999997</v>
      </c>
      <c r="F13" s="11">
        <v>0.64510000000000001</v>
      </c>
      <c r="G13" s="11">
        <v>0.35020000000000001</v>
      </c>
      <c r="J13" s="22"/>
    </row>
    <row r="14" spans="1:10" x14ac:dyDescent="0.3">
      <c r="A14" t="s">
        <v>380</v>
      </c>
      <c r="B14" s="19">
        <v>0.96279999999999999</v>
      </c>
      <c r="C14" s="19">
        <v>1.2529999999999999</v>
      </c>
      <c r="D14" s="11">
        <v>0.9909</v>
      </c>
      <c r="E14" s="11">
        <v>2.871</v>
      </c>
      <c r="F14" s="11">
        <v>0.191</v>
      </c>
      <c r="G14" s="11">
        <v>8.949E-2</v>
      </c>
      <c r="J14" s="22"/>
    </row>
    <row r="16" spans="1:10" x14ac:dyDescent="0.3">
      <c r="A16" s="22" t="s">
        <v>30</v>
      </c>
      <c r="C16" s="22" t="s">
        <v>31</v>
      </c>
      <c r="E16" s="22" t="s">
        <v>29</v>
      </c>
    </row>
    <row r="17" spans="1:14" x14ac:dyDescent="0.3">
      <c r="A17" s="24" t="s">
        <v>392</v>
      </c>
      <c r="B17" s="11"/>
      <c r="C17" s="24" t="s">
        <v>392</v>
      </c>
      <c r="D17" s="11"/>
      <c r="E17" s="24" t="s">
        <v>392</v>
      </c>
      <c r="F17" s="11"/>
    </row>
    <row r="18" spans="1:14" x14ac:dyDescent="0.3">
      <c r="A18" s="24" t="s">
        <v>393</v>
      </c>
      <c r="B18" s="11">
        <v>3.8999999999999998E-3</v>
      </c>
      <c r="C18" s="24" t="s">
        <v>393</v>
      </c>
      <c r="D18" s="11">
        <v>3.8999999999999998E-3</v>
      </c>
      <c r="E18" s="24" t="s">
        <v>393</v>
      </c>
      <c r="F18" s="11">
        <v>3.8999999999999998E-3</v>
      </c>
    </row>
    <row r="19" spans="1:14" x14ac:dyDescent="0.3">
      <c r="A19" s="24" t="s">
        <v>441</v>
      </c>
      <c r="B19" s="11" t="s">
        <v>420</v>
      </c>
      <c r="C19" s="24" t="s">
        <v>441</v>
      </c>
      <c r="D19" s="11" t="s">
        <v>420</v>
      </c>
      <c r="E19" s="24" t="s">
        <v>441</v>
      </c>
      <c r="F19" s="11" t="s">
        <v>420</v>
      </c>
    </row>
    <row r="21" spans="1:14" x14ac:dyDescent="0.3">
      <c r="B21" s="3" t="s">
        <v>394</v>
      </c>
      <c r="C21" s="3" t="s">
        <v>628</v>
      </c>
      <c r="D21" s="3" t="s">
        <v>394</v>
      </c>
      <c r="E21" s="3" t="s">
        <v>628</v>
      </c>
      <c r="F21" s="3" t="s">
        <v>394</v>
      </c>
      <c r="G21" s="3" t="s">
        <v>628</v>
      </c>
      <c r="I21" s="45"/>
      <c r="J21" s="45"/>
    </row>
    <row r="22" spans="1:14" x14ac:dyDescent="0.3">
      <c r="B22" s="22" t="s">
        <v>30</v>
      </c>
      <c r="C22" s="22" t="s">
        <v>30</v>
      </c>
      <c r="D22" s="22" t="s">
        <v>31</v>
      </c>
      <c r="E22" s="22" t="s">
        <v>31</v>
      </c>
      <c r="F22" s="22" t="s">
        <v>29</v>
      </c>
      <c r="G22" s="22" t="s">
        <v>29</v>
      </c>
    </row>
    <row r="23" spans="1:14" x14ac:dyDescent="0.3">
      <c r="A23" s="22" t="s">
        <v>7</v>
      </c>
      <c r="B23" s="22">
        <v>12.383333333333333</v>
      </c>
      <c r="C23" s="22">
        <v>17.408750000000001</v>
      </c>
      <c r="D23" s="22">
        <v>0.62066666666666659</v>
      </c>
      <c r="E23" s="22">
        <v>7.0462500000000006</v>
      </c>
      <c r="F23" s="22">
        <v>1.5</v>
      </c>
      <c r="G23" s="22">
        <v>0.4</v>
      </c>
    </row>
    <row r="24" spans="1:14" x14ac:dyDescent="0.3">
      <c r="A24" s="22" t="s">
        <v>7</v>
      </c>
      <c r="B24" s="22">
        <v>29.043749999999999</v>
      </c>
      <c r="C24" s="22">
        <v>38.805</v>
      </c>
      <c r="D24" s="22">
        <v>6.7437499999999995</v>
      </c>
      <c r="E24" s="22">
        <v>11.4975</v>
      </c>
      <c r="F24" s="22">
        <f>8/50</f>
        <v>0.16</v>
      </c>
      <c r="G24" s="22">
        <v>0.08</v>
      </c>
    </row>
    <row r="25" spans="1:14" x14ac:dyDescent="0.3">
      <c r="A25" s="22" t="s">
        <v>7</v>
      </c>
      <c r="B25" s="22">
        <v>7.2354545454545445</v>
      </c>
      <c r="C25" s="22">
        <v>11.845714285714283</v>
      </c>
      <c r="D25" s="22">
        <v>0.64363636363636367</v>
      </c>
      <c r="E25" s="22">
        <v>4.1342857142857143</v>
      </c>
      <c r="F25" s="22">
        <v>1.1000000000000001</v>
      </c>
      <c r="G25" s="22">
        <v>0.11666666666666667</v>
      </c>
    </row>
    <row r="26" spans="1:14" x14ac:dyDescent="0.3">
      <c r="A26" s="22" t="s">
        <v>8</v>
      </c>
      <c r="B26" s="22">
        <v>39.383000000000003</v>
      </c>
      <c r="C26" s="22">
        <v>40.814999999999998</v>
      </c>
      <c r="D26" s="22">
        <v>1.274</v>
      </c>
      <c r="E26" s="22">
        <v>12.458333333333334</v>
      </c>
      <c r="F26" s="22">
        <v>0.5</v>
      </c>
      <c r="G26" s="22">
        <v>0.06</v>
      </c>
    </row>
    <row r="27" spans="1:14" x14ac:dyDescent="0.3">
      <c r="A27" s="22" t="s">
        <v>9</v>
      </c>
      <c r="B27" s="22">
        <v>4.55</v>
      </c>
      <c r="C27" s="22">
        <v>8.8800000000000008</v>
      </c>
      <c r="D27" s="22">
        <v>0.1</v>
      </c>
      <c r="E27" s="22">
        <v>0.23400000000000001</v>
      </c>
      <c r="F27" s="22">
        <v>3</v>
      </c>
      <c r="G27" s="22">
        <v>1.28</v>
      </c>
    </row>
    <row r="28" spans="1:14" x14ac:dyDescent="0.3">
      <c r="A28" s="22" t="s">
        <v>9</v>
      </c>
      <c r="B28" s="22">
        <v>22</v>
      </c>
      <c r="C28" s="22">
        <v>25</v>
      </c>
      <c r="D28" s="22">
        <v>1.1499999999999999</v>
      </c>
      <c r="E28" s="22">
        <v>37</v>
      </c>
      <c r="F28" s="22">
        <v>0.83333333333333337</v>
      </c>
      <c r="G28" s="22">
        <v>0.05</v>
      </c>
    </row>
    <row r="30" spans="1:14" x14ac:dyDescent="0.3">
      <c r="A30" s="22" t="s">
        <v>15</v>
      </c>
      <c r="B30" s="19">
        <v>19.100000000000001</v>
      </c>
      <c r="C30" s="19">
        <v>23.79</v>
      </c>
      <c r="D30" s="11">
        <v>1.7549999999999999</v>
      </c>
      <c r="E30" s="11">
        <v>12.06</v>
      </c>
      <c r="F30" s="11">
        <v>1.1819999999999999</v>
      </c>
      <c r="G30" s="11">
        <v>0.33110000000000001</v>
      </c>
      <c r="J30" s="22"/>
    </row>
    <row r="31" spans="1:14" x14ac:dyDescent="0.3">
      <c r="A31" s="22" t="s">
        <v>380</v>
      </c>
      <c r="B31" s="19">
        <v>5.5270000000000001</v>
      </c>
      <c r="C31" s="19">
        <v>5.5449999999999999</v>
      </c>
      <c r="D31" s="11">
        <v>1.012</v>
      </c>
      <c r="E31" s="11">
        <v>5.3239999999999998</v>
      </c>
      <c r="F31" s="11">
        <v>0.41</v>
      </c>
      <c r="G31" s="11">
        <v>0.19719999999999999</v>
      </c>
      <c r="J31" s="22"/>
      <c r="M31" s="11"/>
      <c r="N31" s="11"/>
    </row>
    <row r="33" spans="1:6" x14ac:dyDescent="0.3">
      <c r="A33" s="22" t="s">
        <v>30</v>
      </c>
      <c r="C33" s="22" t="s">
        <v>31</v>
      </c>
      <c r="E33" s="22" t="s">
        <v>29</v>
      </c>
    </row>
    <row r="34" spans="1:6" x14ac:dyDescent="0.3">
      <c r="A34" s="41" t="s">
        <v>392</v>
      </c>
      <c r="B34" s="19"/>
      <c r="C34" s="41" t="s">
        <v>392</v>
      </c>
      <c r="D34" s="19"/>
      <c r="E34" s="41" t="s">
        <v>392</v>
      </c>
      <c r="F34" s="19"/>
    </row>
    <row r="35" spans="1:6" x14ac:dyDescent="0.3">
      <c r="A35" s="41" t="s">
        <v>393</v>
      </c>
      <c r="B35" s="19">
        <v>3.1300000000000001E-2</v>
      </c>
      <c r="C35" s="41" t="s">
        <v>393</v>
      </c>
      <c r="D35" s="19">
        <v>3.1300000000000001E-2</v>
      </c>
      <c r="E35" s="41" t="s">
        <v>393</v>
      </c>
      <c r="F35" s="19">
        <v>3.1300000000000001E-2</v>
      </c>
    </row>
    <row r="36" spans="1:6" x14ac:dyDescent="0.3">
      <c r="A36" s="41" t="s">
        <v>441</v>
      </c>
      <c r="B36" s="42" t="s">
        <v>428</v>
      </c>
      <c r="C36" s="41" t="s">
        <v>441</v>
      </c>
      <c r="D36" s="42" t="s">
        <v>428</v>
      </c>
      <c r="E36" s="41" t="s">
        <v>441</v>
      </c>
      <c r="F36" s="42" t="s">
        <v>428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1" x14ac:dyDescent="0.3">
      <c r="A1" s="70" t="s">
        <v>663</v>
      </c>
      <c r="B1" s="1"/>
      <c r="C1" s="15" t="s">
        <v>556</v>
      </c>
    </row>
    <row r="2" spans="1:11" x14ac:dyDescent="0.3">
      <c r="A2" s="22"/>
      <c r="B2" s="22"/>
      <c r="C2" s="22" t="s">
        <v>0</v>
      </c>
      <c r="D2" t="s">
        <v>518</v>
      </c>
      <c r="K2" s="22"/>
    </row>
    <row r="3" spans="1:11" x14ac:dyDescent="0.3">
      <c r="A3" s="14" t="s">
        <v>7</v>
      </c>
      <c r="B3" s="22" t="s">
        <v>308</v>
      </c>
      <c r="C3" s="22" t="s">
        <v>12</v>
      </c>
      <c r="D3">
        <v>-87.256877136230429</v>
      </c>
      <c r="J3" s="14"/>
    </row>
    <row r="4" spans="1:11" x14ac:dyDescent="0.3">
      <c r="A4" s="14" t="s">
        <v>7</v>
      </c>
      <c r="B4" s="22" t="s">
        <v>309</v>
      </c>
      <c r="C4" s="22" t="s">
        <v>12</v>
      </c>
      <c r="D4">
        <v>-90.239802551269506</v>
      </c>
      <c r="J4" s="14"/>
    </row>
    <row r="5" spans="1:11" x14ac:dyDescent="0.3">
      <c r="A5" s="14" t="s">
        <v>7</v>
      </c>
      <c r="B5" s="22" t="s">
        <v>310</v>
      </c>
      <c r="C5" s="22" t="s">
        <v>12</v>
      </c>
      <c r="D5">
        <v>-85.113825988769534</v>
      </c>
      <c r="J5" s="14"/>
    </row>
    <row r="6" spans="1:11" x14ac:dyDescent="0.3">
      <c r="A6" s="14" t="s">
        <v>7</v>
      </c>
      <c r="B6" s="22" t="s">
        <v>311</v>
      </c>
      <c r="C6" s="22" t="s">
        <v>12</v>
      </c>
      <c r="D6">
        <v>-87.181396484374957</v>
      </c>
      <c r="J6" s="14"/>
    </row>
    <row r="7" spans="1:11" x14ac:dyDescent="0.3">
      <c r="A7" s="14" t="s">
        <v>7</v>
      </c>
      <c r="B7" s="22" t="s">
        <v>376</v>
      </c>
      <c r="C7" s="22" t="s">
        <v>12</v>
      </c>
      <c r="D7">
        <v>-91.626301574706986</v>
      </c>
      <c r="J7" s="14"/>
    </row>
    <row r="8" spans="1:11" x14ac:dyDescent="0.3">
      <c r="A8" s="14" t="s">
        <v>7</v>
      </c>
      <c r="B8" s="22" t="s">
        <v>378</v>
      </c>
      <c r="C8" s="22" t="s">
        <v>12</v>
      </c>
      <c r="D8">
        <v>-89.207383946009983</v>
      </c>
      <c r="J8" s="14"/>
    </row>
    <row r="9" spans="1:11" x14ac:dyDescent="0.3">
      <c r="A9" s="14" t="s">
        <v>7</v>
      </c>
      <c r="B9" s="22" t="s">
        <v>379</v>
      </c>
      <c r="C9" s="22" t="s">
        <v>12</v>
      </c>
      <c r="D9">
        <v>-89.796132659912075</v>
      </c>
      <c r="J9" s="14"/>
    </row>
    <row r="10" spans="1:11" x14ac:dyDescent="0.3">
      <c r="A10" s="14" t="s">
        <v>8</v>
      </c>
      <c r="B10" s="22" t="s">
        <v>545</v>
      </c>
      <c r="C10" s="22" t="s">
        <v>12</v>
      </c>
      <c r="D10">
        <v>-90.4</v>
      </c>
      <c r="J10" s="14"/>
    </row>
    <row r="11" spans="1:11" x14ac:dyDescent="0.3">
      <c r="A11" s="14" t="s">
        <v>8</v>
      </c>
      <c r="B11" s="22" t="s">
        <v>546</v>
      </c>
      <c r="C11" s="22" t="s">
        <v>12</v>
      </c>
      <c r="D11">
        <v>-83.4</v>
      </c>
      <c r="J11" s="14"/>
    </row>
    <row r="12" spans="1:11" x14ac:dyDescent="0.3">
      <c r="A12" s="14" t="s">
        <v>8</v>
      </c>
      <c r="B12" s="22" t="s">
        <v>547</v>
      </c>
      <c r="C12" s="22" t="s">
        <v>12</v>
      </c>
      <c r="D12">
        <v>-97.7</v>
      </c>
      <c r="J12" s="14"/>
    </row>
    <row r="13" spans="1:11" x14ac:dyDescent="0.3">
      <c r="A13" s="14" t="s">
        <v>8</v>
      </c>
      <c r="B13" s="22" t="s">
        <v>548</v>
      </c>
      <c r="C13" s="22" t="s">
        <v>12</v>
      </c>
      <c r="D13">
        <v>-89.4</v>
      </c>
      <c r="J13" s="14"/>
    </row>
    <row r="14" spans="1:11" x14ac:dyDescent="0.3">
      <c r="A14" s="14" t="s">
        <v>9</v>
      </c>
      <c r="B14" s="22" t="s">
        <v>549</v>
      </c>
      <c r="C14" s="22" t="s">
        <v>12</v>
      </c>
      <c r="D14">
        <v>-88.4</v>
      </c>
      <c r="J14" s="14"/>
    </row>
    <row r="15" spans="1:11" x14ac:dyDescent="0.3">
      <c r="A15" s="14" t="s">
        <v>9</v>
      </c>
      <c r="B15" s="22" t="s">
        <v>550</v>
      </c>
      <c r="C15" s="22" t="s">
        <v>12</v>
      </c>
      <c r="D15">
        <v>-83.54</v>
      </c>
      <c r="J15" s="14"/>
    </row>
    <row r="16" spans="1:11" x14ac:dyDescent="0.3">
      <c r="J16" s="14"/>
    </row>
    <row r="17" spans="1:13" x14ac:dyDescent="0.3">
      <c r="C17" t="s">
        <v>15</v>
      </c>
      <c r="D17" s="11">
        <v>-88.71</v>
      </c>
      <c r="J17" s="22"/>
      <c r="K17" s="22"/>
    </row>
    <row r="18" spans="1:13" x14ac:dyDescent="0.3">
      <c r="C18" t="s">
        <v>380</v>
      </c>
      <c r="D18" s="11">
        <v>1.04</v>
      </c>
      <c r="E18" s="22"/>
    </row>
    <row r="19" spans="1:13" x14ac:dyDescent="0.3">
      <c r="L19" s="11"/>
      <c r="M19" s="11"/>
    </row>
    <row r="20" spans="1:13" x14ac:dyDescent="0.3">
      <c r="C20" s="7" t="s">
        <v>557</v>
      </c>
    </row>
    <row r="21" spans="1:13" x14ac:dyDescent="0.3">
      <c r="C21" s="22" t="s">
        <v>0</v>
      </c>
      <c r="D21" s="22" t="s">
        <v>518</v>
      </c>
    </row>
    <row r="22" spans="1:13" x14ac:dyDescent="0.3">
      <c r="A22" s="14" t="s">
        <v>7</v>
      </c>
      <c r="B22" s="22" t="s">
        <v>308</v>
      </c>
      <c r="C22" s="22" t="s">
        <v>33</v>
      </c>
      <c r="D22" s="22">
        <v>-73.194666290283166</v>
      </c>
    </row>
    <row r="23" spans="1:13" x14ac:dyDescent="0.3">
      <c r="A23" s="14" t="s">
        <v>7</v>
      </c>
      <c r="B23" s="22" t="s">
        <v>309</v>
      </c>
      <c r="C23" s="22" t="s">
        <v>33</v>
      </c>
      <c r="D23" s="22">
        <v>-90.022447967529274</v>
      </c>
    </row>
    <row r="24" spans="1:13" x14ac:dyDescent="0.3">
      <c r="A24" s="14" t="s">
        <v>7</v>
      </c>
      <c r="B24" s="22" t="s">
        <v>310</v>
      </c>
      <c r="C24" s="22" t="s">
        <v>33</v>
      </c>
      <c r="D24" s="22">
        <v>-82.692497253417912</v>
      </c>
    </row>
    <row r="25" spans="1:13" x14ac:dyDescent="0.3">
      <c r="A25" s="14" t="s">
        <v>7</v>
      </c>
      <c r="B25" s="22" t="s">
        <v>311</v>
      </c>
      <c r="C25" s="22" t="s">
        <v>33</v>
      </c>
      <c r="D25" s="22">
        <v>-82.573515319824182</v>
      </c>
    </row>
    <row r="26" spans="1:13" x14ac:dyDescent="0.3">
      <c r="A26" s="14" t="s">
        <v>7</v>
      </c>
      <c r="B26" s="22" t="s">
        <v>376</v>
      </c>
      <c r="C26" s="22" t="s">
        <v>33</v>
      </c>
      <c r="D26" s="22">
        <v>-81.951511383056584</v>
      </c>
    </row>
    <row r="27" spans="1:13" x14ac:dyDescent="0.3">
      <c r="A27" s="14" t="s">
        <v>8</v>
      </c>
      <c r="B27" s="22" t="s">
        <v>378</v>
      </c>
      <c r="C27" s="22" t="s">
        <v>5</v>
      </c>
      <c r="D27" s="22">
        <v>-78.290000000000006</v>
      </c>
      <c r="J27" s="22"/>
      <c r="K27" s="22"/>
      <c r="L27" s="22"/>
    </row>
    <row r="28" spans="1:13" x14ac:dyDescent="0.3">
      <c r="A28" s="14" t="s">
        <v>8</v>
      </c>
      <c r="B28" s="22" t="s">
        <v>379</v>
      </c>
      <c r="C28" s="22" t="s">
        <v>5</v>
      </c>
      <c r="D28" s="22">
        <v>-75.59</v>
      </c>
      <c r="J28" s="14"/>
      <c r="K28" s="11"/>
      <c r="L28" s="11"/>
    </row>
    <row r="29" spans="1:13" x14ac:dyDescent="0.3">
      <c r="A29" s="14" t="s">
        <v>8</v>
      </c>
      <c r="B29" s="22" t="s">
        <v>545</v>
      </c>
      <c r="C29" s="22" t="s">
        <v>5</v>
      </c>
      <c r="D29" s="22">
        <v>-82.88000000000001</v>
      </c>
      <c r="J29" s="14"/>
      <c r="K29" s="11"/>
      <c r="L29" s="11"/>
    </row>
    <row r="30" spans="1:13" x14ac:dyDescent="0.3">
      <c r="A30" s="14" t="s">
        <v>8</v>
      </c>
      <c r="B30" s="22" t="s">
        <v>546</v>
      </c>
      <c r="C30" s="22" t="s">
        <v>5</v>
      </c>
      <c r="D30" s="22">
        <v>-80.88000000000001</v>
      </c>
      <c r="J30" s="14"/>
      <c r="K30" s="11"/>
      <c r="L30" s="11"/>
    </row>
    <row r="31" spans="1:13" x14ac:dyDescent="0.3">
      <c r="A31" s="14" t="s">
        <v>9</v>
      </c>
      <c r="B31" s="22" t="s">
        <v>547</v>
      </c>
      <c r="C31" s="22" t="s">
        <v>6</v>
      </c>
      <c r="D31" s="22">
        <v>-85.4</v>
      </c>
      <c r="J31" s="14"/>
      <c r="K31" s="11"/>
      <c r="L31" s="11"/>
    </row>
    <row r="32" spans="1:13" x14ac:dyDescent="0.3">
      <c r="A32" s="14" t="s">
        <v>9</v>
      </c>
      <c r="B32" s="22" t="s">
        <v>548</v>
      </c>
      <c r="C32" s="22" t="s">
        <v>6</v>
      </c>
      <c r="D32" s="22">
        <v>-81.900000000000006</v>
      </c>
      <c r="J32" s="14"/>
      <c r="K32" s="11"/>
      <c r="L32" s="11"/>
    </row>
    <row r="33" spans="1:12" x14ac:dyDescent="0.3">
      <c r="A33" s="14" t="s">
        <v>9</v>
      </c>
      <c r="B33" s="22" t="s">
        <v>549</v>
      </c>
      <c r="C33" s="22" t="s">
        <v>6</v>
      </c>
      <c r="D33" s="22">
        <v>-81.89</v>
      </c>
      <c r="J33" s="14"/>
      <c r="K33" s="11"/>
      <c r="L33" s="11"/>
    </row>
    <row r="34" spans="1:12" x14ac:dyDescent="0.3">
      <c r="A34" s="14" t="s">
        <v>9</v>
      </c>
      <c r="B34" s="22" t="s">
        <v>550</v>
      </c>
      <c r="C34" s="22" t="s">
        <v>6</v>
      </c>
      <c r="D34" s="22">
        <v>-65.050000000000011</v>
      </c>
      <c r="J34" s="14"/>
      <c r="K34" s="11"/>
      <c r="L34" s="11"/>
    </row>
    <row r="35" spans="1:12" x14ac:dyDescent="0.3">
      <c r="A35" s="14" t="s">
        <v>10</v>
      </c>
      <c r="B35" s="22" t="s">
        <v>551</v>
      </c>
      <c r="C35" s="22" t="s">
        <v>12</v>
      </c>
      <c r="D35" s="22">
        <v>-70.2</v>
      </c>
      <c r="J35" s="14"/>
      <c r="K35" s="11"/>
      <c r="L35" s="11"/>
    </row>
    <row r="36" spans="1:12" x14ac:dyDescent="0.3">
      <c r="C36" s="22"/>
      <c r="D36" s="22"/>
      <c r="J36" s="14"/>
      <c r="K36" s="11"/>
      <c r="L36" s="11"/>
    </row>
    <row r="37" spans="1:12" x14ac:dyDescent="0.3">
      <c r="C37" s="22" t="s">
        <v>15</v>
      </c>
      <c r="D37" s="11">
        <v>-79.47</v>
      </c>
      <c r="J37" s="14"/>
      <c r="K37" s="11"/>
      <c r="L37" s="11"/>
    </row>
    <row r="38" spans="1:12" x14ac:dyDescent="0.3">
      <c r="C38" s="22" t="s">
        <v>380</v>
      </c>
      <c r="D38" s="11">
        <v>1.7350000000000001</v>
      </c>
      <c r="J38" s="14"/>
      <c r="K38" s="11"/>
      <c r="L38" s="11"/>
    </row>
    <row r="39" spans="1:12" x14ac:dyDescent="0.3">
      <c r="A39" s="22" t="s">
        <v>518</v>
      </c>
      <c r="J39" s="14"/>
      <c r="K39" s="11"/>
      <c r="L39" s="11"/>
    </row>
    <row r="40" spans="1:12" x14ac:dyDescent="0.3">
      <c r="A40" s="24" t="s">
        <v>400</v>
      </c>
      <c r="B40" s="11"/>
      <c r="J40" s="14"/>
      <c r="K40" s="11"/>
      <c r="L40" s="11"/>
    </row>
    <row r="41" spans="1:12" x14ac:dyDescent="0.3">
      <c r="A41" s="24" t="s">
        <v>393</v>
      </c>
      <c r="B41" s="11" t="s">
        <v>386</v>
      </c>
      <c r="J41" s="14"/>
      <c r="K41" s="11"/>
      <c r="L41" s="11"/>
    </row>
    <row r="42" spans="1:12" x14ac:dyDescent="0.3">
      <c r="A42" s="24" t="s">
        <v>441</v>
      </c>
      <c r="B42" s="11" t="s">
        <v>422</v>
      </c>
    </row>
    <row r="43" spans="1:12" x14ac:dyDescent="0.3">
      <c r="K43" s="11"/>
    </row>
    <row r="44" spans="1:12" x14ac:dyDescent="0.3">
      <c r="K44" s="11"/>
      <c r="L44" s="11"/>
    </row>
    <row r="45" spans="1:12" x14ac:dyDescent="0.3">
      <c r="D45" s="15" t="s">
        <v>556</v>
      </c>
    </row>
    <row r="46" spans="1:12" x14ac:dyDescent="0.3">
      <c r="A46" s="22"/>
      <c r="B46" s="22"/>
      <c r="C46" s="22" t="s">
        <v>0</v>
      </c>
      <c r="D46" t="s">
        <v>377</v>
      </c>
    </row>
    <row r="47" spans="1:12" x14ac:dyDescent="0.3">
      <c r="A47" s="14" t="s">
        <v>7</v>
      </c>
      <c r="B47" s="22" t="s">
        <v>308</v>
      </c>
      <c r="C47" s="22" t="s">
        <v>12</v>
      </c>
      <c r="D47">
        <v>35.038278367783768</v>
      </c>
    </row>
    <row r="48" spans="1:12" x14ac:dyDescent="0.3">
      <c r="A48" s="14" t="s">
        <v>7</v>
      </c>
      <c r="B48" s="22" t="s">
        <v>309</v>
      </c>
      <c r="C48" s="22" t="s">
        <v>12</v>
      </c>
      <c r="D48">
        <v>20.850365956624444</v>
      </c>
    </row>
    <row r="49" spans="1:4" x14ac:dyDescent="0.3">
      <c r="A49" s="14" t="s">
        <v>7</v>
      </c>
      <c r="B49" s="22" t="s">
        <v>310</v>
      </c>
      <c r="C49" s="22" t="s">
        <v>12</v>
      </c>
      <c r="D49">
        <v>17.149147457546398</v>
      </c>
    </row>
    <row r="50" spans="1:4" x14ac:dyDescent="0.3">
      <c r="A50" s="14" t="s">
        <v>7</v>
      </c>
      <c r="B50" s="22" t="s">
        <v>311</v>
      </c>
      <c r="C50" s="22" t="s">
        <v>12</v>
      </c>
      <c r="D50">
        <v>1.5438079833998586</v>
      </c>
    </row>
    <row r="51" spans="1:4" x14ac:dyDescent="0.3">
      <c r="A51" s="14" t="s">
        <v>7</v>
      </c>
      <c r="B51" s="22" t="s">
        <v>376</v>
      </c>
      <c r="C51" s="22" t="s">
        <v>12</v>
      </c>
      <c r="D51">
        <v>48.297130796644268</v>
      </c>
    </row>
    <row r="52" spans="1:4" x14ac:dyDescent="0.3">
      <c r="A52" s="14" t="s">
        <v>7</v>
      </c>
      <c r="B52" s="22" t="s">
        <v>378</v>
      </c>
      <c r="C52" s="22" t="s">
        <v>12</v>
      </c>
      <c r="D52">
        <v>10.888743930392662</v>
      </c>
    </row>
    <row r="53" spans="1:4" x14ac:dyDescent="0.3">
      <c r="A53" s="14" t="s">
        <v>7</v>
      </c>
      <c r="B53" s="22" t="s">
        <v>379</v>
      </c>
      <c r="C53" s="22" t="s">
        <v>12</v>
      </c>
      <c r="D53">
        <v>10.810161873146075</v>
      </c>
    </row>
    <row r="54" spans="1:4" x14ac:dyDescent="0.3">
      <c r="A54" s="14" t="s">
        <v>8</v>
      </c>
      <c r="B54" s="22" t="s">
        <v>545</v>
      </c>
      <c r="C54" s="22" t="s">
        <v>12</v>
      </c>
      <c r="D54">
        <v>15</v>
      </c>
    </row>
    <row r="55" spans="1:4" x14ac:dyDescent="0.3">
      <c r="A55" s="14" t="s">
        <v>8</v>
      </c>
      <c r="B55" s="22" t="s">
        <v>546</v>
      </c>
      <c r="C55" s="22" t="s">
        <v>12</v>
      </c>
      <c r="D55">
        <v>20.5</v>
      </c>
    </row>
    <row r="56" spans="1:4" x14ac:dyDescent="0.3">
      <c r="A56" s="14" t="s">
        <v>8</v>
      </c>
      <c r="B56" s="22" t="s">
        <v>547</v>
      </c>
      <c r="C56" s="22" t="s">
        <v>12</v>
      </c>
      <c r="D56">
        <v>23</v>
      </c>
    </row>
    <row r="57" spans="1:4" x14ac:dyDescent="0.3">
      <c r="A57" s="14" t="s">
        <v>8</v>
      </c>
      <c r="B57" s="22" t="s">
        <v>548</v>
      </c>
      <c r="C57" s="22" t="s">
        <v>12</v>
      </c>
      <c r="D57">
        <v>22.5</v>
      </c>
    </row>
    <row r="58" spans="1:4" x14ac:dyDescent="0.3">
      <c r="A58" s="14" t="s">
        <v>9</v>
      </c>
      <c r="B58" s="22" t="s">
        <v>549</v>
      </c>
      <c r="C58" s="22" t="s">
        <v>12</v>
      </c>
      <c r="D58">
        <v>24</v>
      </c>
    </row>
    <row r="59" spans="1:4" x14ac:dyDescent="0.3">
      <c r="A59" s="14" t="s">
        <v>9</v>
      </c>
      <c r="B59" s="22" t="s">
        <v>550</v>
      </c>
      <c r="C59" s="22" t="s">
        <v>12</v>
      </c>
      <c r="D59">
        <v>20</v>
      </c>
    </row>
    <row r="61" spans="1:4" x14ac:dyDescent="0.3">
      <c r="C61" s="22" t="s">
        <v>15</v>
      </c>
      <c r="D61" s="22">
        <f>AVERAGE(D47:D59)</f>
        <v>20.736741258887498</v>
      </c>
    </row>
    <row r="62" spans="1:4" x14ac:dyDescent="0.3">
      <c r="C62" s="22" t="s">
        <v>380</v>
      </c>
      <c r="D62" s="11">
        <v>3.1960000000000002</v>
      </c>
    </row>
    <row r="64" spans="1:4" x14ac:dyDescent="0.3">
      <c r="D64" s="7" t="s">
        <v>557</v>
      </c>
    </row>
    <row r="65" spans="1:8" x14ac:dyDescent="0.3">
      <c r="D65" s="22" t="s">
        <v>377</v>
      </c>
    </row>
    <row r="66" spans="1:8" x14ac:dyDescent="0.3">
      <c r="A66" s="14" t="s">
        <v>7</v>
      </c>
      <c r="B66" s="22" t="s">
        <v>308</v>
      </c>
      <c r="C66" s="22" t="s">
        <v>33</v>
      </c>
      <c r="D66" s="22">
        <v>39.716890123155252</v>
      </c>
    </row>
    <row r="67" spans="1:8" x14ac:dyDescent="0.3">
      <c r="A67" s="14" t="s">
        <v>7</v>
      </c>
      <c r="B67" s="22" t="s">
        <v>309</v>
      </c>
      <c r="C67" s="22" t="s">
        <v>33</v>
      </c>
      <c r="D67" s="22">
        <v>24.14970256664137</v>
      </c>
    </row>
    <row r="68" spans="1:8" x14ac:dyDescent="0.3">
      <c r="A68" s="14" t="s">
        <v>7</v>
      </c>
      <c r="B68" s="22" t="s">
        <v>310</v>
      </c>
      <c r="C68" s="22" t="s">
        <v>33</v>
      </c>
      <c r="D68" s="22">
        <v>32.846760219997215</v>
      </c>
    </row>
    <row r="69" spans="1:8" x14ac:dyDescent="0.3">
      <c r="A69" s="14" t="s">
        <v>7</v>
      </c>
      <c r="B69" s="22" t="s">
        <v>311</v>
      </c>
      <c r="C69" s="22" t="s">
        <v>33</v>
      </c>
      <c r="D69" s="22">
        <v>25.835405985514601</v>
      </c>
    </row>
    <row r="70" spans="1:8" x14ac:dyDescent="0.3">
      <c r="A70" s="14" t="s">
        <v>7</v>
      </c>
      <c r="B70" s="22" t="s">
        <v>376</v>
      </c>
      <c r="C70" s="22" t="s">
        <v>33</v>
      </c>
      <c r="D70" s="22">
        <v>27.9202934547707</v>
      </c>
    </row>
    <row r="71" spans="1:8" x14ac:dyDescent="0.3">
      <c r="A71" s="14" t="s">
        <v>8</v>
      </c>
      <c r="B71" s="22" t="s">
        <v>378</v>
      </c>
      <c r="C71" s="22" t="s">
        <v>5</v>
      </c>
      <c r="D71" s="22">
        <v>73.33</v>
      </c>
      <c r="G71" s="11"/>
      <c r="H71" s="11"/>
    </row>
    <row r="72" spans="1:8" x14ac:dyDescent="0.3">
      <c r="A72" s="14" t="s">
        <v>8</v>
      </c>
      <c r="B72" s="22" t="s">
        <v>379</v>
      </c>
      <c r="C72" s="22" t="s">
        <v>5</v>
      </c>
      <c r="D72" s="22">
        <v>12</v>
      </c>
    </row>
    <row r="73" spans="1:8" x14ac:dyDescent="0.3">
      <c r="A73" s="14" t="s">
        <v>8</v>
      </c>
      <c r="B73" s="22" t="s">
        <v>545</v>
      </c>
      <c r="C73" s="22" t="s">
        <v>5</v>
      </c>
      <c r="D73" s="22">
        <v>25</v>
      </c>
    </row>
    <row r="74" spans="1:8" x14ac:dyDescent="0.3">
      <c r="A74" s="14" t="s">
        <v>8</v>
      </c>
      <c r="B74" s="22" t="s">
        <v>546</v>
      </c>
      <c r="C74" s="22" t="s">
        <v>5</v>
      </c>
      <c r="D74" s="22">
        <v>44</v>
      </c>
    </row>
    <row r="75" spans="1:8" x14ac:dyDescent="0.3">
      <c r="A75" s="14" t="s">
        <v>9</v>
      </c>
      <c r="B75" s="22" t="s">
        <v>547</v>
      </c>
      <c r="C75" s="22" t="s">
        <v>6</v>
      </c>
      <c r="D75" s="22">
        <v>17</v>
      </c>
    </row>
    <row r="76" spans="1:8" x14ac:dyDescent="0.3">
      <c r="A76" s="14" t="s">
        <v>9</v>
      </c>
      <c r="B76" s="22" t="s">
        <v>548</v>
      </c>
      <c r="C76" s="22" t="s">
        <v>6</v>
      </c>
      <c r="D76" s="22">
        <v>128</v>
      </c>
    </row>
    <row r="77" spans="1:8" x14ac:dyDescent="0.3">
      <c r="A77" s="14" t="s">
        <v>9</v>
      </c>
      <c r="B77" s="22" t="s">
        <v>549</v>
      </c>
      <c r="C77" s="22" t="s">
        <v>6</v>
      </c>
      <c r="D77" s="22">
        <v>56</v>
      </c>
    </row>
    <row r="78" spans="1:8" x14ac:dyDescent="0.3">
      <c r="A78" s="14" t="s">
        <v>9</v>
      </c>
      <c r="B78" s="22" t="s">
        <v>550</v>
      </c>
      <c r="C78" s="22" t="s">
        <v>6</v>
      </c>
      <c r="D78" s="22">
        <v>91</v>
      </c>
    </row>
    <row r="79" spans="1:8" x14ac:dyDescent="0.3">
      <c r="A79" s="14" t="s">
        <v>10</v>
      </c>
      <c r="B79" s="22" t="s">
        <v>551</v>
      </c>
      <c r="C79" s="22" t="s">
        <v>12</v>
      </c>
      <c r="D79" s="22">
        <v>48</v>
      </c>
    </row>
    <row r="80" spans="1:8" x14ac:dyDescent="0.3">
      <c r="D80" s="22"/>
    </row>
    <row r="81" spans="1:4" x14ac:dyDescent="0.3">
      <c r="C81" s="22" t="s">
        <v>15</v>
      </c>
      <c r="D81" s="11">
        <v>46.06</v>
      </c>
    </row>
    <row r="82" spans="1:4" x14ac:dyDescent="0.3">
      <c r="C82" s="22" t="s">
        <v>380</v>
      </c>
      <c r="D82" s="11">
        <v>8.6010000000000009</v>
      </c>
    </row>
    <row r="83" spans="1:4" x14ac:dyDescent="0.3">
      <c r="A83" s="22" t="s">
        <v>377</v>
      </c>
    </row>
    <row r="84" spans="1:4" x14ac:dyDescent="0.3">
      <c r="A84" s="24" t="s">
        <v>400</v>
      </c>
      <c r="B84" s="11"/>
    </row>
    <row r="85" spans="1:4" x14ac:dyDescent="0.3">
      <c r="A85" s="24" t="s">
        <v>393</v>
      </c>
      <c r="B85" s="11">
        <v>3.3E-3</v>
      </c>
    </row>
    <row r="86" spans="1:4" x14ac:dyDescent="0.3">
      <c r="A86" s="24" t="s">
        <v>441</v>
      </c>
      <c r="B86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Normal="100" workbookViewId="0"/>
  </sheetViews>
  <sheetFormatPr baseColWidth="10" defaultRowHeight="14.4" x14ac:dyDescent="0.3"/>
  <cols>
    <col min="1" max="1" width="19.88671875" customWidth="1"/>
  </cols>
  <sheetData>
    <row r="1" spans="1:14" x14ac:dyDescent="0.3">
      <c r="A1" s="70" t="s">
        <v>664</v>
      </c>
    </row>
    <row r="2" spans="1:14" x14ac:dyDescent="0.3">
      <c r="A2" s="15" t="s">
        <v>556</v>
      </c>
      <c r="B2" t="s">
        <v>637</v>
      </c>
    </row>
    <row r="3" spans="1:14" x14ac:dyDescent="0.3">
      <c r="B3" t="s">
        <v>555</v>
      </c>
      <c r="J3" s="11"/>
      <c r="L3" s="11"/>
      <c r="M3" s="11"/>
    </row>
    <row r="4" spans="1:14" x14ac:dyDescent="0.3">
      <c r="A4" t="s">
        <v>381</v>
      </c>
      <c r="B4" s="1" t="s">
        <v>553</v>
      </c>
      <c r="C4" s="1" t="s">
        <v>554</v>
      </c>
      <c r="D4" s="1" t="s">
        <v>382</v>
      </c>
      <c r="J4" s="11"/>
      <c r="K4" s="11"/>
      <c r="L4" s="11"/>
      <c r="M4" s="11"/>
      <c r="N4" s="22"/>
    </row>
    <row r="5" spans="1:14" x14ac:dyDescent="0.3">
      <c r="A5" s="11">
        <v>-150</v>
      </c>
      <c r="B5">
        <v>-2299</v>
      </c>
      <c r="C5">
        <v>443.9</v>
      </c>
      <c r="D5">
        <v>12</v>
      </c>
      <c r="J5" s="11"/>
      <c r="K5" s="11"/>
      <c r="L5" s="11"/>
      <c r="M5" s="11"/>
      <c r="N5" s="22"/>
    </row>
    <row r="6" spans="1:14" x14ac:dyDescent="0.3">
      <c r="A6" s="11">
        <v>-140</v>
      </c>
      <c r="B6">
        <v>-1856</v>
      </c>
      <c r="C6">
        <v>315.8</v>
      </c>
      <c r="D6" s="22">
        <v>12</v>
      </c>
      <c r="J6" s="11"/>
      <c r="K6" s="11"/>
      <c r="L6" s="11"/>
      <c r="M6" s="11"/>
      <c r="N6" s="22"/>
    </row>
    <row r="7" spans="1:14" x14ac:dyDescent="0.3">
      <c r="A7" s="11">
        <v>-130</v>
      </c>
      <c r="B7">
        <v>-1383</v>
      </c>
      <c r="C7">
        <v>272.5</v>
      </c>
      <c r="D7" s="22">
        <v>12</v>
      </c>
      <c r="J7" s="11"/>
      <c r="K7" s="11"/>
      <c r="L7" s="11"/>
      <c r="M7" s="11"/>
      <c r="N7" s="22"/>
    </row>
    <row r="8" spans="1:14" x14ac:dyDescent="0.3">
      <c r="A8" s="11">
        <v>-120</v>
      </c>
      <c r="B8">
        <v>-1049</v>
      </c>
      <c r="C8">
        <v>210.2</v>
      </c>
      <c r="D8" s="22">
        <v>12</v>
      </c>
      <c r="J8" s="11"/>
      <c r="K8" s="11"/>
      <c r="L8" s="11"/>
      <c r="M8" s="11"/>
      <c r="N8" s="22"/>
    </row>
    <row r="9" spans="1:14" x14ac:dyDescent="0.3">
      <c r="A9" s="11">
        <v>-110</v>
      </c>
      <c r="B9">
        <v>-753.4</v>
      </c>
      <c r="C9">
        <v>164.2</v>
      </c>
      <c r="D9" s="22">
        <v>12</v>
      </c>
      <c r="J9" s="11"/>
      <c r="K9" s="11"/>
      <c r="L9" s="11"/>
      <c r="M9" s="11"/>
      <c r="N9" s="22"/>
    </row>
    <row r="10" spans="1:14" x14ac:dyDescent="0.3">
      <c r="A10" s="11">
        <v>-100</v>
      </c>
      <c r="B10">
        <v>-385.3</v>
      </c>
      <c r="C10">
        <v>84.73</v>
      </c>
      <c r="D10" s="22">
        <v>12</v>
      </c>
      <c r="J10" s="11"/>
      <c r="K10" s="11"/>
      <c r="L10" s="11"/>
      <c r="M10" s="11"/>
      <c r="N10" s="22"/>
    </row>
    <row r="11" spans="1:14" x14ac:dyDescent="0.3">
      <c r="A11" s="11">
        <v>-90</v>
      </c>
      <c r="B11">
        <v>-38.51</v>
      </c>
      <c r="C11">
        <v>35.99</v>
      </c>
      <c r="D11" s="22">
        <v>12</v>
      </c>
      <c r="J11" s="11"/>
      <c r="K11" s="11"/>
      <c r="L11" s="11"/>
      <c r="M11" s="11"/>
      <c r="N11" s="22"/>
    </row>
    <row r="12" spans="1:14" x14ac:dyDescent="0.3">
      <c r="A12" s="11">
        <v>-80</v>
      </c>
      <c r="B12">
        <v>317.10000000000002</v>
      </c>
      <c r="C12">
        <v>85.25</v>
      </c>
      <c r="D12" s="22">
        <v>12</v>
      </c>
      <c r="J12" s="11"/>
      <c r="K12" s="11"/>
      <c r="L12" s="11"/>
      <c r="M12" s="11"/>
      <c r="N12" s="22"/>
    </row>
    <row r="13" spans="1:14" x14ac:dyDescent="0.3">
      <c r="A13" s="11">
        <v>-70</v>
      </c>
      <c r="B13">
        <v>668.7</v>
      </c>
      <c r="C13">
        <v>168.2</v>
      </c>
      <c r="D13" s="22">
        <v>12</v>
      </c>
      <c r="J13" s="11"/>
      <c r="K13" s="11"/>
      <c r="L13" s="11"/>
      <c r="M13" s="11"/>
      <c r="N13" s="22"/>
    </row>
    <row r="14" spans="1:14" x14ac:dyDescent="0.3">
      <c r="A14" s="11">
        <v>-60</v>
      </c>
      <c r="B14">
        <v>1018</v>
      </c>
      <c r="C14">
        <v>253.9</v>
      </c>
      <c r="D14" s="22">
        <v>12</v>
      </c>
      <c r="J14" s="11"/>
      <c r="K14" s="11"/>
      <c r="L14" s="11"/>
      <c r="M14" s="11"/>
      <c r="N14" s="22"/>
    </row>
    <row r="15" spans="1:14" x14ac:dyDescent="0.3">
      <c r="A15" s="11">
        <v>-50</v>
      </c>
      <c r="B15">
        <v>1370</v>
      </c>
      <c r="C15">
        <v>348.1</v>
      </c>
      <c r="D15" s="22">
        <v>12</v>
      </c>
      <c r="J15" s="11"/>
      <c r="L15" s="11"/>
      <c r="M15" s="11"/>
      <c r="N15" s="22"/>
    </row>
    <row r="16" spans="1:14" x14ac:dyDescent="0.3">
      <c r="A16" s="11">
        <v>-40</v>
      </c>
      <c r="B16">
        <v>1698</v>
      </c>
      <c r="C16">
        <v>428.6</v>
      </c>
      <c r="D16" s="22">
        <v>12</v>
      </c>
      <c r="J16" s="11"/>
      <c r="K16" s="11"/>
      <c r="L16" s="11"/>
      <c r="M16" s="11"/>
      <c r="N16" s="22"/>
    </row>
    <row r="17" spans="1:25" x14ac:dyDescent="0.3">
      <c r="A17" s="11">
        <v>-30</v>
      </c>
      <c r="B17">
        <v>1944</v>
      </c>
      <c r="C17">
        <v>388.3</v>
      </c>
      <c r="D17" s="22">
        <v>12</v>
      </c>
      <c r="J17" s="11"/>
      <c r="K17" s="11"/>
      <c r="L17" s="11"/>
      <c r="M17" s="11"/>
      <c r="N17" s="22"/>
    </row>
    <row r="18" spans="1:25" x14ac:dyDescent="0.3">
      <c r="A18" s="11">
        <v>-20</v>
      </c>
      <c r="B18">
        <v>2108</v>
      </c>
      <c r="C18">
        <v>510.6</v>
      </c>
      <c r="D18" s="22">
        <v>12</v>
      </c>
      <c r="J18" s="11"/>
      <c r="K18" s="11"/>
      <c r="L18" s="11"/>
      <c r="M18" s="11"/>
      <c r="U18" s="11"/>
      <c r="V18" s="11"/>
      <c r="W18" s="11"/>
      <c r="X18" s="11"/>
      <c r="Y18" s="11"/>
    </row>
    <row r="19" spans="1:25" x14ac:dyDescent="0.3">
      <c r="A19" s="11">
        <v>-10</v>
      </c>
      <c r="B19">
        <v>2444</v>
      </c>
      <c r="C19">
        <v>617.70000000000005</v>
      </c>
      <c r="D19" s="22">
        <v>12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5" x14ac:dyDescent="0.3">
      <c r="E20" s="11"/>
      <c r="F20" s="11"/>
    </row>
    <row r="21" spans="1:25" x14ac:dyDescent="0.3">
      <c r="A21" s="7" t="s">
        <v>557</v>
      </c>
      <c r="B21" t="s">
        <v>638</v>
      </c>
    </row>
    <row r="22" spans="1:25" x14ac:dyDescent="0.3">
      <c r="B22" s="22" t="s">
        <v>555</v>
      </c>
    </row>
    <row r="23" spans="1:25" x14ac:dyDescent="0.3">
      <c r="A23" s="22" t="s">
        <v>381</v>
      </c>
      <c r="B23" s="1" t="s">
        <v>553</v>
      </c>
      <c r="C23" s="1" t="s">
        <v>554</v>
      </c>
      <c r="D23" s="1" t="s">
        <v>382</v>
      </c>
      <c r="R23" s="1"/>
      <c r="S23" s="1"/>
    </row>
    <row r="24" spans="1:25" x14ac:dyDescent="0.3">
      <c r="A24" s="11">
        <v>-150</v>
      </c>
      <c r="B24">
        <v>-1372</v>
      </c>
      <c r="C24">
        <v>178.3</v>
      </c>
      <c r="D24" s="22">
        <v>14</v>
      </c>
      <c r="I24" s="11"/>
      <c r="J24" s="11"/>
      <c r="R24" s="1"/>
      <c r="S24" s="1"/>
    </row>
    <row r="25" spans="1:25" x14ac:dyDescent="0.3">
      <c r="A25" s="11">
        <v>-140</v>
      </c>
      <c r="B25">
        <v>-1060</v>
      </c>
      <c r="C25">
        <v>228.9</v>
      </c>
      <c r="D25" s="22">
        <v>14</v>
      </c>
      <c r="H25" s="11"/>
      <c r="I25" s="11"/>
      <c r="J25" s="11"/>
      <c r="P25" s="11"/>
      <c r="Q25" s="11"/>
      <c r="R25" s="1"/>
      <c r="S25" s="1"/>
    </row>
    <row r="26" spans="1:25" x14ac:dyDescent="0.3">
      <c r="A26" s="11">
        <v>-130</v>
      </c>
      <c r="B26">
        <v>-935.8</v>
      </c>
      <c r="C26">
        <v>165</v>
      </c>
      <c r="D26" s="22">
        <v>14</v>
      </c>
      <c r="H26" s="11"/>
      <c r="I26" s="11"/>
      <c r="J26" s="11"/>
      <c r="P26" s="11"/>
      <c r="Q26" s="11"/>
      <c r="R26" s="1"/>
      <c r="S26" s="1"/>
    </row>
    <row r="27" spans="1:25" x14ac:dyDescent="0.3">
      <c r="A27" s="11">
        <v>-120</v>
      </c>
      <c r="B27">
        <v>-769.7</v>
      </c>
      <c r="C27">
        <v>126.6</v>
      </c>
      <c r="D27" s="22">
        <v>14</v>
      </c>
      <c r="H27" s="11"/>
      <c r="I27" s="11"/>
      <c r="J27" s="11"/>
      <c r="P27" s="11"/>
      <c r="Q27" s="11"/>
      <c r="R27" s="1"/>
      <c r="S27" s="1"/>
    </row>
    <row r="28" spans="1:25" x14ac:dyDescent="0.3">
      <c r="A28" s="11">
        <v>-110</v>
      </c>
      <c r="B28">
        <v>-572.29999999999995</v>
      </c>
      <c r="C28">
        <v>101.4</v>
      </c>
      <c r="D28" s="22">
        <v>14</v>
      </c>
      <c r="H28" s="11"/>
      <c r="I28" s="11"/>
      <c r="J28" s="11"/>
      <c r="P28" s="11"/>
      <c r="Q28" s="11"/>
      <c r="R28" s="1"/>
      <c r="S28" s="1"/>
    </row>
    <row r="29" spans="1:25" x14ac:dyDescent="0.3">
      <c r="A29" s="11">
        <v>-100</v>
      </c>
      <c r="B29">
        <v>-343</v>
      </c>
      <c r="C29">
        <v>87.09</v>
      </c>
      <c r="D29" s="22">
        <v>14</v>
      </c>
      <c r="H29" s="11"/>
      <c r="I29" s="11"/>
      <c r="J29" s="11"/>
      <c r="P29" s="11"/>
      <c r="Q29" s="11"/>
      <c r="R29" s="1"/>
      <c r="S29" s="1"/>
    </row>
    <row r="30" spans="1:25" x14ac:dyDescent="0.3">
      <c r="A30" s="11">
        <v>-90</v>
      </c>
      <c r="B30">
        <v>-64.959999999999994</v>
      </c>
      <c r="C30">
        <v>61.29</v>
      </c>
      <c r="D30" s="22">
        <v>14</v>
      </c>
      <c r="G30" s="11"/>
      <c r="H30" s="11"/>
      <c r="I30" s="11"/>
      <c r="J30" s="11"/>
      <c r="K30" s="11"/>
      <c r="L30" s="11"/>
      <c r="M30" s="11"/>
      <c r="N30" s="11"/>
      <c r="O30" s="11"/>
      <c r="Q30" s="1"/>
      <c r="R30" s="1"/>
      <c r="S30" s="1"/>
    </row>
    <row r="31" spans="1:25" x14ac:dyDescent="0.3">
      <c r="A31" s="11">
        <v>-80</v>
      </c>
      <c r="B31">
        <v>209.3</v>
      </c>
      <c r="C31">
        <v>77.760000000000005</v>
      </c>
      <c r="D31" s="22">
        <v>14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Q31" s="1"/>
      <c r="R31" s="1"/>
      <c r="S31" s="1"/>
    </row>
    <row r="32" spans="1:25" x14ac:dyDescent="0.3">
      <c r="A32" s="11">
        <v>-70</v>
      </c>
      <c r="B32">
        <v>478.2</v>
      </c>
      <c r="C32">
        <v>117.6</v>
      </c>
      <c r="D32" s="22">
        <v>14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Q32" s="1"/>
      <c r="R32" s="1"/>
      <c r="S32" s="1"/>
    </row>
    <row r="33" spans="1:29" x14ac:dyDescent="0.3">
      <c r="A33" s="11">
        <v>-60</v>
      </c>
      <c r="B33">
        <v>743.8</v>
      </c>
      <c r="C33">
        <v>161.1</v>
      </c>
      <c r="D33" s="22">
        <v>14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Q33" s="1"/>
      <c r="R33" s="1"/>
      <c r="S33" s="1"/>
    </row>
    <row r="34" spans="1:29" x14ac:dyDescent="0.3">
      <c r="A34" s="11">
        <v>-50</v>
      </c>
      <c r="B34">
        <v>1010</v>
      </c>
      <c r="C34">
        <v>206.7</v>
      </c>
      <c r="D34" s="22">
        <v>14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"/>
      <c r="R34" s="1"/>
      <c r="S34" s="1"/>
    </row>
    <row r="35" spans="1:29" x14ac:dyDescent="0.3">
      <c r="A35" s="11">
        <v>-40</v>
      </c>
      <c r="B35">
        <v>1247</v>
      </c>
      <c r="C35">
        <v>247.5</v>
      </c>
      <c r="D35" s="22">
        <v>14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1"/>
      <c r="R35" s="1"/>
      <c r="S35" s="1"/>
    </row>
    <row r="36" spans="1:29" x14ac:dyDescent="0.3">
      <c r="A36" s="11">
        <v>-30</v>
      </c>
      <c r="B36">
        <v>1484</v>
      </c>
      <c r="C36">
        <v>289.89999999999998</v>
      </c>
      <c r="D36" s="22">
        <v>14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Q36" s="1"/>
      <c r="R36" s="1"/>
      <c r="S36" s="1"/>
    </row>
    <row r="37" spans="1:29" x14ac:dyDescent="0.3">
      <c r="A37" s="11">
        <v>-20</v>
      </c>
      <c r="B37">
        <v>1683</v>
      </c>
      <c r="C37">
        <v>340.4</v>
      </c>
      <c r="D37" s="22">
        <v>14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Q37" s="1"/>
      <c r="R37" s="1"/>
      <c r="S37" s="1"/>
    </row>
    <row r="38" spans="1:29" x14ac:dyDescent="0.3">
      <c r="A38" s="11">
        <v>-10</v>
      </c>
      <c r="B38">
        <v>1926</v>
      </c>
      <c r="C38">
        <v>451.1</v>
      </c>
      <c r="D38" s="22">
        <v>14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29" x14ac:dyDescent="0.3">
      <c r="F39" s="11"/>
    </row>
    <row r="40" spans="1:29" x14ac:dyDescent="0.3">
      <c r="A40" t="s">
        <v>558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3">
      <c r="A41" t="s">
        <v>387</v>
      </c>
    </row>
    <row r="42" spans="1:29" x14ac:dyDescent="0.3">
      <c r="A42" t="s">
        <v>388</v>
      </c>
    </row>
    <row r="43" spans="1:29" x14ac:dyDescent="0.3">
      <c r="A43" t="s">
        <v>369</v>
      </c>
    </row>
    <row r="45" spans="1:29" x14ac:dyDescent="0.3">
      <c r="A45" t="s">
        <v>389</v>
      </c>
    </row>
    <row r="46" spans="1:29" x14ac:dyDescent="0.3">
      <c r="A46" t="s">
        <v>390</v>
      </c>
    </row>
    <row r="47" spans="1:29" x14ac:dyDescent="0.3">
      <c r="A47" t="s">
        <v>391</v>
      </c>
    </row>
    <row r="49" spans="1:1" x14ac:dyDescent="0.3">
      <c r="A49" t="s">
        <v>387</v>
      </c>
    </row>
    <row r="50" spans="1:1" x14ac:dyDescent="0.3">
      <c r="A50" t="s">
        <v>388</v>
      </c>
    </row>
    <row r="51" spans="1:1" x14ac:dyDescent="0.3">
      <c r="A51" t="s">
        <v>369</v>
      </c>
    </row>
    <row r="53" spans="1:1" x14ac:dyDescent="0.3">
      <c r="A53" t="s">
        <v>389</v>
      </c>
    </row>
    <row r="54" spans="1:1" x14ac:dyDescent="0.3">
      <c r="A54" t="s">
        <v>390</v>
      </c>
    </row>
    <row r="55" spans="1:1" x14ac:dyDescent="0.3">
      <c r="A55" t="s">
        <v>391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Normal="100" workbookViewId="0"/>
  </sheetViews>
  <sheetFormatPr baseColWidth="10" defaultRowHeight="14.4" x14ac:dyDescent="0.3"/>
  <cols>
    <col min="1" max="1" width="16.44140625" customWidth="1"/>
  </cols>
  <sheetData>
    <row r="1" spans="1:12" x14ac:dyDescent="0.3">
      <c r="A1" s="70" t="s">
        <v>665</v>
      </c>
    </row>
    <row r="2" spans="1:12" x14ac:dyDescent="0.3">
      <c r="A2" s="15" t="s">
        <v>556</v>
      </c>
      <c r="C2" t="s">
        <v>383</v>
      </c>
    </row>
    <row r="3" spans="1:12" x14ac:dyDescent="0.3">
      <c r="J3" s="14"/>
      <c r="K3" s="22"/>
      <c r="L3" s="22"/>
    </row>
    <row r="4" spans="1:12" x14ac:dyDescent="0.3">
      <c r="A4" s="11" t="s">
        <v>7</v>
      </c>
      <c r="B4" t="s">
        <v>308</v>
      </c>
      <c r="C4">
        <v>-1472.6413600000001</v>
      </c>
      <c r="J4" s="14"/>
      <c r="K4" s="22"/>
      <c r="L4" s="22"/>
    </row>
    <row r="5" spans="1:12" x14ac:dyDescent="0.3">
      <c r="A5" s="11" t="s">
        <v>7</v>
      </c>
      <c r="B5" s="22" t="s">
        <v>309</v>
      </c>
      <c r="C5">
        <v>-888.43438700000002</v>
      </c>
      <c r="J5" s="14"/>
      <c r="K5" s="22"/>
      <c r="L5" s="22"/>
    </row>
    <row r="6" spans="1:12" x14ac:dyDescent="0.3">
      <c r="A6" s="11" t="s">
        <v>7</v>
      </c>
      <c r="B6" s="22" t="s">
        <v>310</v>
      </c>
      <c r="C6">
        <v>-2219.0349099999999</v>
      </c>
      <c r="J6" s="14"/>
      <c r="K6" s="22"/>
      <c r="L6" s="22"/>
    </row>
    <row r="7" spans="1:12" x14ac:dyDescent="0.3">
      <c r="A7" s="11" t="s">
        <v>7</v>
      </c>
      <c r="B7" s="22" t="s">
        <v>311</v>
      </c>
      <c r="C7">
        <v>-807.11364700000001</v>
      </c>
      <c r="J7" s="14"/>
      <c r="K7" s="22"/>
      <c r="L7" s="22"/>
    </row>
    <row r="8" spans="1:12" x14ac:dyDescent="0.3">
      <c r="A8" s="11" t="s">
        <v>7</v>
      </c>
      <c r="B8" s="22" t="s">
        <v>376</v>
      </c>
      <c r="C8">
        <v>-1872.15381</v>
      </c>
      <c r="J8" s="14"/>
      <c r="K8" s="22"/>
      <c r="L8" s="22"/>
    </row>
    <row r="9" spans="1:12" x14ac:dyDescent="0.3">
      <c r="A9" s="11" t="s">
        <v>7</v>
      </c>
      <c r="B9" s="22" t="s">
        <v>378</v>
      </c>
      <c r="C9">
        <v>-842.39910899999995</v>
      </c>
      <c r="J9" s="14"/>
      <c r="K9" s="22"/>
      <c r="L9" s="22"/>
    </row>
    <row r="10" spans="1:12" x14ac:dyDescent="0.3">
      <c r="A10" s="11" t="s">
        <v>7</v>
      </c>
      <c r="B10" s="22" t="s">
        <v>379</v>
      </c>
      <c r="C10">
        <v>-3081.3458300000002</v>
      </c>
      <c r="J10" s="14"/>
      <c r="K10" s="22"/>
      <c r="L10" s="22"/>
    </row>
    <row r="11" spans="1:12" x14ac:dyDescent="0.3">
      <c r="A11" s="11" t="s">
        <v>8</v>
      </c>
      <c r="B11" s="22" t="s">
        <v>545</v>
      </c>
      <c r="C11">
        <v>-4345.0927700000002</v>
      </c>
      <c r="J11" s="14"/>
      <c r="K11" s="22"/>
      <c r="L11" s="22"/>
    </row>
    <row r="12" spans="1:12" x14ac:dyDescent="0.3">
      <c r="A12" s="11" t="s">
        <v>8</v>
      </c>
      <c r="B12" s="22" t="s">
        <v>546</v>
      </c>
      <c r="C12">
        <v>-1186.9811999999999</v>
      </c>
      <c r="J12" s="14"/>
      <c r="K12" s="22"/>
      <c r="L12" s="22"/>
    </row>
    <row r="13" spans="1:12" x14ac:dyDescent="0.3">
      <c r="A13" s="11" t="s">
        <v>8</v>
      </c>
      <c r="B13" s="22" t="s">
        <v>547</v>
      </c>
      <c r="C13">
        <v>-902.357483</v>
      </c>
      <c r="J13" s="14"/>
      <c r="K13" s="22"/>
      <c r="L13" s="22"/>
    </row>
    <row r="14" spans="1:12" x14ac:dyDescent="0.3">
      <c r="A14" s="11" t="s">
        <v>8</v>
      </c>
      <c r="B14" s="22" t="s">
        <v>548</v>
      </c>
      <c r="C14">
        <v>-2729.8991700000001</v>
      </c>
      <c r="J14" s="14"/>
      <c r="K14" s="22"/>
      <c r="L14" s="22"/>
    </row>
    <row r="15" spans="1:12" x14ac:dyDescent="0.3">
      <c r="A15" s="11" t="s">
        <v>9</v>
      </c>
      <c r="B15" s="22" t="s">
        <v>549</v>
      </c>
      <c r="C15">
        <v>-1924.1841999999999</v>
      </c>
      <c r="J15" s="14"/>
      <c r="K15" s="22"/>
      <c r="L15" s="22"/>
    </row>
    <row r="16" spans="1:12" x14ac:dyDescent="0.3">
      <c r="C16" s="11"/>
      <c r="J16" s="14"/>
      <c r="K16" s="22"/>
      <c r="L16" s="22"/>
    </row>
    <row r="17" spans="1:7" x14ac:dyDescent="0.3">
      <c r="B17" s="22" t="s">
        <v>15</v>
      </c>
      <c r="C17" s="11">
        <v>-1856</v>
      </c>
    </row>
    <row r="18" spans="1:7" x14ac:dyDescent="0.3">
      <c r="B18" t="s">
        <v>380</v>
      </c>
      <c r="C18" s="11">
        <v>315.8</v>
      </c>
    </row>
    <row r="20" spans="1:7" x14ac:dyDescent="0.3">
      <c r="A20" s="7" t="s">
        <v>557</v>
      </c>
      <c r="C20" s="22" t="s">
        <v>383</v>
      </c>
    </row>
    <row r="22" spans="1:7" x14ac:dyDescent="0.3">
      <c r="A22" s="11" t="s">
        <v>7</v>
      </c>
      <c r="B22" s="22" t="s">
        <v>308</v>
      </c>
      <c r="C22" s="11">
        <v>-1842.6061999999999</v>
      </c>
      <c r="D22" s="11"/>
    </row>
    <row r="23" spans="1:7" x14ac:dyDescent="0.3">
      <c r="A23" s="11" t="s">
        <v>7</v>
      </c>
      <c r="B23" s="22" t="s">
        <v>309</v>
      </c>
      <c r="C23" s="11">
        <v>-1191.79285</v>
      </c>
      <c r="F23" s="11"/>
      <c r="G23" s="11"/>
    </row>
    <row r="24" spans="1:7" x14ac:dyDescent="0.3">
      <c r="A24" s="11" t="s">
        <v>7</v>
      </c>
      <c r="B24" s="22" t="s">
        <v>310</v>
      </c>
      <c r="C24" s="11">
        <v>-758.17291299999999</v>
      </c>
    </row>
    <row r="25" spans="1:7" x14ac:dyDescent="0.3">
      <c r="A25" s="11" t="s">
        <v>7</v>
      </c>
      <c r="B25" s="22" t="s">
        <v>311</v>
      </c>
      <c r="C25" s="11">
        <v>-285.20461999999998</v>
      </c>
    </row>
    <row r="26" spans="1:7" x14ac:dyDescent="0.3">
      <c r="A26" s="11" t="s">
        <v>7</v>
      </c>
      <c r="B26" s="22" t="s">
        <v>376</v>
      </c>
      <c r="C26" s="11">
        <v>-2542.7085000000002</v>
      </c>
    </row>
    <row r="27" spans="1:7" x14ac:dyDescent="0.3">
      <c r="A27" s="11" t="s">
        <v>8</v>
      </c>
      <c r="B27" s="22" t="s">
        <v>378</v>
      </c>
      <c r="C27" s="11">
        <v>-362.64273100000003</v>
      </c>
    </row>
    <row r="28" spans="1:7" x14ac:dyDescent="0.3">
      <c r="A28" s="11" t="s">
        <v>8</v>
      </c>
      <c r="B28" s="22" t="s">
        <v>379</v>
      </c>
      <c r="C28" s="11">
        <v>-621.13442999999995</v>
      </c>
    </row>
    <row r="29" spans="1:7" x14ac:dyDescent="0.3">
      <c r="A29" s="11" t="s">
        <v>8</v>
      </c>
      <c r="B29" s="22" t="s">
        <v>545</v>
      </c>
      <c r="C29" s="11">
        <v>-650.66420000000005</v>
      </c>
    </row>
    <row r="30" spans="1:7" x14ac:dyDescent="0.3">
      <c r="A30" s="11" t="s">
        <v>8</v>
      </c>
      <c r="B30" s="22" t="s">
        <v>546</v>
      </c>
      <c r="C30" s="11">
        <v>-2453.2453599999999</v>
      </c>
    </row>
    <row r="31" spans="1:7" x14ac:dyDescent="0.3">
      <c r="A31" s="11" t="s">
        <v>9</v>
      </c>
      <c r="B31" s="22" t="s">
        <v>547</v>
      </c>
      <c r="C31" s="11">
        <v>-1020.71558</v>
      </c>
    </row>
    <row r="32" spans="1:7" x14ac:dyDescent="0.3">
      <c r="A32" s="11" t="s">
        <v>9</v>
      </c>
      <c r="B32" s="22" t="s">
        <v>548</v>
      </c>
      <c r="C32" s="11">
        <v>-549.01122999999995</v>
      </c>
    </row>
    <row r="33" spans="1:3" x14ac:dyDescent="0.3">
      <c r="A33" s="11" t="s">
        <v>9</v>
      </c>
      <c r="B33" s="22" t="s">
        <v>549</v>
      </c>
      <c r="C33" s="11">
        <v>-469.52658700000001</v>
      </c>
    </row>
    <row r="34" spans="1:3" x14ac:dyDescent="0.3">
      <c r="A34" s="11" t="s">
        <v>9</v>
      </c>
      <c r="B34" s="22" t="s">
        <v>550</v>
      </c>
      <c r="C34" s="11">
        <v>-985.20461999999998</v>
      </c>
    </row>
    <row r="35" spans="1:3" x14ac:dyDescent="0.3">
      <c r="A35" s="11" t="s">
        <v>10</v>
      </c>
      <c r="B35" s="22" t="s">
        <v>551</v>
      </c>
      <c r="C35" s="11">
        <v>-1112.44202</v>
      </c>
    </row>
    <row r="37" spans="1:3" x14ac:dyDescent="0.3">
      <c r="B37" s="22" t="s">
        <v>15</v>
      </c>
      <c r="C37" s="11">
        <v>-1060</v>
      </c>
    </row>
    <row r="38" spans="1:3" x14ac:dyDescent="0.3">
      <c r="B38" s="22" t="s">
        <v>380</v>
      </c>
      <c r="C38" s="11">
        <v>195.1</v>
      </c>
    </row>
    <row r="40" spans="1:3" x14ac:dyDescent="0.3">
      <c r="A40" s="24" t="s">
        <v>400</v>
      </c>
      <c r="B40" s="11"/>
    </row>
    <row r="41" spans="1:3" x14ac:dyDescent="0.3">
      <c r="A41" s="24" t="s">
        <v>393</v>
      </c>
      <c r="B41" s="11">
        <v>2.7E-2</v>
      </c>
    </row>
    <row r="42" spans="1:3" x14ac:dyDescent="0.3">
      <c r="A42" s="24" t="s">
        <v>441</v>
      </c>
      <c r="B42" s="43" t="s">
        <v>428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Normal="100" workbookViewId="0"/>
  </sheetViews>
  <sheetFormatPr baseColWidth="10" defaultRowHeight="14.4" x14ac:dyDescent="0.3"/>
  <cols>
    <col min="1" max="1" width="18.21875" customWidth="1"/>
  </cols>
  <sheetData>
    <row r="1" spans="1:21" x14ac:dyDescent="0.3">
      <c r="A1" s="70" t="s">
        <v>666</v>
      </c>
      <c r="Q1" s="22"/>
      <c r="R1" s="22"/>
      <c r="S1" s="32" t="s">
        <v>552</v>
      </c>
      <c r="T1" s="22"/>
      <c r="U1" s="22"/>
    </row>
    <row r="2" spans="1:21" x14ac:dyDescent="0.3">
      <c r="A2" s="15" t="s">
        <v>556</v>
      </c>
      <c r="B2" s="22" t="s">
        <v>639</v>
      </c>
      <c r="C2" s="22"/>
      <c r="D2" s="22"/>
      <c r="E2" s="22"/>
      <c r="Q2" s="22"/>
      <c r="R2" s="22"/>
      <c r="S2" s="22"/>
      <c r="T2" s="22" t="s">
        <v>555</v>
      </c>
      <c r="U2" s="22"/>
    </row>
    <row r="3" spans="1:21" x14ac:dyDescent="0.3">
      <c r="A3" s="22"/>
      <c r="B3" s="22" t="s">
        <v>560</v>
      </c>
      <c r="C3" s="22"/>
      <c r="D3" s="22"/>
      <c r="E3" s="22"/>
      <c r="J3" s="22"/>
    </row>
    <row r="4" spans="1:21" x14ac:dyDescent="0.3">
      <c r="A4" s="22" t="s">
        <v>381</v>
      </c>
      <c r="B4" s="1" t="s">
        <v>553</v>
      </c>
      <c r="C4" s="1" t="s">
        <v>554</v>
      </c>
      <c r="D4" s="1" t="s">
        <v>382</v>
      </c>
      <c r="E4" s="22"/>
      <c r="J4" s="22"/>
    </row>
    <row r="5" spans="1:21" x14ac:dyDescent="0.3">
      <c r="A5" s="11">
        <v>-140</v>
      </c>
      <c r="B5" s="22">
        <v>-1233.7096862792928</v>
      </c>
      <c r="C5" s="22">
        <v>219.82290804371473</v>
      </c>
      <c r="D5" s="22">
        <v>6</v>
      </c>
      <c r="E5" s="22"/>
      <c r="J5" s="22"/>
      <c r="K5" s="22"/>
    </row>
    <row r="6" spans="1:21" x14ac:dyDescent="0.3">
      <c r="A6" s="11">
        <v>-130</v>
      </c>
      <c r="B6" s="22">
        <v>-867.64402262369833</v>
      </c>
      <c r="C6" s="22">
        <v>177.99169922852937</v>
      </c>
      <c r="D6" s="22">
        <v>6</v>
      </c>
      <c r="E6" s="22"/>
      <c r="J6" s="22"/>
      <c r="K6" s="22"/>
    </row>
    <row r="7" spans="1:21" x14ac:dyDescent="0.3">
      <c r="A7" s="11">
        <v>-120</v>
      </c>
      <c r="B7" s="22">
        <v>-674.98776245116915</v>
      </c>
      <c r="C7" s="22">
        <v>146.98600512268135</v>
      </c>
      <c r="D7" s="22">
        <v>6</v>
      </c>
      <c r="E7" s="22"/>
      <c r="J7" s="22"/>
      <c r="K7" s="22"/>
    </row>
    <row r="8" spans="1:21" x14ac:dyDescent="0.3">
      <c r="A8" s="11">
        <v>-110</v>
      </c>
      <c r="B8" s="22">
        <v>-492.25234476725041</v>
      </c>
      <c r="C8" s="22">
        <v>104.66905455395306</v>
      </c>
      <c r="D8" s="22">
        <v>6</v>
      </c>
      <c r="E8" s="22"/>
      <c r="J8" s="22"/>
      <c r="K8" s="22"/>
    </row>
    <row r="9" spans="1:21" x14ac:dyDescent="0.3">
      <c r="A9" s="11">
        <v>-100</v>
      </c>
      <c r="B9" s="22">
        <v>-495.58415222167855</v>
      </c>
      <c r="C9" s="22">
        <v>189.1263711530996</v>
      </c>
      <c r="D9" s="22">
        <v>6</v>
      </c>
      <c r="E9" s="22"/>
      <c r="J9" s="22"/>
      <c r="K9" s="22"/>
    </row>
    <row r="10" spans="1:21" x14ac:dyDescent="0.3">
      <c r="A10" s="11">
        <v>-90</v>
      </c>
      <c r="B10" s="22">
        <v>-217.84495671590207</v>
      </c>
      <c r="C10" s="22">
        <v>77.617280523637817</v>
      </c>
      <c r="D10" s="22">
        <v>6</v>
      </c>
      <c r="E10" s="22"/>
      <c r="J10" s="22"/>
      <c r="K10" s="22"/>
    </row>
    <row r="11" spans="1:21" x14ac:dyDescent="0.3">
      <c r="A11" s="11">
        <v>-80</v>
      </c>
      <c r="B11" s="22">
        <v>24.718721310297635</v>
      </c>
      <c r="C11" s="22">
        <v>20.469288305128558</v>
      </c>
      <c r="D11" s="22">
        <v>6</v>
      </c>
      <c r="E11" s="22"/>
      <c r="J11" s="22"/>
      <c r="K11" s="22"/>
    </row>
    <row r="12" spans="1:21" x14ac:dyDescent="0.3">
      <c r="A12" s="11">
        <v>-70</v>
      </c>
      <c r="B12" s="22">
        <v>240.86879984537643</v>
      </c>
      <c r="C12" s="22">
        <v>103.98500010376499</v>
      </c>
      <c r="D12" s="22">
        <v>6</v>
      </c>
      <c r="E12" s="22"/>
      <c r="J12" s="22"/>
      <c r="K12" s="22"/>
    </row>
    <row r="13" spans="1:21" x14ac:dyDescent="0.3">
      <c r="A13" s="11">
        <v>-60</v>
      </c>
      <c r="B13" s="22">
        <v>427.02634684244794</v>
      </c>
      <c r="C13" s="22">
        <v>195.36206637325407</v>
      </c>
      <c r="D13" s="22">
        <v>6</v>
      </c>
      <c r="E13" s="22"/>
      <c r="J13" s="22"/>
      <c r="K13" s="22"/>
    </row>
    <row r="14" spans="1:21" x14ac:dyDescent="0.3">
      <c r="A14" s="11">
        <v>-50</v>
      </c>
      <c r="B14" s="22">
        <v>595.06644185384016</v>
      </c>
      <c r="C14" s="22">
        <v>277.9689659661625</v>
      </c>
      <c r="D14" s="22">
        <v>6</v>
      </c>
      <c r="E14" s="22"/>
      <c r="J14" s="22"/>
      <c r="K14" s="22"/>
    </row>
    <row r="15" spans="1:21" x14ac:dyDescent="0.3">
      <c r="A15" s="11">
        <v>-40</v>
      </c>
      <c r="B15" s="22">
        <v>744.19188435872536</v>
      </c>
      <c r="C15" s="22">
        <v>353.39906640985311</v>
      </c>
      <c r="D15" s="22">
        <v>6</v>
      </c>
      <c r="E15" s="22"/>
      <c r="J15" s="22"/>
      <c r="K15" s="22"/>
    </row>
    <row r="16" spans="1:21" x14ac:dyDescent="0.3">
      <c r="A16" s="11">
        <v>-30</v>
      </c>
      <c r="B16" s="22">
        <v>893.09185791015682</v>
      </c>
      <c r="C16" s="22">
        <v>406.752602106273</v>
      </c>
      <c r="D16" s="22">
        <v>6</v>
      </c>
      <c r="E16" s="22"/>
      <c r="J16" s="22"/>
      <c r="K16" s="22"/>
    </row>
    <row r="17" spans="1:16" x14ac:dyDescent="0.3">
      <c r="A17" s="11">
        <v>-20</v>
      </c>
      <c r="B17" s="22">
        <v>1094.1762207031256</v>
      </c>
      <c r="C17" s="22">
        <v>494.70102978280568</v>
      </c>
      <c r="D17" s="22">
        <v>6</v>
      </c>
      <c r="E17" s="22"/>
      <c r="J17" s="22"/>
      <c r="K17" s="22"/>
    </row>
    <row r="18" spans="1:16" x14ac:dyDescent="0.3">
      <c r="A18" s="11">
        <v>-10</v>
      </c>
      <c r="B18" s="22">
        <v>1219.8122558593745</v>
      </c>
      <c r="C18" s="22">
        <v>626.46708579446749</v>
      </c>
      <c r="D18" s="22">
        <v>6</v>
      </c>
      <c r="E18" s="22"/>
      <c r="J18" s="22"/>
      <c r="K18" s="22"/>
    </row>
    <row r="19" spans="1:16" x14ac:dyDescent="0.3">
      <c r="A19" s="11"/>
      <c r="B19" s="22"/>
      <c r="C19" s="22"/>
      <c r="D19" s="22"/>
      <c r="E19" s="22"/>
      <c r="F19" s="11"/>
      <c r="G19" s="11"/>
      <c r="H19" s="11"/>
      <c r="I19" s="11"/>
      <c r="J19" s="22"/>
    </row>
    <row r="20" spans="1:16" x14ac:dyDescent="0.3">
      <c r="A20" s="7" t="s">
        <v>557</v>
      </c>
      <c r="B20" s="22" t="s">
        <v>639</v>
      </c>
      <c r="C20" s="22"/>
      <c r="D20" s="22"/>
      <c r="E20" s="11"/>
      <c r="F20" s="22"/>
      <c r="G20" s="22"/>
      <c r="H20" s="22"/>
      <c r="I20" s="22"/>
      <c r="J20" s="22"/>
      <c r="K20" s="22"/>
    </row>
    <row r="21" spans="1:16" x14ac:dyDescent="0.3">
      <c r="A21" s="22"/>
      <c r="B21" s="22" t="s">
        <v>560</v>
      </c>
      <c r="C21" s="22"/>
      <c r="D21" s="22"/>
      <c r="E21" s="22"/>
      <c r="H21" s="22"/>
      <c r="I21" s="22"/>
      <c r="K21" s="22"/>
      <c r="L21" s="22"/>
      <c r="M21" s="22"/>
      <c r="N21" s="22"/>
      <c r="O21" s="22"/>
      <c r="P21" s="22"/>
    </row>
    <row r="22" spans="1:16" x14ac:dyDescent="0.3">
      <c r="A22" s="22" t="s">
        <v>381</v>
      </c>
      <c r="B22" s="1" t="s">
        <v>553</v>
      </c>
      <c r="C22" s="1" t="s">
        <v>554</v>
      </c>
      <c r="D22" s="1" t="s">
        <v>382</v>
      </c>
      <c r="H22" s="22"/>
      <c r="I22" s="22"/>
      <c r="K22" s="22"/>
      <c r="L22" s="22"/>
      <c r="M22" s="22"/>
      <c r="N22" s="22"/>
      <c r="O22" s="22"/>
      <c r="P22" s="22"/>
    </row>
    <row r="23" spans="1:16" x14ac:dyDescent="0.3">
      <c r="A23" s="11">
        <v>-140</v>
      </c>
      <c r="B23" s="22">
        <v>-249.58835492815246</v>
      </c>
      <c r="C23" s="22">
        <v>117.12580661257739</v>
      </c>
      <c r="D23" s="22">
        <v>7</v>
      </c>
      <c r="H23" s="22"/>
      <c r="I23" s="22"/>
      <c r="K23" s="22"/>
      <c r="L23" s="22"/>
      <c r="M23" s="22"/>
      <c r="N23" s="22"/>
      <c r="O23" s="22"/>
      <c r="P23" s="22"/>
    </row>
    <row r="24" spans="1:16" x14ac:dyDescent="0.3">
      <c r="A24" s="11">
        <v>-130</v>
      </c>
      <c r="B24" s="22">
        <v>-192.92876783098532</v>
      </c>
      <c r="C24" s="22">
        <v>76.237787651266132</v>
      </c>
      <c r="D24" s="22">
        <v>7</v>
      </c>
      <c r="H24" s="22"/>
      <c r="I24" s="11"/>
      <c r="K24" s="22"/>
      <c r="L24" s="22"/>
      <c r="M24" s="22"/>
      <c r="N24" s="22"/>
      <c r="O24" s="22"/>
      <c r="P24" s="22"/>
    </row>
    <row r="25" spans="1:16" x14ac:dyDescent="0.3">
      <c r="A25" s="11">
        <v>-120</v>
      </c>
      <c r="B25" s="22">
        <v>-145.21580047607384</v>
      </c>
      <c r="C25" s="22">
        <v>49.106132990360322</v>
      </c>
      <c r="D25" s="22">
        <v>7</v>
      </c>
      <c r="H25" s="11"/>
      <c r="I25" s="11"/>
      <c r="K25" s="22"/>
      <c r="L25" s="22"/>
      <c r="M25" s="22"/>
      <c r="N25" s="22"/>
      <c r="O25" s="11"/>
      <c r="P25" s="11"/>
    </row>
    <row r="26" spans="1:16" x14ac:dyDescent="0.3">
      <c r="A26" s="11">
        <v>-110</v>
      </c>
      <c r="B26" s="22">
        <v>-98.044735499790036</v>
      </c>
      <c r="C26" s="22">
        <v>26.935639592742358</v>
      </c>
      <c r="D26" s="22">
        <v>7</v>
      </c>
      <c r="H26" s="11"/>
      <c r="I26" s="11"/>
      <c r="K26" s="22"/>
      <c r="L26" s="22"/>
      <c r="M26" s="22"/>
      <c r="N26" s="22"/>
      <c r="O26" s="11"/>
      <c r="P26" s="11"/>
    </row>
    <row r="27" spans="1:16" x14ac:dyDescent="0.3">
      <c r="A27" s="11">
        <v>-100</v>
      </c>
      <c r="B27" s="22">
        <v>-115.40982687813887</v>
      </c>
      <c r="C27" s="22">
        <v>59.19259304333977</v>
      </c>
      <c r="D27" s="22">
        <v>7</v>
      </c>
      <c r="H27" s="11"/>
      <c r="I27" s="11"/>
      <c r="K27" s="22"/>
      <c r="L27" s="22"/>
      <c r="M27" s="22"/>
      <c r="N27" s="22"/>
      <c r="O27" s="11"/>
      <c r="P27" s="11"/>
    </row>
    <row r="28" spans="1:16" x14ac:dyDescent="0.3">
      <c r="A28" s="11">
        <v>-90</v>
      </c>
      <c r="B28" s="22">
        <v>-70.671434511457164</v>
      </c>
      <c r="C28" s="22">
        <v>41.567298415003059</v>
      </c>
      <c r="D28" s="22">
        <v>7</v>
      </c>
      <c r="F28" s="11"/>
      <c r="G28" s="11"/>
      <c r="H28" s="11"/>
      <c r="I28" s="11"/>
      <c r="K28" s="22"/>
    </row>
    <row r="29" spans="1:16" x14ac:dyDescent="0.3">
      <c r="A29" s="11">
        <v>-80</v>
      </c>
      <c r="B29" s="22">
        <v>-12.85869120870308</v>
      </c>
      <c r="C29" s="22">
        <v>11.893537211427647</v>
      </c>
      <c r="D29" s="22">
        <v>7</v>
      </c>
      <c r="E29" s="22"/>
      <c r="J29" s="22"/>
      <c r="K29" s="22"/>
    </row>
    <row r="30" spans="1:16" x14ac:dyDescent="0.3">
      <c r="A30" s="11">
        <v>-70</v>
      </c>
      <c r="B30" s="22">
        <v>24.511018862043109</v>
      </c>
      <c r="C30" s="22">
        <v>9.3552034798434267</v>
      </c>
      <c r="D30" s="22">
        <v>7</v>
      </c>
      <c r="E30" s="22"/>
      <c r="J30" s="22"/>
      <c r="K30" s="22"/>
    </row>
    <row r="31" spans="1:16" x14ac:dyDescent="0.3">
      <c r="A31" s="11">
        <v>-60</v>
      </c>
      <c r="B31" s="22">
        <v>69.654010118756588</v>
      </c>
      <c r="C31" s="22">
        <v>22.842338037973239</v>
      </c>
      <c r="D31" s="22">
        <v>7</v>
      </c>
      <c r="E31" s="22"/>
      <c r="F31" s="22"/>
      <c r="G31" s="22"/>
      <c r="H31" s="22"/>
      <c r="I31" s="22"/>
      <c r="J31" s="22"/>
      <c r="K31" s="22"/>
    </row>
    <row r="32" spans="1:16" x14ac:dyDescent="0.3">
      <c r="A32" s="11">
        <v>-50</v>
      </c>
      <c r="B32" s="22">
        <v>109.94442531040757</v>
      </c>
      <c r="C32" s="22">
        <v>42.253166801572291</v>
      </c>
      <c r="D32" s="22">
        <v>7</v>
      </c>
      <c r="E32" s="22"/>
      <c r="F32" s="22"/>
      <c r="G32" s="22"/>
      <c r="H32" s="22"/>
      <c r="I32" s="22"/>
      <c r="J32" s="22"/>
      <c r="K32" s="22"/>
    </row>
    <row r="33" spans="1:11" x14ac:dyDescent="0.3">
      <c r="A33" s="11">
        <v>-40</v>
      </c>
      <c r="B33" s="22">
        <v>142.969311523437</v>
      </c>
      <c r="C33" s="22">
        <v>48.785870654965052</v>
      </c>
      <c r="D33" s="22">
        <v>7</v>
      </c>
      <c r="E33" s="22"/>
      <c r="F33" s="22"/>
      <c r="G33" s="22"/>
      <c r="H33" s="22"/>
      <c r="I33" s="22"/>
      <c r="J33" s="22"/>
      <c r="K33" s="22"/>
    </row>
    <row r="34" spans="1:11" x14ac:dyDescent="0.3">
      <c r="A34" s="11">
        <v>-30</v>
      </c>
      <c r="B34" s="22">
        <v>163.74176810128407</v>
      </c>
      <c r="C34" s="22">
        <v>57.588422731848176</v>
      </c>
      <c r="D34" s="22">
        <v>7</v>
      </c>
      <c r="E34" s="22"/>
      <c r="F34" s="22"/>
      <c r="G34" s="22"/>
      <c r="H34" s="22"/>
      <c r="I34" s="22"/>
      <c r="J34" s="22"/>
      <c r="K34" s="22"/>
    </row>
    <row r="35" spans="1:11" x14ac:dyDescent="0.3">
      <c r="A35" s="11">
        <v>-20</v>
      </c>
      <c r="B35" s="22">
        <v>202.27391967773403</v>
      </c>
      <c r="C35" s="22">
        <v>70.270550758097741</v>
      </c>
      <c r="D35" s="22">
        <v>7</v>
      </c>
      <c r="E35" s="22"/>
      <c r="F35" s="22"/>
      <c r="G35" s="22"/>
      <c r="H35" s="22"/>
      <c r="I35" s="22"/>
      <c r="J35" s="22"/>
      <c r="K35" s="22"/>
    </row>
    <row r="36" spans="1:11" x14ac:dyDescent="0.3">
      <c r="A36" s="11">
        <v>-10</v>
      </c>
      <c r="B36" s="22">
        <v>205.04882507323944</v>
      </c>
      <c r="C36" s="22">
        <v>64.818146609196731</v>
      </c>
      <c r="D36" s="22">
        <v>7</v>
      </c>
      <c r="E36" s="22"/>
    </row>
    <row r="37" spans="1:11" x14ac:dyDescent="0.3">
      <c r="A37" s="11"/>
      <c r="B37" s="22"/>
      <c r="C37" s="22"/>
      <c r="D37" s="22"/>
    </row>
    <row r="38" spans="1:11" x14ac:dyDescent="0.3">
      <c r="A38" s="22" t="s">
        <v>387</v>
      </c>
    </row>
    <row r="39" spans="1:11" x14ac:dyDescent="0.3">
      <c r="A39" s="22" t="s">
        <v>561</v>
      </c>
    </row>
    <row r="40" spans="1:11" x14ac:dyDescent="0.3">
      <c r="A40" s="22" t="s">
        <v>369</v>
      </c>
    </row>
    <row r="41" spans="1:11" x14ac:dyDescent="0.3">
      <c r="A41" s="22"/>
    </row>
    <row r="42" spans="1:11" x14ac:dyDescent="0.3">
      <c r="A42" s="22" t="s">
        <v>389</v>
      </c>
    </row>
    <row r="43" spans="1:11" x14ac:dyDescent="0.3">
      <c r="A43" s="22" t="s">
        <v>390</v>
      </c>
    </row>
    <row r="44" spans="1:11" x14ac:dyDescent="0.3">
      <c r="A44" s="22" t="s">
        <v>391</v>
      </c>
    </row>
    <row r="45" spans="1:11" x14ac:dyDescent="0.3">
      <c r="A45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/>
  </sheetViews>
  <sheetFormatPr baseColWidth="10" defaultRowHeight="14.4" x14ac:dyDescent="0.3"/>
  <cols>
    <col min="1" max="1" width="18" customWidth="1"/>
  </cols>
  <sheetData>
    <row r="1" spans="1:5" x14ac:dyDescent="0.3">
      <c r="A1" s="70" t="s">
        <v>667</v>
      </c>
      <c r="C1" s="22" t="s">
        <v>559</v>
      </c>
    </row>
    <row r="2" spans="1:5" x14ac:dyDescent="0.3">
      <c r="C2" s="15" t="s">
        <v>556</v>
      </c>
    </row>
    <row r="3" spans="1:5" x14ac:dyDescent="0.3">
      <c r="A3" t="s">
        <v>7</v>
      </c>
      <c r="B3" s="22" t="s">
        <v>12</v>
      </c>
      <c r="C3" s="11">
        <v>-1798.4851100000001</v>
      </c>
    </row>
    <row r="4" spans="1:5" x14ac:dyDescent="0.3">
      <c r="A4" s="22" t="s">
        <v>7</v>
      </c>
      <c r="B4" s="22" t="s">
        <v>12</v>
      </c>
      <c r="C4" s="11">
        <v>-1689.2497599999999</v>
      </c>
    </row>
    <row r="5" spans="1:5" x14ac:dyDescent="0.3">
      <c r="A5" s="22" t="s">
        <v>7</v>
      </c>
      <c r="B5" s="22" t="s">
        <v>12</v>
      </c>
      <c r="C5" s="11">
        <v>-472.10693400000002</v>
      </c>
    </row>
    <row r="6" spans="1:5" x14ac:dyDescent="0.3">
      <c r="A6" s="22" t="s">
        <v>8</v>
      </c>
      <c r="B6" t="s">
        <v>12</v>
      </c>
      <c r="C6" s="11">
        <v>-1335.56323</v>
      </c>
    </row>
    <row r="7" spans="1:5" x14ac:dyDescent="0.3">
      <c r="A7" s="22" t="s">
        <v>8</v>
      </c>
      <c r="B7" s="22" t="s">
        <v>12</v>
      </c>
      <c r="C7" s="11">
        <v>-687.53149399999995</v>
      </c>
    </row>
    <row r="8" spans="1:5" x14ac:dyDescent="0.3">
      <c r="A8" s="22" t="s">
        <v>8</v>
      </c>
      <c r="B8" s="22" t="s">
        <v>12</v>
      </c>
      <c r="C8" s="11">
        <v>-1419.32159</v>
      </c>
    </row>
    <row r="9" spans="1:5" x14ac:dyDescent="0.3">
      <c r="C9" s="11"/>
    </row>
    <row r="10" spans="1:5" x14ac:dyDescent="0.3">
      <c r="B10" t="s">
        <v>15</v>
      </c>
      <c r="C10" s="19">
        <v>-1234</v>
      </c>
    </row>
    <row r="11" spans="1:5" x14ac:dyDescent="0.3">
      <c r="B11" t="s">
        <v>380</v>
      </c>
      <c r="C11" s="19">
        <v>219.8</v>
      </c>
    </row>
    <row r="13" spans="1:5" x14ac:dyDescent="0.3">
      <c r="C13" s="22" t="s">
        <v>559</v>
      </c>
    </row>
    <row r="14" spans="1:5" x14ac:dyDescent="0.3">
      <c r="C14" s="7" t="s">
        <v>557</v>
      </c>
      <c r="E14" s="41"/>
    </row>
    <row r="15" spans="1:5" x14ac:dyDescent="0.3">
      <c r="A15" s="22" t="s">
        <v>7</v>
      </c>
      <c r="B15" s="22" t="s">
        <v>5</v>
      </c>
      <c r="C15" s="11">
        <v>-42.868102999999998</v>
      </c>
    </row>
    <row r="16" spans="1:5" x14ac:dyDescent="0.3">
      <c r="A16" s="22" t="s">
        <v>7</v>
      </c>
      <c r="B16" s="22" t="s">
        <v>5</v>
      </c>
      <c r="C16" s="11">
        <v>-109.002686</v>
      </c>
    </row>
    <row r="17" spans="1:3" x14ac:dyDescent="0.3">
      <c r="A17" s="22" t="s">
        <v>7</v>
      </c>
      <c r="B17" s="22" t="s">
        <v>5</v>
      </c>
      <c r="C17" s="11">
        <v>-914.76440400000001</v>
      </c>
    </row>
    <row r="18" spans="1:3" x14ac:dyDescent="0.3">
      <c r="A18" s="22" t="s">
        <v>7</v>
      </c>
      <c r="B18" s="22" t="s">
        <v>5</v>
      </c>
      <c r="C18" s="11">
        <v>-331.83874500000002</v>
      </c>
    </row>
    <row r="19" spans="1:3" x14ac:dyDescent="0.3">
      <c r="A19" s="22" t="s">
        <v>8</v>
      </c>
      <c r="B19" s="22" t="s">
        <v>6</v>
      </c>
      <c r="C19" s="11">
        <v>-76.978637699999993</v>
      </c>
    </row>
    <row r="20" spans="1:3" x14ac:dyDescent="0.3">
      <c r="A20" s="22" t="s">
        <v>8</v>
      </c>
      <c r="B20" s="22" t="s">
        <v>6</v>
      </c>
      <c r="C20" s="11">
        <v>-202.08436599999999</v>
      </c>
    </row>
    <row r="21" spans="1:3" x14ac:dyDescent="0.3">
      <c r="A21" s="22" t="s">
        <v>8</v>
      </c>
      <c r="B21" s="22" t="s">
        <v>6</v>
      </c>
      <c r="C21" s="11">
        <v>-69.581542999999996</v>
      </c>
    </row>
    <row r="23" spans="1:3" x14ac:dyDescent="0.3">
      <c r="B23" s="22" t="s">
        <v>15</v>
      </c>
      <c r="C23" s="19">
        <v>-249.6</v>
      </c>
    </row>
    <row r="24" spans="1:3" x14ac:dyDescent="0.3">
      <c r="B24" s="22" t="s">
        <v>380</v>
      </c>
      <c r="C24" s="19">
        <v>117.1</v>
      </c>
    </row>
    <row r="26" spans="1:3" x14ac:dyDescent="0.3">
      <c r="A26" s="31" t="s">
        <v>400</v>
      </c>
      <c r="B26" s="11"/>
    </row>
    <row r="27" spans="1:3" x14ac:dyDescent="0.3">
      <c r="A27" s="24" t="s">
        <v>393</v>
      </c>
      <c r="B27" s="11">
        <v>4.7000000000000002E-3</v>
      </c>
    </row>
    <row r="28" spans="1:3" x14ac:dyDescent="0.3">
      <c r="A28" s="24" t="s">
        <v>441</v>
      </c>
      <c r="B28" s="11" t="s">
        <v>420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zoomScaleNormal="100" workbookViewId="0"/>
  </sheetViews>
  <sheetFormatPr baseColWidth="10" defaultRowHeight="14.4" x14ac:dyDescent="0.3"/>
  <cols>
    <col min="1" max="1" width="20.77734375" style="22" customWidth="1"/>
    <col min="2" max="2" width="10.5546875" style="22" customWidth="1"/>
    <col min="3" max="3" width="6.88671875" style="22" customWidth="1"/>
    <col min="4" max="4" width="10" style="22" customWidth="1"/>
    <col min="5" max="10" width="11.5546875" style="22"/>
    <col min="11" max="11" width="13.88671875" style="22" customWidth="1"/>
    <col min="12" max="14" width="11.5546875" style="22"/>
  </cols>
  <sheetData>
    <row r="1" spans="1:5" x14ac:dyDescent="0.3">
      <c r="A1" s="70" t="s">
        <v>671</v>
      </c>
      <c r="B1" s="1"/>
      <c r="C1" s="1" t="s">
        <v>596</v>
      </c>
      <c r="D1" s="1" t="s">
        <v>597</v>
      </c>
      <c r="E1" s="1" t="s">
        <v>640</v>
      </c>
    </row>
    <row r="2" spans="1:5" x14ac:dyDescent="0.3">
      <c r="A2" s="15" t="s">
        <v>556</v>
      </c>
      <c r="B2" s="22" t="s">
        <v>7</v>
      </c>
      <c r="C2" s="22">
        <v>1</v>
      </c>
      <c r="D2" s="22" t="s">
        <v>600</v>
      </c>
      <c r="E2" s="22">
        <v>892.95</v>
      </c>
    </row>
    <row r="3" spans="1:5" x14ac:dyDescent="0.3">
      <c r="B3" s="22" t="s">
        <v>7</v>
      </c>
      <c r="C3" s="22">
        <v>2</v>
      </c>
      <c r="D3" s="22" t="s">
        <v>600</v>
      </c>
      <c r="E3" s="22">
        <v>976.11</v>
      </c>
    </row>
    <row r="4" spans="1:5" x14ac:dyDescent="0.3">
      <c r="B4" s="22" t="s">
        <v>7</v>
      </c>
      <c r="C4" s="22">
        <v>3</v>
      </c>
      <c r="D4" s="22" t="s">
        <v>600</v>
      </c>
      <c r="E4" s="22">
        <v>1001.03</v>
      </c>
    </row>
    <row r="5" spans="1:5" x14ac:dyDescent="0.3">
      <c r="B5" s="22" t="s">
        <v>7</v>
      </c>
      <c r="C5" s="22">
        <v>4</v>
      </c>
      <c r="D5" s="22" t="s">
        <v>600</v>
      </c>
      <c r="E5" s="22">
        <v>657.53</v>
      </c>
    </row>
    <row r="6" spans="1:5" x14ac:dyDescent="0.3">
      <c r="B6" s="22" t="s">
        <v>7</v>
      </c>
      <c r="C6" s="22">
        <v>5</v>
      </c>
      <c r="D6" s="22" t="s">
        <v>600</v>
      </c>
      <c r="E6" s="22">
        <v>713.14</v>
      </c>
    </row>
    <row r="7" spans="1:5" x14ac:dyDescent="0.3">
      <c r="B7" s="22" t="s">
        <v>7</v>
      </c>
      <c r="C7" s="22">
        <v>1</v>
      </c>
      <c r="D7" s="22" t="s">
        <v>600</v>
      </c>
      <c r="E7" s="22">
        <v>788.82</v>
      </c>
    </row>
    <row r="8" spans="1:5" x14ac:dyDescent="0.3">
      <c r="B8" s="22" t="s">
        <v>7</v>
      </c>
      <c r="C8" s="22">
        <v>2</v>
      </c>
      <c r="D8" s="22" t="s">
        <v>600</v>
      </c>
      <c r="E8" s="22">
        <v>1509.3</v>
      </c>
    </row>
    <row r="9" spans="1:5" x14ac:dyDescent="0.3">
      <c r="B9" s="22" t="s">
        <v>7</v>
      </c>
      <c r="C9" s="22">
        <v>3</v>
      </c>
      <c r="D9" s="22" t="s">
        <v>600</v>
      </c>
      <c r="E9" s="22">
        <v>1276.99</v>
      </c>
    </row>
    <row r="10" spans="1:5" x14ac:dyDescent="0.3">
      <c r="B10" s="22" t="s">
        <v>7</v>
      </c>
      <c r="C10" s="22">
        <v>4</v>
      </c>
      <c r="D10" s="22" t="s">
        <v>600</v>
      </c>
      <c r="E10" s="22">
        <v>997.99</v>
      </c>
    </row>
    <row r="11" spans="1:5" x14ac:dyDescent="0.3">
      <c r="B11" s="22" t="s">
        <v>7</v>
      </c>
      <c r="C11" s="22">
        <v>5</v>
      </c>
      <c r="D11" s="22" t="s">
        <v>600</v>
      </c>
      <c r="E11" s="22">
        <v>679.7</v>
      </c>
    </row>
    <row r="12" spans="1:5" x14ac:dyDescent="0.3">
      <c r="B12" s="22" t="s">
        <v>7</v>
      </c>
      <c r="C12" s="22">
        <v>6</v>
      </c>
      <c r="D12" s="22" t="s">
        <v>600</v>
      </c>
      <c r="E12" s="22">
        <v>919.41</v>
      </c>
    </row>
    <row r="13" spans="1:5" x14ac:dyDescent="0.3">
      <c r="B13" s="22" t="s">
        <v>7</v>
      </c>
      <c r="C13" s="22">
        <v>7</v>
      </c>
      <c r="D13" s="22" t="s">
        <v>600</v>
      </c>
      <c r="E13" s="22">
        <v>891.08</v>
      </c>
    </row>
    <row r="14" spans="1:5" x14ac:dyDescent="0.3">
      <c r="B14" s="22" t="s">
        <v>7</v>
      </c>
      <c r="C14" s="22">
        <v>8</v>
      </c>
      <c r="D14" s="22" t="s">
        <v>600</v>
      </c>
      <c r="E14" s="22">
        <v>922.27</v>
      </c>
    </row>
    <row r="15" spans="1:5" x14ac:dyDescent="0.3">
      <c r="B15" s="22" t="s">
        <v>7</v>
      </c>
      <c r="C15" s="22">
        <v>9</v>
      </c>
      <c r="D15" s="22" t="s">
        <v>600</v>
      </c>
      <c r="E15" s="22">
        <v>657.52</v>
      </c>
    </row>
    <row r="16" spans="1:5" x14ac:dyDescent="0.3">
      <c r="B16" s="22" t="s">
        <v>7</v>
      </c>
      <c r="C16" s="22">
        <v>1</v>
      </c>
      <c r="D16" s="22" t="s">
        <v>600</v>
      </c>
      <c r="E16" s="22">
        <v>303.08</v>
      </c>
    </row>
    <row r="17" spans="1:5" x14ac:dyDescent="0.3">
      <c r="B17" s="22" t="s">
        <v>7</v>
      </c>
      <c r="C17" s="22">
        <v>2</v>
      </c>
      <c r="D17" s="22" t="s">
        <v>600</v>
      </c>
      <c r="E17" s="22">
        <v>742.89</v>
      </c>
    </row>
    <row r="18" spans="1:5" x14ac:dyDescent="0.3">
      <c r="B18" s="22" t="s">
        <v>7</v>
      </c>
      <c r="C18" s="22">
        <v>3</v>
      </c>
      <c r="D18" s="22" t="s">
        <v>600</v>
      </c>
      <c r="E18" s="22">
        <v>808.53</v>
      </c>
    </row>
    <row r="19" spans="1:5" x14ac:dyDescent="0.3">
      <c r="B19" s="22" t="s">
        <v>7</v>
      </c>
      <c r="C19" s="22">
        <v>4</v>
      </c>
      <c r="D19" s="22" t="s">
        <v>600</v>
      </c>
      <c r="E19" s="22">
        <v>647.69000000000005</v>
      </c>
    </row>
    <row r="20" spans="1:5" x14ac:dyDescent="0.3">
      <c r="B20" s="22" t="s">
        <v>7</v>
      </c>
      <c r="C20" s="22">
        <v>5</v>
      </c>
      <c r="D20" s="22" t="s">
        <v>600</v>
      </c>
      <c r="E20" s="22">
        <v>939.4</v>
      </c>
    </row>
    <row r="21" spans="1:5" x14ac:dyDescent="0.3">
      <c r="B21" s="22" t="s">
        <v>7</v>
      </c>
      <c r="C21" s="22">
        <v>6</v>
      </c>
      <c r="D21" s="22" t="s">
        <v>600</v>
      </c>
      <c r="E21" s="22">
        <v>741.03</v>
      </c>
    </row>
    <row r="22" spans="1:5" x14ac:dyDescent="0.3">
      <c r="B22" s="22" t="s">
        <v>7</v>
      </c>
      <c r="C22" s="22">
        <v>7</v>
      </c>
      <c r="D22" s="22" t="s">
        <v>600</v>
      </c>
      <c r="E22" s="22">
        <v>880.22</v>
      </c>
    </row>
    <row r="23" spans="1:5" x14ac:dyDescent="0.3">
      <c r="B23" s="22" t="s">
        <v>7</v>
      </c>
      <c r="C23" s="22">
        <v>8</v>
      </c>
      <c r="D23" s="22" t="s">
        <v>600</v>
      </c>
      <c r="E23" s="22">
        <v>577.72</v>
      </c>
    </row>
    <row r="24" spans="1:5" x14ac:dyDescent="0.3">
      <c r="B24" s="22" t="s">
        <v>7</v>
      </c>
      <c r="C24" s="22">
        <v>9</v>
      </c>
      <c r="D24" s="22" t="s">
        <v>600</v>
      </c>
      <c r="E24" s="22">
        <v>619.45000000000005</v>
      </c>
    </row>
    <row r="25" spans="1:5" x14ac:dyDescent="0.3">
      <c r="B25" s="22" t="s">
        <v>7</v>
      </c>
      <c r="C25" s="22">
        <v>1</v>
      </c>
      <c r="D25" s="22" t="s">
        <v>600</v>
      </c>
      <c r="E25" s="22">
        <v>1139.3699999999999</v>
      </c>
    </row>
    <row r="26" spans="1:5" x14ac:dyDescent="0.3">
      <c r="B26" s="22" t="s">
        <v>7</v>
      </c>
      <c r="C26" s="22">
        <v>2</v>
      </c>
      <c r="D26" s="22" t="s">
        <v>600</v>
      </c>
      <c r="E26" s="22">
        <v>1029.05</v>
      </c>
    </row>
    <row r="27" spans="1:5" x14ac:dyDescent="0.3">
      <c r="B27" s="22" t="s">
        <v>7</v>
      </c>
      <c r="C27" s="22">
        <v>3</v>
      </c>
      <c r="D27" s="22" t="s">
        <v>600</v>
      </c>
      <c r="E27" s="22">
        <v>464.51</v>
      </c>
    </row>
    <row r="28" spans="1:5" x14ac:dyDescent="0.3">
      <c r="B28" s="22" t="s">
        <v>7</v>
      </c>
      <c r="C28" s="22">
        <v>4</v>
      </c>
      <c r="D28" s="22" t="s">
        <v>600</v>
      </c>
      <c r="E28" s="22">
        <v>642.82000000000005</v>
      </c>
    </row>
    <row r="29" spans="1:5" x14ac:dyDescent="0.3">
      <c r="B29" s="22" t="s">
        <v>7</v>
      </c>
      <c r="C29" s="22">
        <v>5</v>
      </c>
      <c r="D29" s="22" t="s">
        <v>600</v>
      </c>
      <c r="E29" s="22">
        <v>705.07</v>
      </c>
    </row>
    <row r="30" spans="1:5" x14ac:dyDescent="0.3">
      <c r="B30" s="22" t="s">
        <v>7</v>
      </c>
      <c r="C30" s="22">
        <v>6</v>
      </c>
      <c r="D30" s="22" t="s">
        <v>600</v>
      </c>
      <c r="E30" s="22">
        <v>776.76</v>
      </c>
    </row>
    <row r="31" spans="1:5" x14ac:dyDescent="0.3">
      <c r="A31" s="15" t="s">
        <v>556</v>
      </c>
      <c r="B31" s="22" t="s">
        <v>8</v>
      </c>
      <c r="C31" s="22">
        <v>1</v>
      </c>
      <c r="D31" s="22" t="s">
        <v>600</v>
      </c>
      <c r="E31" s="22">
        <v>570.09</v>
      </c>
    </row>
    <row r="32" spans="1:5" x14ac:dyDescent="0.3">
      <c r="B32" s="22" t="s">
        <v>8</v>
      </c>
      <c r="C32" s="22">
        <v>2</v>
      </c>
      <c r="D32" s="22" t="s">
        <v>600</v>
      </c>
      <c r="E32" s="22">
        <v>458.05</v>
      </c>
    </row>
    <row r="33" spans="2:5" x14ac:dyDescent="0.3">
      <c r="B33" s="22" t="s">
        <v>8</v>
      </c>
      <c r="C33" s="22">
        <v>3</v>
      </c>
      <c r="D33" s="22" t="s">
        <v>600</v>
      </c>
      <c r="E33" s="22">
        <v>1045.03</v>
      </c>
    </row>
    <row r="34" spans="2:5" x14ac:dyDescent="0.3">
      <c r="B34" s="22" t="s">
        <v>8</v>
      </c>
      <c r="C34" s="22">
        <v>4</v>
      </c>
      <c r="D34" s="22" t="s">
        <v>600</v>
      </c>
      <c r="E34" s="22">
        <v>604.79999999999995</v>
      </c>
    </row>
    <row r="35" spans="2:5" x14ac:dyDescent="0.3">
      <c r="B35" s="22" t="s">
        <v>8</v>
      </c>
      <c r="C35" s="22">
        <v>5</v>
      </c>
      <c r="D35" s="22" t="s">
        <v>600</v>
      </c>
      <c r="E35" s="22">
        <v>729.78</v>
      </c>
    </row>
    <row r="36" spans="2:5" x14ac:dyDescent="0.3">
      <c r="B36" s="22" t="s">
        <v>8</v>
      </c>
      <c r="C36" s="22">
        <v>6</v>
      </c>
      <c r="D36" s="22" t="s">
        <v>600</v>
      </c>
      <c r="E36" s="22">
        <v>1296.74</v>
      </c>
    </row>
    <row r="37" spans="2:5" x14ac:dyDescent="0.3">
      <c r="B37" s="22" t="s">
        <v>8</v>
      </c>
      <c r="C37" s="22">
        <v>7</v>
      </c>
      <c r="D37" s="22" t="s">
        <v>600</v>
      </c>
      <c r="E37" s="22">
        <v>739.09</v>
      </c>
    </row>
    <row r="38" spans="2:5" x14ac:dyDescent="0.3">
      <c r="B38" s="22" t="s">
        <v>8</v>
      </c>
      <c r="C38" s="22">
        <v>1</v>
      </c>
      <c r="D38" s="22" t="s">
        <v>600</v>
      </c>
      <c r="E38" s="22">
        <v>1610.07</v>
      </c>
    </row>
    <row r="39" spans="2:5" x14ac:dyDescent="0.3">
      <c r="B39" s="22" t="s">
        <v>8</v>
      </c>
      <c r="C39" s="22">
        <v>2</v>
      </c>
      <c r="D39" s="22" t="s">
        <v>600</v>
      </c>
      <c r="E39" s="22">
        <v>865.19</v>
      </c>
    </row>
    <row r="40" spans="2:5" x14ac:dyDescent="0.3">
      <c r="B40" s="22" t="s">
        <v>8</v>
      </c>
      <c r="C40" s="22">
        <v>3</v>
      </c>
      <c r="D40" s="22" t="s">
        <v>600</v>
      </c>
      <c r="E40" s="22">
        <v>749.47</v>
      </c>
    </row>
    <row r="41" spans="2:5" x14ac:dyDescent="0.3">
      <c r="B41" s="22" t="s">
        <v>8</v>
      </c>
      <c r="C41" s="22">
        <v>4</v>
      </c>
      <c r="D41" s="22" t="s">
        <v>600</v>
      </c>
      <c r="E41" s="22">
        <v>1072.1400000000001</v>
      </c>
    </row>
    <row r="42" spans="2:5" x14ac:dyDescent="0.3">
      <c r="B42" s="22" t="s">
        <v>8</v>
      </c>
      <c r="C42" s="22">
        <v>5</v>
      </c>
      <c r="D42" s="22" t="s">
        <v>600</v>
      </c>
      <c r="E42" s="22">
        <v>952.86</v>
      </c>
    </row>
    <row r="43" spans="2:5" x14ac:dyDescent="0.3">
      <c r="B43" s="22" t="s">
        <v>8</v>
      </c>
      <c r="C43" s="22">
        <v>6</v>
      </c>
      <c r="D43" s="22" t="s">
        <v>600</v>
      </c>
      <c r="E43" s="22">
        <v>1124.0899999999999</v>
      </c>
    </row>
    <row r="44" spans="2:5" x14ac:dyDescent="0.3">
      <c r="B44" s="22" t="s">
        <v>8</v>
      </c>
      <c r="C44" s="22">
        <v>7</v>
      </c>
      <c r="D44" s="22" t="s">
        <v>600</v>
      </c>
      <c r="E44" s="22">
        <v>941.28</v>
      </c>
    </row>
    <row r="45" spans="2:5" x14ac:dyDescent="0.3">
      <c r="B45" s="22" t="s">
        <v>8</v>
      </c>
      <c r="C45" s="22">
        <v>8</v>
      </c>
      <c r="D45" s="22" t="s">
        <v>600</v>
      </c>
      <c r="E45" s="22">
        <v>1034.44</v>
      </c>
    </row>
    <row r="46" spans="2:5" x14ac:dyDescent="0.3">
      <c r="B46" s="22" t="s">
        <v>8</v>
      </c>
      <c r="C46" s="22">
        <v>9</v>
      </c>
      <c r="D46" s="22" t="s">
        <v>600</v>
      </c>
      <c r="E46" s="22">
        <v>963.02</v>
      </c>
    </row>
    <row r="47" spans="2:5" x14ac:dyDescent="0.3">
      <c r="B47" s="22" t="s">
        <v>8</v>
      </c>
      <c r="C47" s="22">
        <v>10</v>
      </c>
      <c r="D47" s="22" t="s">
        <v>600</v>
      </c>
      <c r="E47" s="22">
        <v>499.34</v>
      </c>
    </row>
    <row r="48" spans="2:5" x14ac:dyDescent="0.3">
      <c r="B48" s="22" t="s">
        <v>8</v>
      </c>
      <c r="C48" s="22">
        <v>1</v>
      </c>
      <c r="D48" s="22" t="s">
        <v>600</v>
      </c>
      <c r="E48" s="22">
        <v>665.16</v>
      </c>
    </row>
    <row r="49" spans="2:5" x14ac:dyDescent="0.3">
      <c r="B49" s="22" t="s">
        <v>8</v>
      </c>
      <c r="C49" s="22">
        <v>2</v>
      </c>
      <c r="D49" s="22" t="s">
        <v>600</v>
      </c>
      <c r="E49" s="22">
        <v>975.35</v>
      </c>
    </row>
    <row r="50" spans="2:5" x14ac:dyDescent="0.3">
      <c r="B50" s="22" t="s">
        <v>8</v>
      </c>
      <c r="C50" s="22">
        <v>3</v>
      </c>
      <c r="D50" s="22" t="s">
        <v>600</v>
      </c>
      <c r="E50" s="22">
        <v>998.2</v>
      </c>
    </row>
    <row r="51" spans="2:5" x14ac:dyDescent="0.3">
      <c r="B51" s="22" t="s">
        <v>8</v>
      </c>
      <c r="C51" s="22">
        <v>4</v>
      </c>
      <c r="D51" s="22" t="s">
        <v>600</v>
      </c>
      <c r="E51" s="22">
        <v>864.61</v>
      </c>
    </row>
    <row r="52" spans="2:5" x14ac:dyDescent="0.3">
      <c r="B52" s="22" t="s">
        <v>8</v>
      </c>
      <c r="C52" s="22">
        <v>5</v>
      </c>
      <c r="D52" s="22" t="s">
        <v>600</v>
      </c>
      <c r="E52" s="22">
        <v>539.04999999999995</v>
      </c>
    </row>
    <row r="53" spans="2:5" x14ac:dyDescent="0.3">
      <c r="B53" s="22" t="s">
        <v>8</v>
      </c>
      <c r="C53" s="22">
        <v>6</v>
      </c>
      <c r="D53" s="22" t="s">
        <v>600</v>
      </c>
      <c r="E53" s="22">
        <v>444.13</v>
      </c>
    </row>
    <row r="54" spans="2:5" x14ac:dyDescent="0.3">
      <c r="B54" s="22" t="s">
        <v>8</v>
      </c>
      <c r="C54" s="22">
        <v>7</v>
      </c>
      <c r="D54" s="22" t="s">
        <v>600</v>
      </c>
      <c r="E54" s="22">
        <v>442.46</v>
      </c>
    </row>
    <row r="55" spans="2:5" x14ac:dyDescent="0.3">
      <c r="B55" s="22" t="s">
        <v>8</v>
      </c>
      <c r="C55" s="22">
        <v>1</v>
      </c>
      <c r="D55" s="22" t="s">
        <v>600</v>
      </c>
      <c r="E55" s="22">
        <v>864.09</v>
      </c>
    </row>
    <row r="56" spans="2:5" x14ac:dyDescent="0.3">
      <c r="B56" s="22" t="s">
        <v>8</v>
      </c>
      <c r="C56" s="22">
        <v>2</v>
      </c>
      <c r="D56" s="22" t="s">
        <v>600</v>
      </c>
      <c r="E56" s="22">
        <v>461.55</v>
      </c>
    </row>
    <row r="57" spans="2:5" x14ac:dyDescent="0.3">
      <c r="B57" s="22" t="s">
        <v>8</v>
      </c>
      <c r="C57" s="22">
        <v>3</v>
      </c>
      <c r="D57" s="22" t="s">
        <v>600</v>
      </c>
      <c r="E57" s="22">
        <v>525.44000000000005</v>
      </c>
    </row>
    <row r="58" spans="2:5" x14ac:dyDescent="0.3">
      <c r="B58" s="22" t="s">
        <v>8</v>
      </c>
      <c r="C58" s="22">
        <v>4</v>
      </c>
      <c r="D58" s="22" t="s">
        <v>600</v>
      </c>
      <c r="E58" s="22">
        <v>514.29999999999995</v>
      </c>
    </row>
    <row r="59" spans="2:5" x14ac:dyDescent="0.3">
      <c r="B59" s="22" t="s">
        <v>8</v>
      </c>
      <c r="C59" s="22">
        <v>5</v>
      </c>
      <c r="D59" s="22" t="s">
        <v>600</v>
      </c>
      <c r="E59" s="22">
        <v>758.86</v>
      </c>
    </row>
    <row r="60" spans="2:5" x14ac:dyDescent="0.3">
      <c r="B60" s="22" t="s">
        <v>8</v>
      </c>
      <c r="C60" s="22">
        <v>6</v>
      </c>
      <c r="D60" s="22" t="s">
        <v>600</v>
      </c>
      <c r="E60" s="22">
        <v>811.17</v>
      </c>
    </row>
    <row r="61" spans="2:5" x14ac:dyDescent="0.3">
      <c r="B61" s="22" t="s">
        <v>8</v>
      </c>
      <c r="C61" s="22">
        <v>7</v>
      </c>
      <c r="D61" s="22" t="s">
        <v>600</v>
      </c>
      <c r="E61" s="22">
        <v>567.54999999999995</v>
      </c>
    </row>
    <row r="62" spans="2:5" x14ac:dyDescent="0.3">
      <c r="B62" s="22" t="s">
        <v>8</v>
      </c>
      <c r="C62" s="22">
        <v>8</v>
      </c>
      <c r="D62" s="22" t="s">
        <v>600</v>
      </c>
      <c r="E62" s="22">
        <v>921.29</v>
      </c>
    </row>
    <row r="63" spans="2:5" x14ac:dyDescent="0.3">
      <c r="B63" s="22" t="s">
        <v>8</v>
      </c>
      <c r="C63" s="22">
        <v>9</v>
      </c>
      <c r="D63" s="22" t="s">
        <v>600</v>
      </c>
      <c r="E63" s="22">
        <v>1232.8800000000001</v>
      </c>
    </row>
    <row r="64" spans="2:5" x14ac:dyDescent="0.3">
      <c r="B64" s="22" t="s">
        <v>8</v>
      </c>
      <c r="C64" s="22">
        <v>10</v>
      </c>
      <c r="D64" s="22" t="s">
        <v>600</v>
      </c>
      <c r="E64" s="22">
        <v>996.83</v>
      </c>
    </row>
    <row r="65" spans="1:5" x14ac:dyDescent="0.3">
      <c r="B65" s="22" t="s">
        <v>8</v>
      </c>
      <c r="C65" s="22">
        <v>11</v>
      </c>
      <c r="D65" s="22" t="s">
        <v>600</v>
      </c>
      <c r="E65" s="22">
        <v>616.91</v>
      </c>
    </row>
    <row r="66" spans="1:5" x14ac:dyDescent="0.3">
      <c r="B66" s="22" t="s">
        <v>8</v>
      </c>
      <c r="C66" s="22">
        <v>12</v>
      </c>
      <c r="D66" s="22" t="s">
        <v>600</v>
      </c>
      <c r="E66" s="22">
        <v>777.04</v>
      </c>
    </row>
    <row r="67" spans="1:5" x14ac:dyDescent="0.3">
      <c r="A67" s="15" t="s">
        <v>556</v>
      </c>
      <c r="B67" s="22" t="s">
        <v>9</v>
      </c>
      <c r="C67" s="22">
        <v>1</v>
      </c>
      <c r="D67" s="22" t="s">
        <v>600</v>
      </c>
      <c r="E67" s="22">
        <v>783.07</v>
      </c>
    </row>
    <row r="68" spans="1:5" x14ac:dyDescent="0.3">
      <c r="B68" s="22" t="s">
        <v>9</v>
      </c>
      <c r="C68" s="22">
        <v>2</v>
      </c>
      <c r="D68" s="22" t="s">
        <v>600</v>
      </c>
      <c r="E68" s="22">
        <v>850.47</v>
      </c>
    </row>
    <row r="69" spans="1:5" x14ac:dyDescent="0.3">
      <c r="B69" s="22" t="s">
        <v>9</v>
      </c>
      <c r="C69" s="22">
        <v>1</v>
      </c>
      <c r="D69" s="22" t="s">
        <v>600</v>
      </c>
      <c r="E69" s="22">
        <v>758.31</v>
      </c>
    </row>
    <row r="70" spans="1:5" x14ac:dyDescent="0.3">
      <c r="B70" s="22" t="s">
        <v>9</v>
      </c>
      <c r="C70" s="22">
        <v>2</v>
      </c>
      <c r="D70" s="22" t="s">
        <v>600</v>
      </c>
      <c r="E70" s="22">
        <v>513.25</v>
      </c>
    </row>
    <row r="71" spans="1:5" x14ac:dyDescent="0.3">
      <c r="B71" s="22" t="s">
        <v>9</v>
      </c>
      <c r="C71" s="22">
        <v>3</v>
      </c>
      <c r="D71" s="22" t="s">
        <v>600</v>
      </c>
      <c r="E71" s="22">
        <v>1058.99</v>
      </c>
    </row>
    <row r="72" spans="1:5" x14ac:dyDescent="0.3">
      <c r="B72" s="22" t="s">
        <v>9</v>
      </c>
      <c r="C72" s="22">
        <v>4</v>
      </c>
      <c r="D72" s="22" t="s">
        <v>600</v>
      </c>
      <c r="E72" s="22">
        <v>736.14</v>
      </c>
    </row>
    <row r="73" spans="1:5" x14ac:dyDescent="0.3">
      <c r="B73" s="22" t="s">
        <v>9</v>
      </c>
      <c r="C73" s="22">
        <v>5</v>
      </c>
      <c r="D73" s="22" t="s">
        <v>600</v>
      </c>
      <c r="E73" s="22">
        <v>1169.71</v>
      </c>
    </row>
    <row r="74" spans="1:5" x14ac:dyDescent="0.3">
      <c r="B74" s="22" t="s">
        <v>9</v>
      </c>
      <c r="C74" s="22">
        <v>6</v>
      </c>
      <c r="D74" s="22" t="s">
        <v>600</v>
      </c>
      <c r="E74" s="22">
        <v>1094.51</v>
      </c>
    </row>
    <row r="75" spans="1:5" x14ac:dyDescent="0.3">
      <c r="B75" s="22" t="s">
        <v>9</v>
      </c>
      <c r="C75" s="22">
        <v>7</v>
      </c>
      <c r="D75" s="22" t="s">
        <v>600</v>
      </c>
      <c r="E75" s="22">
        <v>807.03</v>
      </c>
    </row>
    <row r="76" spans="1:5" x14ac:dyDescent="0.3">
      <c r="B76" s="22" t="s">
        <v>9</v>
      </c>
      <c r="C76" s="22">
        <v>1</v>
      </c>
      <c r="D76" s="22" t="s">
        <v>600</v>
      </c>
      <c r="E76" s="22">
        <v>1133.52</v>
      </c>
    </row>
    <row r="77" spans="1:5" x14ac:dyDescent="0.3">
      <c r="B77" s="22" t="s">
        <v>9</v>
      </c>
      <c r="C77" s="22">
        <v>2</v>
      </c>
      <c r="D77" s="22" t="s">
        <v>600</v>
      </c>
      <c r="E77" s="22">
        <v>1195.83</v>
      </c>
    </row>
    <row r="78" spans="1:5" x14ac:dyDescent="0.3">
      <c r="B78" s="22" t="s">
        <v>9</v>
      </c>
      <c r="C78" s="22">
        <v>3</v>
      </c>
      <c r="D78" s="22" t="s">
        <v>600</v>
      </c>
      <c r="E78" s="22">
        <v>726.99</v>
      </c>
    </row>
    <row r="79" spans="1:5" x14ac:dyDescent="0.3">
      <c r="B79" s="22" t="s">
        <v>9</v>
      </c>
      <c r="C79" s="22">
        <v>4</v>
      </c>
      <c r="D79" s="22" t="s">
        <v>600</v>
      </c>
      <c r="E79" s="22">
        <v>1134.3699999999999</v>
      </c>
    </row>
    <row r="80" spans="1:5" x14ac:dyDescent="0.3">
      <c r="B80" s="22" t="s">
        <v>9</v>
      </c>
      <c r="C80" s="22">
        <v>5</v>
      </c>
      <c r="D80" s="22" t="s">
        <v>600</v>
      </c>
      <c r="E80" s="22">
        <v>983.85</v>
      </c>
    </row>
    <row r="81" spans="1:5" x14ac:dyDescent="0.3">
      <c r="B81" s="22" t="s">
        <v>9</v>
      </c>
      <c r="C81" s="22">
        <v>6</v>
      </c>
      <c r="D81" s="22" t="s">
        <v>600</v>
      </c>
      <c r="E81" s="22">
        <v>692.1</v>
      </c>
    </row>
    <row r="82" spans="1:5" x14ac:dyDescent="0.3">
      <c r="B82" s="22" t="s">
        <v>9</v>
      </c>
      <c r="C82" s="22">
        <v>7</v>
      </c>
      <c r="D82" s="22" t="s">
        <v>600</v>
      </c>
      <c r="E82" s="22">
        <v>830.96</v>
      </c>
    </row>
    <row r="83" spans="1:5" x14ac:dyDescent="0.3">
      <c r="B83" s="22" t="s">
        <v>9</v>
      </c>
      <c r="C83" s="22">
        <v>8</v>
      </c>
      <c r="D83" s="22" t="s">
        <v>600</v>
      </c>
      <c r="E83" s="22">
        <v>561.37</v>
      </c>
    </row>
    <row r="84" spans="1:5" x14ac:dyDescent="0.3">
      <c r="B84" s="22" t="s">
        <v>9</v>
      </c>
      <c r="C84" s="22">
        <v>1</v>
      </c>
      <c r="D84" s="22" t="s">
        <v>600</v>
      </c>
      <c r="E84" s="22">
        <v>931.02</v>
      </c>
    </row>
    <row r="85" spans="1:5" x14ac:dyDescent="0.3">
      <c r="B85" s="22" t="s">
        <v>9</v>
      </c>
      <c r="C85" s="22">
        <v>2</v>
      </c>
      <c r="D85" s="22" t="s">
        <v>600</v>
      </c>
      <c r="E85" s="22">
        <v>859.2</v>
      </c>
    </row>
    <row r="86" spans="1:5" x14ac:dyDescent="0.3">
      <c r="B86" s="22" t="s">
        <v>9</v>
      </c>
      <c r="C86" s="22">
        <v>3</v>
      </c>
      <c r="D86" s="22" t="s">
        <v>600</v>
      </c>
      <c r="E86" s="22">
        <v>705.18</v>
      </c>
    </row>
    <row r="87" spans="1:5" x14ac:dyDescent="0.3">
      <c r="B87" s="22" t="s">
        <v>9</v>
      </c>
      <c r="C87" s="22">
        <v>4</v>
      </c>
      <c r="D87" s="22" t="s">
        <v>600</v>
      </c>
      <c r="E87" s="22">
        <v>797.92</v>
      </c>
    </row>
    <row r="88" spans="1:5" x14ac:dyDescent="0.3">
      <c r="B88" s="22" t="s">
        <v>9</v>
      </c>
      <c r="C88" s="22">
        <v>5</v>
      </c>
      <c r="D88" s="22" t="s">
        <v>600</v>
      </c>
      <c r="E88" s="22">
        <v>1091.8</v>
      </c>
    </row>
    <row r="89" spans="1:5" x14ac:dyDescent="0.3">
      <c r="B89" s="22" t="s">
        <v>9</v>
      </c>
      <c r="C89" s="22">
        <v>6</v>
      </c>
      <c r="D89" s="22" t="s">
        <v>600</v>
      </c>
      <c r="E89" s="22">
        <v>740.18</v>
      </c>
    </row>
    <row r="92" spans="1:5" x14ac:dyDescent="0.3">
      <c r="D92" s="22" t="s">
        <v>15</v>
      </c>
      <c r="E92" s="22">
        <f>AVERAGE(E2:E89)</f>
        <v>832.83579545454529</v>
      </c>
    </row>
    <row r="93" spans="1:5" x14ac:dyDescent="0.3">
      <c r="D93" s="22" t="s">
        <v>380</v>
      </c>
      <c r="E93" s="11">
        <v>25.92</v>
      </c>
    </row>
    <row r="95" spans="1:5" x14ac:dyDescent="0.3">
      <c r="B95" s="1"/>
      <c r="C95" s="1" t="s">
        <v>596</v>
      </c>
      <c r="D95" s="1" t="s">
        <v>597</v>
      </c>
      <c r="E95" s="1" t="s">
        <v>598</v>
      </c>
    </row>
    <row r="96" spans="1:5" x14ac:dyDescent="0.3">
      <c r="A96" s="7" t="s">
        <v>557</v>
      </c>
      <c r="B96" s="22" t="s">
        <v>7</v>
      </c>
      <c r="C96" s="22">
        <v>1</v>
      </c>
      <c r="D96" s="22" t="s">
        <v>600</v>
      </c>
      <c r="E96" s="52">
        <v>853.51</v>
      </c>
    </row>
    <row r="97" spans="2:5" x14ac:dyDescent="0.3">
      <c r="B97" s="22" t="s">
        <v>7</v>
      </c>
      <c r="C97" s="22">
        <v>2</v>
      </c>
      <c r="D97" s="22" t="s">
        <v>600</v>
      </c>
      <c r="E97" s="52">
        <v>818.53</v>
      </c>
    </row>
    <row r="98" spans="2:5" x14ac:dyDescent="0.3">
      <c r="B98" s="22" t="s">
        <v>7</v>
      </c>
      <c r="C98" s="22">
        <v>3</v>
      </c>
      <c r="D98" s="22" t="s">
        <v>600</v>
      </c>
      <c r="E98" s="22">
        <v>693.55</v>
      </c>
    </row>
    <row r="99" spans="2:5" x14ac:dyDescent="0.3">
      <c r="B99" s="22" t="s">
        <v>7</v>
      </c>
      <c r="C99" s="22">
        <v>4</v>
      </c>
      <c r="D99" s="22" t="s">
        <v>600</v>
      </c>
      <c r="E99" s="22">
        <v>594.28</v>
      </c>
    </row>
    <row r="100" spans="2:5" x14ac:dyDescent="0.3">
      <c r="B100" s="22" t="s">
        <v>7</v>
      </c>
      <c r="C100" s="22">
        <v>5</v>
      </c>
      <c r="D100" s="22" t="s">
        <v>600</v>
      </c>
      <c r="E100" s="22">
        <v>564.28620000000001</v>
      </c>
    </row>
    <row r="101" spans="2:5" x14ac:dyDescent="0.3">
      <c r="B101" s="22" t="s">
        <v>7</v>
      </c>
      <c r="C101" s="22">
        <v>6</v>
      </c>
      <c r="D101" s="22" t="s">
        <v>600</v>
      </c>
      <c r="E101" s="22">
        <v>1059.1400000000001</v>
      </c>
    </row>
    <row r="102" spans="2:5" x14ac:dyDescent="0.3">
      <c r="B102" s="22" t="s">
        <v>7</v>
      </c>
      <c r="C102" s="22">
        <v>7</v>
      </c>
      <c r="D102" s="22" t="s">
        <v>600</v>
      </c>
      <c r="E102" s="22">
        <v>956.23</v>
      </c>
    </row>
    <row r="103" spans="2:5" x14ac:dyDescent="0.3">
      <c r="B103" s="22" t="s">
        <v>7</v>
      </c>
      <c r="C103" s="22">
        <v>8</v>
      </c>
      <c r="D103" s="22" t="s">
        <v>600</v>
      </c>
      <c r="E103" s="22">
        <v>887.33</v>
      </c>
    </row>
    <row r="104" spans="2:5" x14ac:dyDescent="0.3">
      <c r="B104" s="22" t="s">
        <v>7</v>
      </c>
      <c r="C104" s="22">
        <v>9</v>
      </c>
      <c r="D104" s="22" t="s">
        <v>600</v>
      </c>
      <c r="E104" s="22">
        <v>531.4</v>
      </c>
    </row>
    <row r="105" spans="2:5" x14ac:dyDescent="0.3">
      <c r="B105" s="22" t="s">
        <v>7</v>
      </c>
      <c r="C105" s="22">
        <v>10</v>
      </c>
      <c r="D105" s="22" t="s">
        <v>600</v>
      </c>
      <c r="E105" s="22">
        <v>474.73</v>
      </c>
    </row>
    <row r="106" spans="2:5" x14ac:dyDescent="0.3">
      <c r="B106" s="22" t="s">
        <v>7</v>
      </c>
      <c r="C106" s="22">
        <v>1</v>
      </c>
      <c r="D106" s="22" t="s">
        <v>600</v>
      </c>
      <c r="E106" s="22">
        <v>1016.2</v>
      </c>
    </row>
    <row r="107" spans="2:5" x14ac:dyDescent="0.3">
      <c r="B107" s="22" t="s">
        <v>7</v>
      </c>
      <c r="C107" s="22">
        <v>2</v>
      </c>
      <c r="D107" s="22" t="s">
        <v>600</v>
      </c>
      <c r="E107" s="22">
        <v>1370.75</v>
      </c>
    </row>
    <row r="108" spans="2:5" x14ac:dyDescent="0.3">
      <c r="B108" s="22" t="s">
        <v>7</v>
      </c>
      <c r="C108" s="22">
        <v>3</v>
      </c>
      <c r="D108" s="22" t="s">
        <v>600</v>
      </c>
      <c r="E108" s="22">
        <v>1099.52</v>
      </c>
    </row>
    <row r="109" spans="2:5" x14ac:dyDescent="0.3">
      <c r="B109" s="22" t="s">
        <v>7</v>
      </c>
      <c r="C109" s="22">
        <v>4</v>
      </c>
      <c r="D109" s="22" t="s">
        <v>600</v>
      </c>
      <c r="E109" s="22">
        <v>656.73</v>
      </c>
    </row>
    <row r="110" spans="2:5" x14ac:dyDescent="0.3">
      <c r="B110" s="22" t="s">
        <v>7</v>
      </c>
      <c r="C110" s="22">
        <v>5</v>
      </c>
      <c r="D110" s="22" t="s">
        <v>600</v>
      </c>
      <c r="E110" s="22">
        <v>584.54</v>
      </c>
    </row>
    <row r="111" spans="2:5" x14ac:dyDescent="0.3">
      <c r="B111" s="22" t="s">
        <v>7</v>
      </c>
      <c r="C111" s="22">
        <v>1</v>
      </c>
      <c r="D111" s="22" t="s">
        <v>600</v>
      </c>
      <c r="E111" s="22">
        <v>963.04</v>
      </c>
    </row>
    <row r="112" spans="2:5" x14ac:dyDescent="0.3">
      <c r="B112" s="22" t="s">
        <v>7</v>
      </c>
      <c r="C112" s="22">
        <v>2</v>
      </c>
      <c r="D112" s="22" t="s">
        <v>600</v>
      </c>
      <c r="E112" s="22">
        <v>1028.92</v>
      </c>
    </row>
    <row r="113" spans="1:5" x14ac:dyDescent="0.3">
      <c r="B113" s="22" t="s">
        <v>7</v>
      </c>
      <c r="C113" s="22">
        <v>3</v>
      </c>
      <c r="D113" s="22" t="s">
        <v>600</v>
      </c>
      <c r="E113" s="22">
        <v>832.05</v>
      </c>
    </row>
    <row r="114" spans="1:5" x14ac:dyDescent="0.3">
      <c r="B114" s="22" t="s">
        <v>7</v>
      </c>
      <c r="C114" s="22">
        <v>4</v>
      </c>
      <c r="D114" s="22" t="s">
        <v>600</v>
      </c>
      <c r="E114" s="22">
        <v>1032.93</v>
      </c>
    </row>
    <row r="115" spans="1:5" x14ac:dyDescent="0.3">
      <c r="B115" s="22" t="s">
        <v>7</v>
      </c>
      <c r="C115" s="22">
        <v>5</v>
      </c>
      <c r="D115" s="22" t="s">
        <v>600</v>
      </c>
      <c r="E115" s="22">
        <v>1072.53</v>
      </c>
    </row>
    <row r="116" spans="1:5" x14ac:dyDescent="0.3">
      <c r="B116" s="22" t="s">
        <v>7</v>
      </c>
      <c r="C116" s="22">
        <v>6</v>
      </c>
      <c r="D116" s="22" t="s">
        <v>600</v>
      </c>
      <c r="E116" s="22">
        <v>625.78</v>
      </c>
    </row>
    <row r="117" spans="1:5" x14ac:dyDescent="0.3">
      <c r="B117" s="22" t="s">
        <v>7</v>
      </c>
      <c r="C117" s="22">
        <v>7</v>
      </c>
      <c r="D117" s="22" t="s">
        <v>600</v>
      </c>
      <c r="E117" s="22">
        <v>834.98</v>
      </c>
    </row>
    <row r="118" spans="1:5" x14ac:dyDescent="0.3">
      <c r="B118" s="22" t="s">
        <v>7</v>
      </c>
      <c r="C118" s="22">
        <v>8</v>
      </c>
      <c r="D118" s="22" t="s">
        <v>600</v>
      </c>
      <c r="E118" s="22">
        <v>520.73</v>
      </c>
    </row>
    <row r="119" spans="1:5" x14ac:dyDescent="0.3">
      <c r="B119" s="22" t="s">
        <v>7</v>
      </c>
      <c r="C119" s="22">
        <v>1</v>
      </c>
      <c r="D119" s="22" t="s">
        <v>600</v>
      </c>
      <c r="E119" s="22">
        <v>697.8</v>
      </c>
    </row>
    <row r="120" spans="1:5" x14ac:dyDescent="0.3">
      <c r="B120" s="22" t="s">
        <v>7</v>
      </c>
      <c r="C120" s="22">
        <v>2</v>
      </c>
      <c r="D120" s="22" t="s">
        <v>600</v>
      </c>
      <c r="E120" s="22">
        <v>1228.1600000000001</v>
      </c>
    </row>
    <row r="121" spans="1:5" x14ac:dyDescent="0.3">
      <c r="B121" s="22" t="s">
        <v>7</v>
      </c>
      <c r="C121" s="22">
        <v>3</v>
      </c>
      <c r="D121" s="22" t="s">
        <v>600</v>
      </c>
      <c r="E121" s="22">
        <v>1066.75</v>
      </c>
    </row>
    <row r="122" spans="1:5" x14ac:dyDescent="0.3">
      <c r="B122" s="22" t="s">
        <v>7</v>
      </c>
      <c r="C122" s="22">
        <v>4</v>
      </c>
      <c r="D122" s="22" t="s">
        <v>600</v>
      </c>
      <c r="E122" s="22">
        <v>978.85</v>
      </c>
    </row>
    <row r="123" spans="1:5" x14ac:dyDescent="0.3">
      <c r="B123" s="22" t="s">
        <v>7</v>
      </c>
      <c r="C123" s="22">
        <v>5</v>
      </c>
      <c r="D123" s="22" t="s">
        <v>600</v>
      </c>
      <c r="E123" s="22">
        <v>1281.6500000000001</v>
      </c>
    </row>
    <row r="124" spans="1:5" x14ac:dyDescent="0.3">
      <c r="B124" s="22" t="s">
        <v>7</v>
      </c>
      <c r="C124" s="22">
        <v>6</v>
      </c>
      <c r="D124" s="22" t="s">
        <v>600</v>
      </c>
      <c r="E124" s="22">
        <v>941.86</v>
      </c>
    </row>
    <row r="125" spans="1:5" x14ac:dyDescent="0.3">
      <c r="A125" s="7" t="s">
        <v>557</v>
      </c>
      <c r="B125" s="22" t="s">
        <v>8</v>
      </c>
      <c r="C125" s="22">
        <v>1</v>
      </c>
      <c r="D125" s="22" t="s">
        <v>600</v>
      </c>
      <c r="E125" s="22">
        <v>1248.3699999999999</v>
      </c>
    </row>
    <row r="126" spans="1:5" x14ac:dyDescent="0.3">
      <c r="B126" s="22" t="s">
        <v>8</v>
      </c>
      <c r="C126" s="22">
        <v>2</v>
      </c>
      <c r="D126" s="22" t="s">
        <v>600</v>
      </c>
      <c r="E126" s="22">
        <v>651.16999999999996</v>
      </c>
    </row>
    <row r="127" spans="1:5" x14ac:dyDescent="0.3">
      <c r="B127" s="22" t="s">
        <v>8</v>
      </c>
      <c r="C127" s="22">
        <v>3</v>
      </c>
      <c r="D127" s="22" t="s">
        <v>600</v>
      </c>
      <c r="E127" s="22">
        <v>919.15</v>
      </c>
    </row>
    <row r="128" spans="1:5" x14ac:dyDescent="0.3">
      <c r="B128" s="22" t="s">
        <v>8</v>
      </c>
      <c r="C128" s="22">
        <v>4</v>
      </c>
      <c r="D128" s="22" t="s">
        <v>600</v>
      </c>
      <c r="E128" s="22">
        <v>819.97</v>
      </c>
    </row>
    <row r="129" spans="2:5" x14ac:dyDescent="0.3">
      <c r="B129" s="22" t="s">
        <v>8</v>
      </c>
      <c r="C129" s="22">
        <v>5</v>
      </c>
      <c r="D129" s="22" t="s">
        <v>600</v>
      </c>
      <c r="E129" s="22">
        <v>779.51</v>
      </c>
    </row>
    <row r="130" spans="2:5" x14ac:dyDescent="0.3">
      <c r="B130" s="22" t="s">
        <v>8</v>
      </c>
      <c r="C130" s="22">
        <v>6</v>
      </c>
      <c r="D130" s="22" t="s">
        <v>600</v>
      </c>
      <c r="E130" s="22">
        <v>744.94</v>
      </c>
    </row>
    <row r="131" spans="2:5" x14ac:dyDescent="0.3">
      <c r="B131" s="22" t="s">
        <v>8</v>
      </c>
      <c r="C131" s="22">
        <v>7</v>
      </c>
      <c r="D131" s="22" t="s">
        <v>600</v>
      </c>
      <c r="E131" s="22">
        <v>519.66</v>
      </c>
    </row>
    <row r="132" spans="2:5" x14ac:dyDescent="0.3">
      <c r="B132" s="22" t="s">
        <v>8</v>
      </c>
      <c r="C132" s="22">
        <v>8</v>
      </c>
      <c r="D132" s="22" t="s">
        <v>600</v>
      </c>
      <c r="E132" s="22">
        <v>1224.01</v>
      </c>
    </row>
    <row r="133" spans="2:5" x14ac:dyDescent="0.3">
      <c r="B133" s="22" t="s">
        <v>8</v>
      </c>
      <c r="C133" s="22">
        <v>9</v>
      </c>
      <c r="D133" s="22" t="s">
        <v>600</v>
      </c>
      <c r="E133" s="22">
        <v>1301.75</v>
      </c>
    </row>
    <row r="134" spans="2:5" x14ac:dyDescent="0.3">
      <c r="B134" s="22" t="s">
        <v>8</v>
      </c>
      <c r="C134" s="22">
        <v>10</v>
      </c>
      <c r="D134" s="22" t="s">
        <v>600</v>
      </c>
      <c r="E134" s="22">
        <v>639.15</v>
      </c>
    </row>
    <row r="135" spans="2:5" x14ac:dyDescent="0.3">
      <c r="B135" s="22" t="s">
        <v>8</v>
      </c>
      <c r="C135" s="22">
        <v>11</v>
      </c>
      <c r="D135" s="22" t="s">
        <v>600</v>
      </c>
      <c r="E135" s="22">
        <v>1013.75</v>
      </c>
    </row>
    <row r="136" spans="2:5" x14ac:dyDescent="0.3">
      <c r="B136" s="22" t="s">
        <v>8</v>
      </c>
      <c r="C136" s="22">
        <v>12</v>
      </c>
      <c r="D136" s="22" t="s">
        <v>600</v>
      </c>
      <c r="E136" s="22">
        <v>1291.75</v>
      </c>
    </row>
    <row r="137" spans="2:5" x14ac:dyDescent="0.3">
      <c r="B137" s="22" t="s">
        <v>8</v>
      </c>
      <c r="C137" s="22">
        <v>1</v>
      </c>
      <c r="D137" s="22" t="s">
        <v>600</v>
      </c>
      <c r="E137" s="22">
        <v>1338.48</v>
      </c>
    </row>
    <row r="138" spans="2:5" x14ac:dyDescent="0.3">
      <c r="B138" s="22" t="s">
        <v>8</v>
      </c>
      <c r="C138" s="22">
        <v>2</v>
      </c>
      <c r="D138" s="22" t="s">
        <v>600</v>
      </c>
      <c r="E138" s="22">
        <v>796.75</v>
      </c>
    </row>
    <row r="139" spans="2:5" x14ac:dyDescent="0.3">
      <c r="B139" s="22" t="s">
        <v>8</v>
      </c>
      <c r="C139" s="22">
        <v>3</v>
      </c>
      <c r="D139" s="22" t="s">
        <v>600</v>
      </c>
      <c r="E139" s="22">
        <v>567.4</v>
      </c>
    </row>
    <row r="140" spans="2:5" x14ac:dyDescent="0.3">
      <c r="B140" s="22" t="s">
        <v>8</v>
      </c>
      <c r="C140" s="22">
        <v>4</v>
      </c>
      <c r="D140" s="22" t="s">
        <v>600</v>
      </c>
      <c r="E140" s="22">
        <v>1037.4000000000001</v>
      </c>
    </row>
    <row r="141" spans="2:5" x14ac:dyDescent="0.3">
      <c r="B141" s="22" t="s">
        <v>8</v>
      </c>
      <c r="C141" s="22">
        <v>5</v>
      </c>
      <c r="D141" s="22" t="s">
        <v>600</v>
      </c>
      <c r="E141" s="22">
        <v>580.38</v>
      </c>
    </row>
    <row r="142" spans="2:5" x14ac:dyDescent="0.3">
      <c r="B142" s="22" t="s">
        <v>8</v>
      </c>
      <c r="C142" s="22">
        <v>6</v>
      </c>
      <c r="D142" s="22" t="s">
        <v>600</v>
      </c>
      <c r="E142" s="22">
        <v>616.41</v>
      </c>
    </row>
    <row r="143" spans="2:5" x14ac:dyDescent="0.3">
      <c r="B143" s="22" t="s">
        <v>8</v>
      </c>
      <c r="C143" s="22">
        <v>7</v>
      </c>
      <c r="D143" s="22" t="s">
        <v>600</v>
      </c>
      <c r="E143" s="22">
        <v>1080.56</v>
      </c>
    </row>
    <row r="144" spans="2:5" x14ac:dyDescent="0.3">
      <c r="B144" s="22" t="s">
        <v>8</v>
      </c>
      <c r="C144" s="22">
        <v>8</v>
      </c>
      <c r="D144" s="22" t="s">
        <v>600</v>
      </c>
      <c r="E144" s="22">
        <v>813.07</v>
      </c>
    </row>
    <row r="145" spans="2:5" x14ac:dyDescent="0.3">
      <c r="B145" s="22" t="s">
        <v>8</v>
      </c>
      <c r="C145" s="22">
        <v>9</v>
      </c>
      <c r="D145" s="22" t="s">
        <v>600</v>
      </c>
      <c r="E145" s="22">
        <v>1220.5899999999999</v>
      </c>
    </row>
    <row r="146" spans="2:5" x14ac:dyDescent="0.3">
      <c r="B146" s="22" t="s">
        <v>8</v>
      </c>
      <c r="C146" s="22">
        <v>10</v>
      </c>
      <c r="D146" s="22" t="s">
        <v>600</v>
      </c>
      <c r="E146" s="22">
        <v>1063.31</v>
      </c>
    </row>
    <row r="147" spans="2:5" x14ac:dyDescent="0.3">
      <c r="B147" s="22" t="s">
        <v>8</v>
      </c>
      <c r="C147" s="22">
        <v>11</v>
      </c>
      <c r="D147" s="22" t="s">
        <v>600</v>
      </c>
      <c r="E147" s="22">
        <v>634.73</v>
      </c>
    </row>
    <row r="148" spans="2:5" x14ac:dyDescent="0.3">
      <c r="B148" s="22" t="s">
        <v>8</v>
      </c>
      <c r="C148" s="22">
        <v>1</v>
      </c>
      <c r="D148" s="22" t="s">
        <v>600</v>
      </c>
      <c r="E148" s="22">
        <v>943.8</v>
      </c>
    </row>
    <row r="149" spans="2:5" x14ac:dyDescent="0.3">
      <c r="B149" s="22" t="s">
        <v>8</v>
      </c>
      <c r="C149" s="22">
        <v>2</v>
      </c>
      <c r="D149" s="22" t="s">
        <v>600</v>
      </c>
      <c r="E149" s="22">
        <v>958.22</v>
      </c>
    </row>
    <row r="150" spans="2:5" x14ac:dyDescent="0.3">
      <c r="B150" s="22" t="s">
        <v>8</v>
      </c>
      <c r="C150" s="22">
        <v>3</v>
      </c>
      <c r="D150" s="22" t="s">
        <v>600</v>
      </c>
      <c r="E150" s="22">
        <v>631.33000000000004</v>
      </c>
    </row>
    <row r="151" spans="2:5" x14ac:dyDescent="0.3">
      <c r="B151" s="22" t="s">
        <v>8</v>
      </c>
      <c r="C151" s="22">
        <v>4</v>
      </c>
      <c r="D151" s="22" t="s">
        <v>600</v>
      </c>
      <c r="E151" s="22">
        <v>830.39</v>
      </c>
    </row>
    <row r="152" spans="2:5" x14ac:dyDescent="0.3">
      <c r="B152" s="22" t="s">
        <v>8</v>
      </c>
      <c r="C152" s="22">
        <v>5</v>
      </c>
      <c r="D152" s="22" t="s">
        <v>600</v>
      </c>
      <c r="E152" s="22">
        <v>1046.1199999999999</v>
      </c>
    </row>
    <row r="153" spans="2:5" x14ac:dyDescent="0.3">
      <c r="B153" s="22" t="s">
        <v>8</v>
      </c>
      <c r="C153" s="22">
        <v>6</v>
      </c>
      <c r="D153" s="22" t="s">
        <v>600</v>
      </c>
      <c r="E153" s="22">
        <v>866.73</v>
      </c>
    </row>
    <row r="154" spans="2:5" x14ac:dyDescent="0.3">
      <c r="B154" s="22" t="s">
        <v>8</v>
      </c>
      <c r="C154" s="22">
        <v>7</v>
      </c>
      <c r="D154" s="22" t="s">
        <v>600</v>
      </c>
      <c r="E154" s="22">
        <v>919.16</v>
      </c>
    </row>
    <row r="155" spans="2:5" x14ac:dyDescent="0.3">
      <c r="B155" s="22" t="s">
        <v>8</v>
      </c>
      <c r="C155" s="22">
        <v>8</v>
      </c>
      <c r="D155" s="22" t="s">
        <v>600</v>
      </c>
      <c r="E155" s="22">
        <v>791.56</v>
      </c>
    </row>
    <row r="156" spans="2:5" x14ac:dyDescent="0.3">
      <c r="B156" s="22" t="s">
        <v>8</v>
      </c>
      <c r="C156" s="22">
        <v>9</v>
      </c>
      <c r="D156" s="22" t="s">
        <v>600</v>
      </c>
      <c r="E156" s="22">
        <v>555.16</v>
      </c>
    </row>
    <row r="157" spans="2:5" x14ac:dyDescent="0.3">
      <c r="B157" s="22" t="s">
        <v>8</v>
      </c>
      <c r="C157" s="22">
        <v>10</v>
      </c>
      <c r="D157" s="22" t="s">
        <v>600</v>
      </c>
      <c r="E157" s="22">
        <v>771.31</v>
      </c>
    </row>
    <row r="158" spans="2:5" x14ac:dyDescent="0.3">
      <c r="B158" s="22" t="s">
        <v>8</v>
      </c>
      <c r="C158" s="22">
        <v>11</v>
      </c>
      <c r="D158" s="22" t="s">
        <v>600</v>
      </c>
      <c r="E158" s="22">
        <v>608.1</v>
      </c>
    </row>
    <row r="159" spans="2:5" x14ac:dyDescent="0.3">
      <c r="B159" s="22" t="s">
        <v>8</v>
      </c>
      <c r="C159" s="22">
        <v>12</v>
      </c>
      <c r="D159" s="22" t="s">
        <v>600</v>
      </c>
      <c r="E159" s="22">
        <v>567.58000000000004</v>
      </c>
    </row>
    <row r="160" spans="2:5" x14ac:dyDescent="0.3">
      <c r="B160" s="22" t="s">
        <v>8</v>
      </c>
      <c r="C160" s="22">
        <v>13</v>
      </c>
      <c r="D160" s="22" t="s">
        <v>600</v>
      </c>
      <c r="E160" s="22">
        <v>924</v>
      </c>
    </row>
    <row r="161" spans="1:5" x14ac:dyDescent="0.3">
      <c r="B161" s="22" t="s">
        <v>8</v>
      </c>
      <c r="C161" s="22">
        <v>1</v>
      </c>
      <c r="D161" s="22" t="s">
        <v>600</v>
      </c>
      <c r="E161" s="22">
        <v>949.4</v>
      </c>
    </row>
    <row r="162" spans="1:5" x14ac:dyDescent="0.3">
      <c r="B162" s="22" t="s">
        <v>8</v>
      </c>
      <c r="C162" s="22">
        <v>2</v>
      </c>
      <c r="D162" s="22" t="s">
        <v>600</v>
      </c>
      <c r="E162" s="22">
        <v>1154.96</v>
      </c>
    </row>
    <row r="163" spans="1:5" x14ac:dyDescent="0.3">
      <c r="B163" s="22" t="s">
        <v>8</v>
      </c>
      <c r="C163" s="22">
        <v>3</v>
      </c>
      <c r="D163" s="22" t="s">
        <v>600</v>
      </c>
      <c r="E163" s="22">
        <v>941.23</v>
      </c>
    </row>
    <row r="164" spans="1:5" x14ac:dyDescent="0.3">
      <c r="B164" s="22" t="s">
        <v>8</v>
      </c>
      <c r="C164" s="22">
        <v>4</v>
      </c>
      <c r="D164" s="22" t="s">
        <v>600</v>
      </c>
      <c r="E164" s="22">
        <v>966.1</v>
      </c>
    </row>
    <row r="165" spans="1:5" x14ac:dyDescent="0.3">
      <c r="B165" s="22" t="s">
        <v>8</v>
      </c>
      <c r="C165" s="22">
        <v>5</v>
      </c>
      <c r="D165" s="22" t="s">
        <v>600</v>
      </c>
      <c r="E165" s="22">
        <v>801.37</v>
      </c>
    </row>
    <row r="166" spans="1:5" x14ac:dyDescent="0.3">
      <c r="B166" s="22" t="s">
        <v>8</v>
      </c>
      <c r="C166" s="22">
        <v>6</v>
      </c>
      <c r="D166" s="22" t="s">
        <v>600</v>
      </c>
      <c r="E166" s="22">
        <v>1044.8800000000001</v>
      </c>
    </row>
    <row r="167" spans="1:5" x14ac:dyDescent="0.3">
      <c r="B167" s="22" t="s">
        <v>8</v>
      </c>
      <c r="C167" s="22">
        <v>7</v>
      </c>
      <c r="D167" s="22" t="s">
        <v>600</v>
      </c>
      <c r="E167" s="22">
        <v>980.32</v>
      </c>
    </row>
    <row r="168" spans="1:5" x14ac:dyDescent="0.3">
      <c r="B168" s="22" t="s">
        <v>8</v>
      </c>
      <c r="C168" s="22">
        <v>8</v>
      </c>
      <c r="D168" s="22" t="s">
        <v>600</v>
      </c>
      <c r="E168" s="22">
        <v>903.73</v>
      </c>
    </row>
    <row r="169" spans="1:5" x14ac:dyDescent="0.3">
      <c r="B169" s="22" t="s">
        <v>8</v>
      </c>
      <c r="C169" s="22">
        <v>9</v>
      </c>
      <c r="D169" s="22" t="s">
        <v>600</v>
      </c>
      <c r="E169" s="22">
        <v>771.55</v>
      </c>
    </row>
    <row r="170" spans="1:5" x14ac:dyDescent="0.3">
      <c r="B170" s="22" t="s">
        <v>8</v>
      </c>
      <c r="C170" s="22">
        <v>10</v>
      </c>
      <c r="D170" s="22" t="s">
        <v>600</v>
      </c>
      <c r="E170" s="22">
        <v>1008.96</v>
      </c>
    </row>
    <row r="171" spans="1:5" x14ac:dyDescent="0.3">
      <c r="B171" s="22" t="s">
        <v>8</v>
      </c>
      <c r="C171" s="22">
        <v>11</v>
      </c>
      <c r="D171" s="22" t="s">
        <v>600</v>
      </c>
      <c r="E171" s="22">
        <v>695.18</v>
      </c>
    </row>
    <row r="172" spans="1:5" x14ac:dyDescent="0.3">
      <c r="A172" s="7" t="s">
        <v>557</v>
      </c>
      <c r="B172" s="22" t="s">
        <v>9</v>
      </c>
      <c r="C172" s="22">
        <v>1</v>
      </c>
      <c r="D172" s="22" t="s">
        <v>600</v>
      </c>
      <c r="E172" s="22">
        <v>1050.6199999999999</v>
      </c>
    </row>
    <row r="173" spans="1:5" x14ac:dyDescent="0.3">
      <c r="B173" s="22" t="s">
        <v>9</v>
      </c>
      <c r="C173" s="22">
        <v>2</v>
      </c>
      <c r="D173" s="22" t="s">
        <v>600</v>
      </c>
      <c r="E173" s="22">
        <v>743.33</v>
      </c>
    </row>
    <row r="174" spans="1:5" x14ac:dyDescent="0.3">
      <c r="B174" s="22" t="s">
        <v>9</v>
      </c>
      <c r="C174" s="22">
        <v>3</v>
      </c>
      <c r="D174" s="22" t="s">
        <v>600</v>
      </c>
      <c r="E174" s="22">
        <v>579.91999999999996</v>
      </c>
    </row>
    <row r="175" spans="1:5" x14ac:dyDescent="0.3">
      <c r="B175" s="22" t="s">
        <v>9</v>
      </c>
      <c r="C175" s="22">
        <v>4</v>
      </c>
      <c r="D175" s="22" t="s">
        <v>600</v>
      </c>
      <c r="E175" s="22">
        <v>684.82</v>
      </c>
    </row>
    <row r="176" spans="1:5" x14ac:dyDescent="0.3">
      <c r="B176" s="22" t="s">
        <v>9</v>
      </c>
      <c r="C176" s="22">
        <v>5</v>
      </c>
      <c r="D176" s="22" t="s">
        <v>600</v>
      </c>
      <c r="E176" s="22">
        <v>939.59</v>
      </c>
    </row>
    <row r="177" spans="2:5" x14ac:dyDescent="0.3">
      <c r="B177" s="22" t="s">
        <v>9</v>
      </c>
      <c r="C177" s="22">
        <v>6</v>
      </c>
      <c r="D177" s="22" t="s">
        <v>600</v>
      </c>
      <c r="E177" s="22">
        <v>1022.96</v>
      </c>
    </row>
    <row r="178" spans="2:5" x14ac:dyDescent="0.3">
      <c r="B178" s="22" t="s">
        <v>9</v>
      </c>
      <c r="C178" s="22">
        <v>7</v>
      </c>
      <c r="D178" s="22" t="s">
        <v>600</v>
      </c>
      <c r="E178" s="22">
        <v>934.33</v>
      </c>
    </row>
    <row r="179" spans="2:5" x14ac:dyDescent="0.3">
      <c r="B179" s="22" t="s">
        <v>9</v>
      </c>
      <c r="C179" s="22">
        <v>1</v>
      </c>
      <c r="D179" s="22" t="s">
        <v>600</v>
      </c>
      <c r="E179" s="22">
        <v>1285.8599999999999</v>
      </c>
    </row>
    <row r="180" spans="2:5" x14ac:dyDescent="0.3">
      <c r="B180" s="22" t="s">
        <v>9</v>
      </c>
      <c r="C180" s="22">
        <v>2</v>
      </c>
      <c r="D180" s="22" t="s">
        <v>600</v>
      </c>
      <c r="E180" s="22">
        <v>900.76</v>
      </c>
    </row>
    <row r="181" spans="2:5" x14ac:dyDescent="0.3">
      <c r="B181" s="22" t="s">
        <v>9</v>
      </c>
      <c r="C181" s="22">
        <v>3</v>
      </c>
      <c r="D181" s="22" t="s">
        <v>600</v>
      </c>
      <c r="E181" s="22">
        <v>1087.76</v>
      </c>
    </row>
    <row r="182" spans="2:5" x14ac:dyDescent="0.3">
      <c r="B182" s="22" t="s">
        <v>9</v>
      </c>
      <c r="C182" s="22">
        <v>4</v>
      </c>
      <c r="D182" s="22" t="s">
        <v>600</v>
      </c>
      <c r="E182" s="22">
        <v>736.68</v>
      </c>
    </row>
    <row r="183" spans="2:5" x14ac:dyDescent="0.3">
      <c r="B183" s="22" t="s">
        <v>9</v>
      </c>
      <c r="C183" s="22">
        <v>5</v>
      </c>
      <c r="D183" s="22" t="s">
        <v>600</v>
      </c>
      <c r="E183" s="22">
        <v>1013.1</v>
      </c>
    </row>
    <row r="184" spans="2:5" x14ac:dyDescent="0.3">
      <c r="B184" s="22" t="s">
        <v>9</v>
      </c>
      <c r="C184" s="22">
        <v>6</v>
      </c>
      <c r="D184" s="22" t="s">
        <v>599</v>
      </c>
      <c r="E184" s="22">
        <v>682.53</v>
      </c>
    </row>
    <row r="185" spans="2:5" x14ac:dyDescent="0.3">
      <c r="B185" s="22" t="s">
        <v>9</v>
      </c>
      <c r="C185" s="22">
        <v>7</v>
      </c>
      <c r="D185" s="22" t="s">
        <v>599</v>
      </c>
      <c r="E185" s="22">
        <v>395.9</v>
      </c>
    </row>
    <row r="186" spans="2:5" x14ac:dyDescent="0.3">
      <c r="B186" s="22" t="s">
        <v>9</v>
      </c>
      <c r="C186" s="22">
        <v>1</v>
      </c>
      <c r="D186" s="22" t="s">
        <v>599</v>
      </c>
      <c r="E186" s="22">
        <v>1064.9100000000001</v>
      </c>
    </row>
    <row r="187" spans="2:5" x14ac:dyDescent="0.3">
      <c r="B187" s="22" t="s">
        <v>9</v>
      </c>
      <c r="C187" s="22">
        <v>2</v>
      </c>
      <c r="D187" s="22" t="s">
        <v>599</v>
      </c>
      <c r="E187" s="22">
        <v>886.68</v>
      </c>
    </row>
    <row r="188" spans="2:5" x14ac:dyDescent="0.3">
      <c r="B188" s="22" t="s">
        <v>9</v>
      </c>
      <c r="C188" s="22">
        <v>3</v>
      </c>
      <c r="D188" s="22" t="s">
        <v>599</v>
      </c>
      <c r="E188" s="22">
        <v>1194.8</v>
      </c>
    </row>
    <row r="189" spans="2:5" x14ac:dyDescent="0.3">
      <c r="B189" s="22" t="s">
        <v>9</v>
      </c>
      <c r="C189" s="22">
        <v>4</v>
      </c>
      <c r="D189" s="22" t="s">
        <v>599</v>
      </c>
      <c r="E189" s="22">
        <v>581.02</v>
      </c>
    </row>
    <row r="190" spans="2:5" x14ac:dyDescent="0.3">
      <c r="B190" s="22" t="s">
        <v>9</v>
      </c>
      <c r="C190" s="22">
        <v>5</v>
      </c>
      <c r="D190" s="22" t="s">
        <v>599</v>
      </c>
      <c r="E190" s="22">
        <v>581.54</v>
      </c>
    </row>
    <row r="191" spans="2:5" x14ac:dyDescent="0.3">
      <c r="B191" s="22" t="s">
        <v>9</v>
      </c>
      <c r="C191" s="22">
        <v>6</v>
      </c>
      <c r="D191" s="22" t="s">
        <v>599</v>
      </c>
      <c r="E191" s="22">
        <v>793.6</v>
      </c>
    </row>
    <row r="192" spans="2:5" x14ac:dyDescent="0.3">
      <c r="B192" s="22" t="s">
        <v>9</v>
      </c>
      <c r="C192" s="22">
        <v>7</v>
      </c>
      <c r="D192" s="22" t="s">
        <v>599</v>
      </c>
      <c r="E192" s="22">
        <v>944.78</v>
      </c>
    </row>
    <row r="193" spans="1:5" x14ac:dyDescent="0.3">
      <c r="B193" s="22" t="s">
        <v>9</v>
      </c>
      <c r="C193" s="22">
        <v>8</v>
      </c>
      <c r="D193" s="22" t="s">
        <v>599</v>
      </c>
      <c r="E193" s="22">
        <v>919.17</v>
      </c>
    </row>
    <row r="194" spans="1:5" x14ac:dyDescent="0.3">
      <c r="B194" s="22" t="s">
        <v>9</v>
      </c>
      <c r="C194" s="22">
        <v>1</v>
      </c>
      <c r="D194" s="22" t="s">
        <v>599</v>
      </c>
      <c r="E194" s="22">
        <v>901.88</v>
      </c>
    </row>
    <row r="195" spans="1:5" x14ac:dyDescent="0.3">
      <c r="B195" s="22" t="s">
        <v>9</v>
      </c>
      <c r="C195" s="22">
        <v>2</v>
      </c>
      <c r="D195" s="22" t="s">
        <v>599</v>
      </c>
      <c r="E195" s="22">
        <v>1058.71</v>
      </c>
    </row>
    <row r="196" spans="1:5" x14ac:dyDescent="0.3">
      <c r="B196" s="22" t="s">
        <v>9</v>
      </c>
      <c r="C196" s="22">
        <v>3</v>
      </c>
      <c r="D196" s="22" t="s">
        <v>599</v>
      </c>
      <c r="E196" s="22">
        <v>761.41</v>
      </c>
    </row>
    <row r="197" spans="1:5" x14ac:dyDescent="0.3">
      <c r="B197" s="22" t="s">
        <v>9</v>
      </c>
      <c r="C197" s="22">
        <v>4</v>
      </c>
      <c r="D197" s="22" t="s">
        <v>599</v>
      </c>
      <c r="E197" s="22">
        <v>1367.04</v>
      </c>
    </row>
    <row r="198" spans="1:5" x14ac:dyDescent="0.3">
      <c r="B198" s="22" t="s">
        <v>9</v>
      </c>
      <c r="C198" s="22">
        <v>5</v>
      </c>
      <c r="D198" s="22" t="s">
        <v>599</v>
      </c>
      <c r="E198" s="22">
        <v>1073.18</v>
      </c>
    </row>
    <row r="199" spans="1:5" x14ac:dyDescent="0.3">
      <c r="B199" s="22" t="s">
        <v>9</v>
      </c>
      <c r="C199" s="22">
        <v>6</v>
      </c>
      <c r="D199" s="22" t="s">
        <v>599</v>
      </c>
      <c r="E199" s="22">
        <v>1172.79</v>
      </c>
    </row>
    <row r="200" spans="1:5" x14ac:dyDescent="0.3">
      <c r="B200" s="22" t="s">
        <v>9</v>
      </c>
      <c r="C200" s="22">
        <v>7</v>
      </c>
      <c r="D200" s="22" t="s">
        <v>599</v>
      </c>
      <c r="E200" s="22">
        <v>825.47</v>
      </c>
    </row>
    <row r="202" spans="1:5" x14ac:dyDescent="0.3">
      <c r="D202" s="22" t="s">
        <v>15</v>
      </c>
      <c r="E202" s="22">
        <f>AVERAGE(E96:E200)</f>
        <v>885.5742495238095</v>
      </c>
    </row>
    <row r="203" spans="1:5" x14ac:dyDescent="0.3">
      <c r="D203" s="22" t="s">
        <v>380</v>
      </c>
      <c r="E203" s="11">
        <v>22.12</v>
      </c>
    </row>
    <row r="205" spans="1:5" x14ac:dyDescent="0.3">
      <c r="A205" s="24" t="s">
        <v>601</v>
      </c>
      <c r="B205" s="11"/>
      <c r="C205" s="11"/>
    </row>
    <row r="206" spans="1:5" x14ac:dyDescent="0.3">
      <c r="A206" s="24" t="s">
        <v>602</v>
      </c>
      <c r="B206" s="11"/>
      <c r="C206" s="11"/>
    </row>
    <row r="207" spans="1:5" x14ac:dyDescent="0.3">
      <c r="A207" s="24" t="s">
        <v>603</v>
      </c>
      <c r="B207" s="11">
        <v>0.98170000000000002</v>
      </c>
      <c r="C207" s="11">
        <v>0.97950000000000004</v>
      </c>
    </row>
    <row r="208" spans="1:5" x14ac:dyDescent="0.3">
      <c r="A208" s="24" t="s">
        <v>393</v>
      </c>
      <c r="B208" s="11">
        <v>0.24859999999999999</v>
      </c>
      <c r="C208" s="11">
        <v>0.10390000000000001</v>
      </c>
    </row>
    <row r="209" spans="1:3" x14ac:dyDescent="0.3">
      <c r="A209" s="24" t="s">
        <v>604</v>
      </c>
      <c r="B209" s="11" t="s">
        <v>419</v>
      </c>
      <c r="C209" s="11" t="s">
        <v>419</v>
      </c>
    </row>
    <row r="210" spans="1:3" x14ac:dyDescent="0.3">
      <c r="A210" s="24" t="s">
        <v>441</v>
      </c>
      <c r="B210" s="11" t="s">
        <v>417</v>
      </c>
      <c r="C210" s="11" t="s">
        <v>417</v>
      </c>
    </row>
    <row r="211" spans="1:3" x14ac:dyDescent="0.3">
      <c r="A211" s="24"/>
      <c r="B211" s="11"/>
      <c r="C211" s="11"/>
    </row>
    <row r="212" spans="1:3" x14ac:dyDescent="0.3">
      <c r="A212" s="24" t="s">
        <v>605</v>
      </c>
      <c r="B212" s="11">
        <v>88</v>
      </c>
      <c r="C212" s="11">
        <v>105</v>
      </c>
    </row>
    <row r="214" spans="1:3" x14ac:dyDescent="0.3">
      <c r="A214" s="24" t="s">
        <v>606</v>
      </c>
      <c r="B214" s="11"/>
    </row>
    <row r="215" spans="1:3" x14ac:dyDescent="0.3">
      <c r="A215" s="24" t="s">
        <v>393</v>
      </c>
      <c r="B215" s="11">
        <v>0.121</v>
      </c>
    </row>
    <row r="216" spans="1:3" x14ac:dyDescent="0.3">
      <c r="A216" s="24" t="s">
        <v>441</v>
      </c>
      <c r="B216" s="11" t="s">
        <v>417</v>
      </c>
    </row>
    <row r="217" spans="1:3" x14ac:dyDescent="0.3">
      <c r="A217" s="24" t="s">
        <v>607</v>
      </c>
      <c r="B217" s="11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9"/>
  <sheetViews>
    <sheetView zoomScaleNormal="100" workbookViewId="0"/>
  </sheetViews>
  <sheetFormatPr baseColWidth="10" defaultRowHeight="14.4" x14ac:dyDescent="0.3"/>
  <cols>
    <col min="4" max="4" width="11.5546875" style="1"/>
    <col min="10" max="11" width="11.5546875" style="1"/>
    <col min="14" max="56" width="11.5546875" style="1"/>
  </cols>
  <sheetData>
    <row r="1" spans="1:24" x14ac:dyDescent="0.3">
      <c r="A1" s="70" t="s">
        <v>646</v>
      </c>
      <c r="X1" s="22"/>
    </row>
    <row r="2" spans="1:24" x14ac:dyDescent="0.3">
      <c r="A2" s="2" t="s">
        <v>365</v>
      </c>
      <c r="X2" s="22"/>
    </row>
    <row r="3" spans="1:24" ht="16.2" x14ac:dyDescent="0.3">
      <c r="A3" s="2" t="s">
        <v>635</v>
      </c>
      <c r="L3" s="1"/>
      <c r="X3" s="22"/>
    </row>
    <row r="4" spans="1:24" x14ac:dyDescent="0.3">
      <c r="A4" t="s">
        <v>634</v>
      </c>
      <c r="B4" s="22" t="s">
        <v>634</v>
      </c>
      <c r="C4" s="22" t="s">
        <v>634</v>
      </c>
      <c r="D4" t="s">
        <v>40</v>
      </c>
      <c r="E4" s="22" t="s">
        <v>40</v>
      </c>
      <c r="F4" s="22" t="s">
        <v>40</v>
      </c>
      <c r="M4" s="22"/>
      <c r="X4" s="22"/>
    </row>
    <row r="5" spans="1:24" x14ac:dyDescent="0.3">
      <c r="A5" s="22" t="s">
        <v>444</v>
      </c>
      <c r="B5" s="22" t="s">
        <v>445</v>
      </c>
      <c r="C5" s="22" t="s">
        <v>446</v>
      </c>
      <c r="D5" s="22" t="s">
        <v>444</v>
      </c>
      <c r="E5" s="22" t="s">
        <v>445</v>
      </c>
      <c r="F5" s="22" t="s">
        <v>446</v>
      </c>
      <c r="L5" s="22"/>
      <c r="M5" s="22"/>
      <c r="X5" s="22"/>
    </row>
    <row r="6" spans="1:24" x14ac:dyDescent="0.3">
      <c r="A6">
        <v>0.18921709187755678</v>
      </c>
      <c r="B6">
        <v>1210.81451978174</v>
      </c>
      <c r="C6" s="1">
        <v>3.3333333333333335</v>
      </c>
      <c r="D6">
        <v>0.21115006199782543</v>
      </c>
      <c r="E6">
        <v>1102.5810797826334</v>
      </c>
      <c r="F6" s="1">
        <v>3</v>
      </c>
      <c r="L6" s="22"/>
      <c r="M6" s="22"/>
      <c r="X6" s="22"/>
    </row>
    <row r="7" spans="1:24" x14ac:dyDescent="0.3">
      <c r="A7">
        <v>0.23523119154221028</v>
      </c>
      <c r="B7">
        <v>1956.3949187705553</v>
      </c>
      <c r="C7" s="1">
        <v>3.3333333333333335</v>
      </c>
      <c r="D7">
        <v>0.22318504973766573</v>
      </c>
      <c r="E7">
        <v>1408.6257287001281</v>
      </c>
      <c r="F7" s="1">
        <v>1.3333333333333333</v>
      </c>
      <c r="L7" s="22"/>
      <c r="M7" s="22"/>
      <c r="X7" s="22"/>
    </row>
    <row r="8" spans="1:24" x14ac:dyDescent="0.3">
      <c r="A8">
        <v>0.27496241754121126</v>
      </c>
      <c r="B8">
        <v>1634.4673857133373</v>
      </c>
      <c r="C8" s="1">
        <v>2</v>
      </c>
      <c r="D8">
        <v>0.31638457555750898</v>
      </c>
      <c r="E8">
        <v>1772.696956908859</v>
      </c>
      <c r="F8" s="1">
        <v>2</v>
      </c>
      <c r="L8" s="22"/>
      <c r="M8" s="22"/>
      <c r="X8" s="22"/>
    </row>
    <row r="9" spans="1:24" x14ac:dyDescent="0.3">
      <c r="A9">
        <v>0.17644326464202023</v>
      </c>
      <c r="B9">
        <v>1177.6758071491852</v>
      </c>
      <c r="C9" s="1">
        <v>3.6666666666666665</v>
      </c>
      <c r="D9">
        <v>0.2349851031319394</v>
      </c>
      <c r="E9">
        <v>1261.9611803228788</v>
      </c>
      <c r="F9" s="1">
        <v>2</v>
      </c>
      <c r="L9" s="22"/>
      <c r="M9" s="22"/>
      <c r="X9" s="22"/>
    </row>
    <row r="10" spans="1:24" x14ac:dyDescent="0.3">
      <c r="A10">
        <v>0.26710047706069789</v>
      </c>
      <c r="B10">
        <v>1920.6320955603683</v>
      </c>
      <c r="C10" s="1">
        <v>1.6666666666666667</v>
      </c>
      <c r="D10">
        <v>0.2516825540779366</v>
      </c>
      <c r="E10">
        <v>1465.514096252077</v>
      </c>
      <c r="F10" s="1">
        <v>3</v>
      </c>
      <c r="L10" s="22"/>
      <c r="M10" s="22"/>
      <c r="X10" s="22"/>
    </row>
    <row r="11" spans="1:24" x14ac:dyDescent="0.3">
      <c r="A11">
        <v>0.20703131329268851</v>
      </c>
      <c r="B11">
        <v>826.66801332877731</v>
      </c>
      <c r="C11" s="1">
        <v>0.66666666666666663</v>
      </c>
      <c r="D11">
        <v>0.17412678442601248</v>
      </c>
      <c r="E11">
        <v>874.09375518374145</v>
      </c>
      <c r="F11" s="1">
        <v>0.33333333333333331</v>
      </c>
      <c r="L11" s="22"/>
      <c r="M11" s="22"/>
      <c r="X11" s="22"/>
    </row>
    <row r="12" spans="1:24" x14ac:dyDescent="0.3">
      <c r="A12">
        <v>0.20996703485387228</v>
      </c>
      <c r="B12">
        <v>3040.9294290734078</v>
      </c>
      <c r="C12" s="1">
        <v>2.3333333333333335</v>
      </c>
      <c r="D12">
        <v>0.38449924312884254</v>
      </c>
      <c r="E12">
        <v>1579.3349690579635</v>
      </c>
      <c r="F12" s="1">
        <v>3.3333333333333335</v>
      </c>
      <c r="L12" s="22"/>
      <c r="M12" s="22"/>
      <c r="X12" s="22"/>
    </row>
    <row r="13" spans="1:24" x14ac:dyDescent="0.3">
      <c r="A13">
        <v>0.29837739483193498</v>
      </c>
      <c r="B13">
        <v>1619.4200943147973</v>
      </c>
      <c r="C13" s="1">
        <v>3.3333333333333335</v>
      </c>
      <c r="D13">
        <v>0.45051926893588928</v>
      </c>
      <c r="E13">
        <v>1797.3683245365041</v>
      </c>
      <c r="F13" s="1">
        <v>1.6666666666666667</v>
      </c>
      <c r="L13" s="22"/>
      <c r="M13" s="22"/>
      <c r="X13" s="22"/>
    </row>
    <row r="14" spans="1:24" x14ac:dyDescent="0.3">
      <c r="A14">
        <v>0.20312655509358035</v>
      </c>
      <c r="B14">
        <v>960.87334754344977</v>
      </c>
      <c r="C14" s="1">
        <v>2.3333333333333335</v>
      </c>
      <c r="D14">
        <v>0.17777593657870411</v>
      </c>
      <c r="E14">
        <v>1369.3539131879866</v>
      </c>
      <c r="F14" s="1">
        <v>1.6666666666666667</v>
      </c>
      <c r="L14" s="22"/>
      <c r="M14" s="22"/>
      <c r="X14" s="22"/>
    </row>
    <row r="15" spans="1:24" x14ac:dyDescent="0.3">
      <c r="A15">
        <v>0.22206241638177171</v>
      </c>
      <c r="B15">
        <v>1425.4899149232406</v>
      </c>
      <c r="C15" s="1">
        <v>3.3333333333333335</v>
      </c>
      <c r="D15">
        <v>0.30205599743569667</v>
      </c>
      <c r="E15">
        <v>1024.5162457892404</v>
      </c>
      <c r="F15" s="1">
        <v>4.333333333333333</v>
      </c>
      <c r="L15" s="22"/>
      <c r="M15" s="22"/>
      <c r="X15" s="22"/>
    </row>
    <row r="16" spans="1:24" x14ac:dyDescent="0.3">
      <c r="A16">
        <v>0.29319243217350632</v>
      </c>
      <c r="B16">
        <v>871.15225549850732</v>
      </c>
      <c r="C16" s="1">
        <v>3.3333333333333335</v>
      </c>
      <c r="D16">
        <v>0.25547439902912733</v>
      </c>
      <c r="E16">
        <v>914.8339013740939</v>
      </c>
      <c r="F16" s="1">
        <v>2</v>
      </c>
      <c r="L16" s="22"/>
      <c r="M16" s="22"/>
      <c r="X16" s="22"/>
    </row>
    <row r="17" spans="1:24" x14ac:dyDescent="0.3">
      <c r="A17">
        <v>0.19990876743993172</v>
      </c>
      <c r="B17">
        <v>1262.4344126383821</v>
      </c>
      <c r="C17" s="1">
        <v>1</v>
      </c>
      <c r="D17">
        <v>0.24252889775053502</v>
      </c>
      <c r="E17">
        <v>1075.6126269082768</v>
      </c>
      <c r="F17" s="1">
        <v>2</v>
      </c>
      <c r="L17" s="22"/>
      <c r="M17" s="22"/>
      <c r="X17" s="22"/>
    </row>
    <row r="18" spans="1:24" x14ac:dyDescent="0.3">
      <c r="A18">
        <v>0.39613683376910824</v>
      </c>
      <c r="B18">
        <v>904.04029573457831</v>
      </c>
      <c r="C18" s="1">
        <v>5</v>
      </c>
      <c r="D18">
        <v>0.31885598858605513</v>
      </c>
      <c r="E18">
        <v>828.97730835914399</v>
      </c>
      <c r="F18" s="1">
        <v>3.6666666666666665</v>
      </c>
      <c r="L18" s="22"/>
      <c r="M18" s="22"/>
      <c r="X18" s="22"/>
    </row>
    <row r="19" spans="1:24" x14ac:dyDescent="0.3">
      <c r="A19">
        <v>0.19059307316602458</v>
      </c>
      <c r="B19">
        <v>1190.1112192749144</v>
      </c>
      <c r="C19" s="1">
        <v>1</v>
      </c>
      <c r="D19">
        <v>0.16990322659582088</v>
      </c>
      <c r="E19">
        <v>798.27439961122093</v>
      </c>
      <c r="F19" s="1">
        <v>2</v>
      </c>
      <c r="L19" s="22"/>
      <c r="M19" s="22"/>
      <c r="X19" s="22"/>
    </row>
    <row r="20" spans="1:24" x14ac:dyDescent="0.3">
      <c r="A20">
        <v>0.22961160014559376</v>
      </c>
      <c r="B20">
        <v>871.30802145135647</v>
      </c>
      <c r="C20" s="1">
        <v>8.3333333333333339</v>
      </c>
      <c r="D20">
        <v>0.20818246515723307</v>
      </c>
      <c r="E20">
        <v>1025.8835359066816</v>
      </c>
      <c r="F20" s="1">
        <v>6.333333333333333</v>
      </c>
      <c r="L20" s="22"/>
      <c r="M20" s="22"/>
      <c r="X20" s="22"/>
    </row>
    <row r="21" spans="1:24" x14ac:dyDescent="0.3">
      <c r="A21">
        <v>0.24309586795003829</v>
      </c>
      <c r="B21">
        <v>2186.6557274027145</v>
      </c>
      <c r="C21" s="1">
        <v>0.33333333333333331</v>
      </c>
      <c r="D21">
        <v>0.31631745824480229</v>
      </c>
      <c r="E21">
        <v>1805.8856785563185</v>
      </c>
      <c r="F21" s="1">
        <v>0.66666666666666663</v>
      </c>
      <c r="L21" s="22"/>
      <c r="M21" s="22"/>
      <c r="X21" s="22"/>
    </row>
    <row r="22" spans="1:24" x14ac:dyDescent="0.3">
      <c r="A22">
        <v>0.23995208165096762</v>
      </c>
      <c r="B22">
        <v>980.63672834882016</v>
      </c>
      <c r="C22" s="1">
        <v>6.333333333333333</v>
      </c>
      <c r="D22">
        <v>0.29930966301525824</v>
      </c>
      <c r="E22">
        <v>950.91354289316882</v>
      </c>
      <c r="F22" s="1">
        <v>7.333333333333333</v>
      </c>
      <c r="L22" s="22"/>
      <c r="M22" s="22"/>
      <c r="X22" s="22"/>
    </row>
    <row r="23" spans="1:24" x14ac:dyDescent="0.3">
      <c r="A23">
        <v>0.34051397442419129</v>
      </c>
      <c r="B23">
        <v>2117.6974128335046</v>
      </c>
      <c r="C23" s="1">
        <v>3.3333333333333335</v>
      </c>
      <c r="D23">
        <v>0.28442313373370942</v>
      </c>
      <c r="E23">
        <v>2286.6280262564742</v>
      </c>
      <c r="F23" s="1">
        <v>3.6666666666666665</v>
      </c>
      <c r="L23" s="22"/>
      <c r="M23" s="22"/>
      <c r="X23" s="22"/>
    </row>
    <row r="24" spans="1:24" x14ac:dyDescent="0.3">
      <c r="A24">
        <v>0.19562870230676671</v>
      </c>
      <c r="B24">
        <v>1299.6250394398</v>
      </c>
      <c r="C24" s="1">
        <v>2.3333333333333335</v>
      </c>
      <c r="D24">
        <v>0.26931223094073742</v>
      </c>
      <c r="E24">
        <v>983.95202514825723</v>
      </c>
      <c r="F24" s="1">
        <v>2.6666666666666665</v>
      </c>
      <c r="L24" s="22"/>
      <c r="M24" s="22"/>
      <c r="X24" s="22"/>
    </row>
    <row r="25" spans="1:24" x14ac:dyDescent="0.3">
      <c r="A25">
        <v>0.32524809442636354</v>
      </c>
      <c r="B25">
        <v>941.69825322779673</v>
      </c>
      <c r="C25" s="1">
        <v>3</v>
      </c>
      <c r="D25">
        <v>0.28086276448944736</v>
      </c>
      <c r="E25">
        <v>874.57502465930258</v>
      </c>
      <c r="F25" s="1">
        <v>2.3333333333333335</v>
      </c>
      <c r="L25" s="22"/>
      <c r="M25" s="22"/>
      <c r="X25" s="22"/>
    </row>
    <row r="26" spans="1:24" x14ac:dyDescent="0.3">
      <c r="A26">
        <v>0.35789627655171224</v>
      </c>
      <c r="B26">
        <v>2675.0204512009286</v>
      </c>
      <c r="C26" s="1">
        <v>1.3333333333333333</v>
      </c>
      <c r="D26">
        <v>0.18482913903244211</v>
      </c>
      <c r="E26">
        <v>2516.9239500203498</v>
      </c>
      <c r="F26" s="1">
        <v>1</v>
      </c>
      <c r="L26" s="22"/>
      <c r="M26" s="22"/>
      <c r="X26" s="22"/>
    </row>
    <row r="27" spans="1:24" x14ac:dyDescent="0.3">
      <c r="A27">
        <v>0.27803957542384167</v>
      </c>
      <c r="B27">
        <v>893.43153650904515</v>
      </c>
      <c r="C27" s="1">
        <v>4</v>
      </c>
      <c r="D27">
        <v>0.21494077034089959</v>
      </c>
      <c r="E27">
        <v>1128.0158504860694</v>
      </c>
      <c r="F27" s="1">
        <v>3.3333333333333335</v>
      </c>
      <c r="L27" s="22"/>
      <c r="M27" s="22"/>
      <c r="X27" s="22"/>
    </row>
    <row r="28" spans="1:24" x14ac:dyDescent="0.3">
      <c r="A28">
        <v>0.32355634320753329</v>
      </c>
      <c r="B28">
        <v>1233.637029667944</v>
      </c>
      <c r="C28" s="1">
        <v>5.666666666666667</v>
      </c>
      <c r="D28">
        <v>0.35640610566275061</v>
      </c>
      <c r="E28">
        <v>1232.2716469948625</v>
      </c>
      <c r="F28" s="1">
        <v>4.666666666666667</v>
      </c>
      <c r="L28" s="22"/>
      <c r="M28" s="22"/>
      <c r="X28" s="22"/>
    </row>
    <row r="29" spans="1:24" x14ac:dyDescent="0.3">
      <c r="A29">
        <v>0.18962073712705882</v>
      </c>
      <c r="B29">
        <v>1258.7868628728972</v>
      </c>
      <c r="C29" s="1">
        <v>1</v>
      </c>
      <c r="D29">
        <v>0.17050432062353141</v>
      </c>
      <c r="E29">
        <v>1551.6163067570683</v>
      </c>
      <c r="F29" s="1">
        <v>1.6666666666666667</v>
      </c>
      <c r="L29" s="22"/>
      <c r="M29" s="22"/>
      <c r="X29" s="22"/>
    </row>
    <row r="30" spans="1:24" x14ac:dyDescent="0.3">
      <c r="A30">
        <v>0.22085464969757193</v>
      </c>
      <c r="B30">
        <v>1518.6532818462031</v>
      </c>
      <c r="C30" s="1">
        <v>1.6666666666666667</v>
      </c>
      <c r="D30">
        <v>0.21122108528822553</v>
      </c>
      <c r="E30">
        <v>1765.2880986540713</v>
      </c>
      <c r="F30" s="1">
        <v>2.6666666666666665</v>
      </c>
      <c r="L30" s="22"/>
      <c r="M30" s="22"/>
      <c r="X30" s="22"/>
    </row>
    <row r="31" spans="1:24" x14ac:dyDescent="0.3">
      <c r="A31">
        <v>0.26098795390399387</v>
      </c>
      <c r="B31">
        <v>953.36668581808908</v>
      </c>
      <c r="C31" s="1">
        <v>12.333333333333334</v>
      </c>
      <c r="D31">
        <v>0.24997793430635498</v>
      </c>
      <c r="E31">
        <v>738.34470982909363</v>
      </c>
      <c r="F31" s="1">
        <v>9.3333333333333339</v>
      </c>
      <c r="L31" s="22"/>
      <c r="M31" s="22"/>
      <c r="X31" s="22"/>
    </row>
    <row r="32" spans="1:24" x14ac:dyDescent="0.3">
      <c r="A32">
        <v>0.21385837813218261</v>
      </c>
      <c r="B32">
        <v>1107.6670826787151</v>
      </c>
      <c r="C32" s="1">
        <v>4.666666666666667</v>
      </c>
      <c r="D32">
        <v>0.25397867432546173</v>
      </c>
      <c r="E32">
        <v>1229.7506610882745</v>
      </c>
      <c r="F32" s="1">
        <v>3.3333333333333335</v>
      </c>
      <c r="L32" s="22"/>
      <c r="M32" s="22"/>
      <c r="X32" s="22"/>
    </row>
    <row r="33" spans="1:24" x14ac:dyDescent="0.3">
      <c r="A33">
        <v>0.39249139766694124</v>
      </c>
      <c r="B33">
        <v>915.9485901598091</v>
      </c>
      <c r="C33" s="1">
        <v>3.6666666666666665</v>
      </c>
      <c r="D33">
        <v>0.35641135740334984</v>
      </c>
      <c r="E33">
        <v>1024.8034742044097</v>
      </c>
      <c r="F33" s="1">
        <v>3.6666666666666665</v>
      </c>
      <c r="L33" s="22"/>
      <c r="M33" s="22"/>
      <c r="X33" s="22"/>
    </row>
    <row r="34" spans="1:24" x14ac:dyDescent="0.3">
      <c r="A34">
        <v>0.47582686597027934</v>
      </c>
      <c r="B34">
        <v>1648.9144032136769</v>
      </c>
      <c r="C34" s="1">
        <v>2.6666666666666665</v>
      </c>
      <c r="D34">
        <v>0.48109642449217138</v>
      </c>
      <c r="E34">
        <v>1625.0593540851357</v>
      </c>
      <c r="F34" s="1">
        <v>2</v>
      </c>
      <c r="L34" s="22"/>
      <c r="M34" s="22"/>
      <c r="X34" s="22"/>
    </row>
    <row r="35" spans="1:24" x14ac:dyDescent="0.3">
      <c r="A35">
        <v>0.26363522486726043</v>
      </c>
      <c r="B35">
        <v>1247.4863347239366</v>
      </c>
      <c r="C35" s="1">
        <v>5.333333333333333</v>
      </c>
      <c r="D35">
        <v>0.21756322447380649</v>
      </c>
      <c r="E35">
        <v>1203.3084175697149</v>
      </c>
      <c r="F35" s="1">
        <v>3.6666666666666665</v>
      </c>
      <c r="L35" s="22"/>
      <c r="M35" s="22"/>
      <c r="X35" s="22"/>
    </row>
    <row r="36" spans="1:24" x14ac:dyDescent="0.3">
      <c r="A36">
        <v>0.25991638942817025</v>
      </c>
      <c r="B36">
        <v>1393.2374003707839</v>
      </c>
      <c r="C36" s="1">
        <v>1.6666666666666667</v>
      </c>
      <c r="D36">
        <v>0.30536742503253289</v>
      </c>
      <c r="E36">
        <v>1265.983955549485</v>
      </c>
      <c r="F36" s="1">
        <v>3.3333333333333335</v>
      </c>
      <c r="L36" s="22"/>
      <c r="M36" s="22"/>
      <c r="X36" s="22"/>
    </row>
    <row r="37" spans="1:24" x14ac:dyDescent="0.3">
      <c r="A37">
        <v>0.21596972303606052</v>
      </c>
      <c r="B37">
        <v>1350.4657340669833</v>
      </c>
      <c r="C37" s="1">
        <v>3</v>
      </c>
      <c r="D37">
        <v>0.23373337367341968</v>
      </c>
      <c r="E37">
        <v>1253.0879039898532</v>
      </c>
      <c r="F37" s="1">
        <v>2.3333333333333335</v>
      </c>
      <c r="L37" s="22"/>
      <c r="M37" s="22"/>
      <c r="X37" s="22"/>
    </row>
    <row r="38" spans="1:24" x14ac:dyDescent="0.3">
      <c r="A38">
        <v>0.25413279533043809</v>
      </c>
      <c r="B38">
        <v>1093.4246891702048</v>
      </c>
      <c r="C38" s="1">
        <v>3</v>
      </c>
      <c r="D38">
        <v>0.22862194193013408</v>
      </c>
      <c r="E38">
        <v>886.43211922785849</v>
      </c>
      <c r="F38" s="1">
        <v>3.3333333333333335</v>
      </c>
      <c r="L38" s="22"/>
      <c r="M38" s="22"/>
      <c r="X38" s="22"/>
    </row>
    <row r="39" spans="1:24" x14ac:dyDescent="0.3">
      <c r="A39">
        <v>0.29494669216334185</v>
      </c>
      <c r="B39">
        <v>1050.3606792814883</v>
      </c>
      <c r="C39" s="1">
        <v>7.333333333333333</v>
      </c>
      <c r="D39">
        <v>0.23740622084919186</v>
      </c>
      <c r="E39">
        <v>975.4929663493416</v>
      </c>
      <c r="F39" s="1">
        <v>4.666666666666667</v>
      </c>
      <c r="L39" s="22"/>
      <c r="M39" s="22"/>
      <c r="X39" s="22"/>
    </row>
    <row r="40" spans="1:24" x14ac:dyDescent="0.3">
      <c r="A40">
        <v>0.1983700586223566</v>
      </c>
      <c r="B40">
        <v>1182.8894774510552</v>
      </c>
      <c r="C40" s="1">
        <v>4</v>
      </c>
      <c r="D40">
        <v>0.18712301373655743</v>
      </c>
      <c r="E40">
        <v>1078.5537096008811</v>
      </c>
      <c r="F40" s="1">
        <v>2.6666666666666665</v>
      </c>
      <c r="L40" s="22"/>
      <c r="M40" s="22"/>
      <c r="X40" s="22"/>
    </row>
    <row r="41" spans="1:24" x14ac:dyDescent="0.3">
      <c r="A41">
        <v>0.26997188004629841</v>
      </c>
      <c r="B41">
        <v>1010.0656815943995</v>
      </c>
      <c r="C41" s="1">
        <v>3.6666666666666665</v>
      </c>
      <c r="D41">
        <v>0.29475921132730187</v>
      </c>
      <c r="E41">
        <v>1182.2638375848153</v>
      </c>
      <c r="F41" s="1">
        <v>3.3333333333333335</v>
      </c>
      <c r="L41" s="22"/>
      <c r="M41" s="22"/>
      <c r="X41" s="22"/>
    </row>
    <row r="42" spans="1:24" x14ac:dyDescent="0.3">
      <c r="A42">
        <v>0.2299444769406295</v>
      </c>
      <c r="B42">
        <v>982.07201124751566</v>
      </c>
      <c r="C42" s="1">
        <v>4</v>
      </c>
      <c r="D42">
        <v>0.33283378750756631</v>
      </c>
      <c r="E42">
        <v>1133.4634862153496</v>
      </c>
      <c r="F42" s="1">
        <v>5.666666666666667</v>
      </c>
      <c r="L42" s="22"/>
      <c r="M42" s="22"/>
      <c r="X42" s="22"/>
    </row>
    <row r="43" spans="1:24" x14ac:dyDescent="0.3">
      <c r="A43">
        <v>0.35491143839101669</v>
      </c>
      <c r="B43">
        <v>1072.2685253017025</v>
      </c>
      <c r="C43" s="1">
        <v>3.3333333333333335</v>
      </c>
      <c r="D43">
        <v>0.37444450344720742</v>
      </c>
      <c r="E43">
        <v>1116.2496420904617</v>
      </c>
      <c r="F43" s="1">
        <v>3.6666666666666665</v>
      </c>
      <c r="L43" s="22"/>
      <c r="M43" s="22"/>
      <c r="X43" s="22"/>
    </row>
    <row r="44" spans="1:24" x14ac:dyDescent="0.3">
      <c r="A44">
        <v>0.32017188576256139</v>
      </c>
      <c r="B44">
        <v>1631.4476287126226</v>
      </c>
      <c r="C44" s="1">
        <v>3</v>
      </c>
      <c r="D44">
        <v>0.22120973506394948</v>
      </c>
      <c r="E44">
        <v>1917.6796428767088</v>
      </c>
      <c r="F44" s="1">
        <v>3</v>
      </c>
      <c r="L44" s="22"/>
      <c r="M44" s="22"/>
      <c r="X44" s="22"/>
    </row>
    <row r="45" spans="1:24" x14ac:dyDescent="0.3">
      <c r="A45">
        <v>0.25361199981505517</v>
      </c>
      <c r="B45">
        <v>1127.2642110325091</v>
      </c>
      <c r="C45" s="1">
        <v>5.666666666666667</v>
      </c>
      <c r="D45">
        <v>0.2088979815355112</v>
      </c>
      <c r="E45">
        <v>1131.6005337149807</v>
      </c>
      <c r="F45" s="1">
        <v>6.333333333333333</v>
      </c>
      <c r="L45" s="22"/>
      <c r="M45" s="22"/>
      <c r="X45" s="22"/>
    </row>
    <row r="46" spans="1:24" x14ac:dyDescent="0.3">
      <c r="A46">
        <v>0.18190061934473187</v>
      </c>
      <c r="B46">
        <v>1073.6893080092514</v>
      </c>
      <c r="C46" s="1">
        <v>2</v>
      </c>
      <c r="D46">
        <v>0.20748466401551016</v>
      </c>
      <c r="E46">
        <v>1728.1152803176567</v>
      </c>
      <c r="F46" s="1">
        <v>2</v>
      </c>
      <c r="L46" s="22"/>
      <c r="M46" s="22"/>
      <c r="X46" s="22"/>
    </row>
    <row r="47" spans="1:24" x14ac:dyDescent="0.3">
      <c r="A47">
        <v>0.26499960458491761</v>
      </c>
      <c r="B47">
        <v>1456.1348270794624</v>
      </c>
      <c r="C47" s="1">
        <v>2.6666666666666665</v>
      </c>
      <c r="D47">
        <v>0.29519069223218503</v>
      </c>
      <c r="E47">
        <v>798.54582833937354</v>
      </c>
      <c r="F47" s="1">
        <v>2.3333333333333335</v>
      </c>
      <c r="L47" s="22"/>
      <c r="M47" s="22"/>
      <c r="X47" s="22"/>
    </row>
    <row r="48" spans="1:24" x14ac:dyDescent="0.3">
      <c r="A48">
        <v>0.22490270771182089</v>
      </c>
      <c r="B48">
        <v>2047.7929483770652</v>
      </c>
      <c r="C48" s="1">
        <v>2.3333333333333335</v>
      </c>
      <c r="D48">
        <v>0.21751845765663105</v>
      </c>
      <c r="E48">
        <v>1466.5653019872043</v>
      </c>
      <c r="F48" s="1">
        <v>2</v>
      </c>
      <c r="L48" s="22"/>
      <c r="M48" s="22"/>
      <c r="X48" s="22"/>
    </row>
    <row r="49" spans="1:24" x14ac:dyDescent="0.3">
      <c r="A49">
        <v>0.48736331847243658</v>
      </c>
      <c r="B49">
        <v>1336.573434351591</v>
      </c>
      <c r="C49" s="1">
        <v>4.333333333333333</v>
      </c>
      <c r="D49">
        <v>0.20511269831898923</v>
      </c>
      <c r="E49">
        <v>1024.4031992394837</v>
      </c>
      <c r="F49" s="1">
        <v>2</v>
      </c>
      <c r="L49" s="22"/>
      <c r="M49" s="22"/>
      <c r="X49" s="22"/>
    </row>
    <row r="50" spans="1:24" x14ac:dyDescent="0.3">
      <c r="A50">
        <v>0.21032038730989799</v>
      </c>
      <c r="B50">
        <v>1237.0898558175361</v>
      </c>
      <c r="C50" s="1">
        <v>2.6666666666666665</v>
      </c>
      <c r="D50">
        <v>0.22969099811769261</v>
      </c>
      <c r="E50">
        <v>1639.3736058577908</v>
      </c>
      <c r="F50" s="1">
        <v>3</v>
      </c>
      <c r="L50" s="22"/>
      <c r="M50" s="22"/>
      <c r="X50" s="22"/>
    </row>
    <row r="51" spans="1:24" x14ac:dyDescent="0.3">
      <c r="A51">
        <v>0.35236011069193701</v>
      </c>
      <c r="B51">
        <v>1685.9217715995885</v>
      </c>
      <c r="C51" s="1">
        <v>4.333333333333333</v>
      </c>
      <c r="D51">
        <v>0.32266568523978001</v>
      </c>
      <c r="E51">
        <v>1775.1579405248594</v>
      </c>
      <c r="F51" s="1">
        <v>1.3333333333333333</v>
      </c>
      <c r="L51" s="22"/>
      <c r="M51" s="22"/>
      <c r="X51" s="22"/>
    </row>
    <row r="52" spans="1:24" x14ac:dyDescent="0.3">
      <c r="A52">
        <v>0.2529952508812125</v>
      </c>
      <c r="B52">
        <v>1261.5568008875405</v>
      </c>
      <c r="C52" s="1">
        <v>3.3333333333333335</v>
      </c>
      <c r="D52">
        <v>0.22719559357263389</v>
      </c>
      <c r="E52">
        <v>979.76723121658461</v>
      </c>
      <c r="F52" s="1">
        <v>3</v>
      </c>
      <c r="L52" s="22"/>
      <c r="M52" s="22"/>
      <c r="X52" s="22"/>
    </row>
    <row r="53" spans="1:24" x14ac:dyDescent="0.3">
      <c r="A53">
        <v>0.21076560083995291</v>
      </c>
      <c r="B53">
        <v>1177.7745853734796</v>
      </c>
      <c r="C53" s="1">
        <v>3.3333333333333335</v>
      </c>
      <c r="D53">
        <v>0.23122627166993517</v>
      </c>
      <c r="E53">
        <v>1168.3673700496647</v>
      </c>
      <c r="F53" s="1">
        <v>3</v>
      </c>
      <c r="L53" s="22"/>
      <c r="M53" s="22"/>
      <c r="X53" s="22"/>
    </row>
    <row r="54" spans="1:24" x14ac:dyDescent="0.3">
      <c r="A54">
        <v>0.25298495789131936</v>
      </c>
      <c r="B54">
        <v>1144.9176247075036</v>
      </c>
      <c r="C54" s="1">
        <v>6.333333333333333</v>
      </c>
      <c r="D54">
        <v>0.29151406187284873</v>
      </c>
      <c r="E54">
        <v>1133.5541069608578</v>
      </c>
      <c r="F54" s="1">
        <v>4.666666666666667</v>
      </c>
      <c r="L54" s="22"/>
      <c r="M54" s="22"/>
      <c r="X54" s="22"/>
    </row>
    <row r="55" spans="1:24" x14ac:dyDescent="0.3">
      <c r="A55">
        <v>0.27684502918739878</v>
      </c>
      <c r="B55">
        <v>1228.1734039226369</v>
      </c>
      <c r="C55" s="1">
        <v>2.3333333333333335</v>
      </c>
      <c r="D55">
        <v>0.2943781997024279</v>
      </c>
      <c r="E55">
        <v>1763.8885844514068</v>
      </c>
      <c r="F55" s="1">
        <v>2.3333333333333335</v>
      </c>
      <c r="L55" s="22"/>
      <c r="M55" s="22"/>
      <c r="X55" s="22"/>
    </row>
    <row r="56" spans="1:24" x14ac:dyDescent="0.3">
      <c r="A56">
        <v>0.28130668508577839</v>
      </c>
      <c r="B56">
        <v>1343.934975600871</v>
      </c>
      <c r="C56" s="1">
        <v>6.333333333333333</v>
      </c>
      <c r="D56">
        <v>0.41036352986229024</v>
      </c>
      <c r="E56">
        <v>1082.9315333010632</v>
      </c>
      <c r="F56" s="1">
        <v>4.666666666666667</v>
      </c>
      <c r="L56" s="22"/>
      <c r="M56" s="22"/>
      <c r="X56" s="22"/>
    </row>
    <row r="57" spans="1:24" x14ac:dyDescent="0.3">
      <c r="A57">
        <v>0.26432641488981429</v>
      </c>
      <c r="B57">
        <v>1228.0087553456422</v>
      </c>
      <c r="C57" s="1">
        <v>1</v>
      </c>
      <c r="D57">
        <v>0.63151888798750955</v>
      </c>
      <c r="E57">
        <v>1983.5219020395434</v>
      </c>
      <c r="F57" s="1">
        <v>2.6666666666666665</v>
      </c>
      <c r="L57" s="22"/>
      <c r="M57" s="22"/>
      <c r="X57" s="22"/>
    </row>
    <row r="58" spans="1:24" x14ac:dyDescent="0.3">
      <c r="A58">
        <v>0.25555896280882806</v>
      </c>
      <c r="B58">
        <v>990.85547422854779</v>
      </c>
      <c r="C58" s="1">
        <v>3.3333333333333335</v>
      </c>
      <c r="D58">
        <v>0.30181099693062219</v>
      </c>
      <c r="E58">
        <v>828.37936235581378</v>
      </c>
      <c r="F58" s="1">
        <v>4.666666666666667</v>
      </c>
      <c r="L58" s="22"/>
      <c r="M58" s="1"/>
      <c r="X58" s="22"/>
    </row>
    <row r="59" spans="1:24" x14ac:dyDescent="0.3">
      <c r="A59">
        <v>0.26596874318503405</v>
      </c>
      <c r="B59">
        <v>807.75419256490989</v>
      </c>
      <c r="C59" s="1">
        <v>4</v>
      </c>
      <c r="D59">
        <v>0.52210396557991079</v>
      </c>
      <c r="E59">
        <v>843.42489765307187</v>
      </c>
      <c r="F59" s="1">
        <v>3.6666666666666665</v>
      </c>
      <c r="L59" s="22"/>
      <c r="M59" s="22"/>
      <c r="X59" s="22"/>
    </row>
    <row r="60" spans="1:24" x14ac:dyDescent="0.3">
      <c r="A60">
        <v>0.38153530899152333</v>
      </c>
      <c r="B60">
        <v>1631.2933689430897</v>
      </c>
      <c r="C60" s="1">
        <v>2.6666666666666665</v>
      </c>
      <c r="D60">
        <v>0.22113684576473228</v>
      </c>
      <c r="E60">
        <v>2124.9862199454301</v>
      </c>
      <c r="F60" s="1">
        <v>2.3333333333333335</v>
      </c>
      <c r="L60" s="22"/>
      <c r="M60" s="22"/>
      <c r="X60" s="22"/>
    </row>
    <row r="61" spans="1:24" x14ac:dyDescent="0.3">
      <c r="A61">
        <v>0.65465099999999998</v>
      </c>
      <c r="B61">
        <v>8489.6563553138549</v>
      </c>
      <c r="C61" s="1">
        <v>0.33333333333333331</v>
      </c>
      <c r="D61">
        <v>0.40812795713853056</v>
      </c>
      <c r="E61">
        <v>2246.1804304151128</v>
      </c>
      <c r="F61" s="1">
        <v>3.3333333333333335</v>
      </c>
      <c r="L61" s="22"/>
      <c r="M61" s="22"/>
      <c r="X61" s="22"/>
    </row>
    <row r="62" spans="1:24" x14ac:dyDescent="0.3">
      <c r="A62">
        <v>0.61950143323284901</v>
      </c>
      <c r="B62">
        <v>1600.8385445297306</v>
      </c>
      <c r="C62" s="1">
        <v>1.6666666666666667</v>
      </c>
      <c r="D62">
        <v>0.31083645986984298</v>
      </c>
      <c r="E62">
        <v>1558.6530998188018</v>
      </c>
      <c r="F62" s="1">
        <v>3</v>
      </c>
      <c r="L62" s="22"/>
      <c r="M62" s="22"/>
      <c r="X62" s="22"/>
    </row>
    <row r="63" spans="1:24" x14ac:dyDescent="0.3">
      <c r="A63">
        <v>0.19638253551332452</v>
      </c>
      <c r="B63">
        <v>1111.8020286993997</v>
      </c>
      <c r="C63" s="1">
        <v>0.33333333333333331</v>
      </c>
      <c r="D63">
        <v>0.43558871479760797</v>
      </c>
      <c r="E63">
        <v>1466.7728478820936</v>
      </c>
      <c r="F63" s="1">
        <v>0.66666666666666663</v>
      </c>
      <c r="L63" s="22"/>
      <c r="M63" s="22"/>
      <c r="X63" s="22"/>
    </row>
    <row r="64" spans="1:24" x14ac:dyDescent="0.3">
      <c r="A64">
        <v>0.28926585869059074</v>
      </c>
      <c r="B64">
        <v>1113.3699206083857</v>
      </c>
      <c r="C64" s="1">
        <v>1.3333333333333333</v>
      </c>
      <c r="D64">
        <v>0.25202321914282572</v>
      </c>
      <c r="E64">
        <v>1145.7179658598736</v>
      </c>
      <c r="F64" s="1">
        <v>2</v>
      </c>
      <c r="L64" s="22"/>
      <c r="M64" s="22"/>
      <c r="X64" s="22"/>
    </row>
    <row r="65" spans="1:24" x14ac:dyDescent="0.3">
      <c r="A65">
        <v>0.24152963538050587</v>
      </c>
      <c r="B65">
        <v>1492.921188430734</v>
      </c>
      <c r="C65" s="1">
        <v>4.666666666666667</v>
      </c>
      <c r="D65">
        <v>0.27778979034396412</v>
      </c>
      <c r="E65">
        <v>1315.853368317566</v>
      </c>
      <c r="F65" s="1">
        <v>3</v>
      </c>
      <c r="L65" s="22"/>
      <c r="M65" s="22"/>
      <c r="X65" s="22"/>
    </row>
    <row r="66" spans="1:24" x14ac:dyDescent="0.3">
      <c r="A66">
        <v>0.33317558692397065</v>
      </c>
      <c r="B66">
        <v>810.79555904893596</v>
      </c>
      <c r="C66" s="1">
        <v>6</v>
      </c>
      <c r="D66">
        <v>0.36230959602946833</v>
      </c>
      <c r="E66">
        <v>786.42602655822907</v>
      </c>
      <c r="F66" s="1">
        <v>4.666666666666667</v>
      </c>
      <c r="L66" s="22"/>
      <c r="M66" s="22"/>
      <c r="X66" s="22"/>
    </row>
    <row r="67" spans="1:24" x14ac:dyDescent="0.3">
      <c r="A67">
        <v>0.39571068192116332</v>
      </c>
      <c r="B67">
        <v>1293.7180204125666</v>
      </c>
      <c r="C67" s="1">
        <v>5</v>
      </c>
      <c r="D67">
        <v>0.21088214259011043</v>
      </c>
      <c r="E67">
        <v>1364.0518470408551</v>
      </c>
      <c r="F67" s="1">
        <v>2.6666666666666665</v>
      </c>
      <c r="L67" s="22"/>
      <c r="M67" s="22"/>
      <c r="X67" s="22"/>
    </row>
    <row r="68" spans="1:24" x14ac:dyDescent="0.3">
      <c r="A68">
        <v>0.45752669593384421</v>
      </c>
      <c r="B68">
        <v>1566.4431254813901</v>
      </c>
      <c r="C68" s="1">
        <v>1.3333333333333333</v>
      </c>
      <c r="D68">
        <v>0.22493716955382284</v>
      </c>
      <c r="E68">
        <v>989.27780617698829</v>
      </c>
      <c r="F68" s="1">
        <v>2</v>
      </c>
      <c r="L68" s="22"/>
      <c r="M68" s="1"/>
      <c r="X68" s="22"/>
    </row>
    <row r="69" spans="1:24" x14ac:dyDescent="0.3">
      <c r="A69">
        <v>0.83270763283865001</v>
      </c>
      <c r="B69">
        <v>1005.6818302924472</v>
      </c>
      <c r="C69" s="1">
        <v>14.048780487804878</v>
      </c>
      <c r="D69">
        <v>0.54520527870291902</v>
      </c>
      <c r="E69">
        <v>1081.6276936522665</v>
      </c>
      <c r="F69" s="1">
        <v>15.2</v>
      </c>
      <c r="L69" s="22"/>
      <c r="M69" s="22"/>
      <c r="X69" s="22"/>
    </row>
    <row r="70" spans="1:24" x14ac:dyDescent="0.3">
      <c r="A70">
        <v>0.498605842017393</v>
      </c>
      <c r="B70">
        <v>1343.830439504098</v>
      </c>
      <c r="C70" s="1">
        <v>7.6097560975609753</v>
      </c>
      <c r="D70">
        <v>0.43389400545694062</v>
      </c>
      <c r="E70">
        <v>1471.8174868628635</v>
      </c>
      <c r="F70" s="1">
        <v>5.2</v>
      </c>
      <c r="L70" s="22"/>
      <c r="M70" s="22"/>
      <c r="X70" s="22"/>
    </row>
    <row r="71" spans="1:24" x14ac:dyDescent="0.3">
      <c r="A71">
        <v>0.60723293</v>
      </c>
      <c r="B71">
        <v>2116.7405216863922</v>
      </c>
      <c r="C71" s="1">
        <v>3.5121951219512195</v>
      </c>
      <c r="D71">
        <v>0.40258115160000002</v>
      </c>
      <c r="E71">
        <v>1597.8246391228943</v>
      </c>
      <c r="F71" s="1">
        <v>3.6</v>
      </c>
      <c r="L71" s="22"/>
      <c r="M71" s="22"/>
      <c r="X71" s="22"/>
    </row>
    <row r="72" spans="1:24" x14ac:dyDescent="0.3">
      <c r="A72">
        <v>0.66420258598106396</v>
      </c>
      <c r="B72">
        <v>1012.8709882814534</v>
      </c>
      <c r="C72" s="1">
        <v>21.658536585365855</v>
      </c>
      <c r="D72">
        <v>0.63135467248853949</v>
      </c>
      <c r="E72">
        <v>943.77289210270976</v>
      </c>
      <c r="F72" s="1">
        <v>22</v>
      </c>
      <c r="L72" s="22"/>
      <c r="M72" s="22"/>
      <c r="X72" s="22"/>
    </row>
    <row r="73" spans="1:24" x14ac:dyDescent="0.3">
      <c r="A73">
        <v>0.42101240465606893</v>
      </c>
      <c r="B73">
        <v>1210.0245558846993</v>
      </c>
      <c r="C73" s="1">
        <v>16.390243902439025</v>
      </c>
      <c r="D73">
        <v>0.40586796827797167</v>
      </c>
      <c r="E73">
        <v>1193.3160007199772</v>
      </c>
      <c r="F73" s="1">
        <v>12.8</v>
      </c>
      <c r="L73" s="22"/>
      <c r="M73" s="22"/>
      <c r="X73" s="22"/>
    </row>
    <row r="74" spans="1:24" x14ac:dyDescent="0.3">
      <c r="A74">
        <v>0.48195693053914918</v>
      </c>
      <c r="B74">
        <v>1159.2081387739183</v>
      </c>
      <c r="C74" s="1">
        <v>11.121951219512194</v>
      </c>
      <c r="D74">
        <v>0.42115243180925577</v>
      </c>
      <c r="E74">
        <v>1161.8427182343944</v>
      </c>
      <c r="F74" s="1">
        <v>10.4</v>
      </c>
      <c r="L74" s="22"/>
      <c r="M74" s="22"/>
      <c r="X74" s="22"/>
    </row>
    <row r="75" spans="1:24" x14ac:dyDescent="0.3">
      <c r="A75">
        <v>0.39714062629229346</v>
      </c>
      <c r="B75">
        <v>1050.1348234928432</v>
      </c>
      <c r="C75" s="1">
        <v>16.975609756097562</v>
      </c>
      <c r="D75">
        <v>0.50033415433616735</v>
      </c>
      <c r="E75">
        <v>1068.8512265182474</v>
      </c>
      <c r="F75" s="1">
        <v>17.600000000000001</v>
      </c>
      <c r="L75" s="22"/>
      <c r="M75" s="22"/>
      <c r="X75" s="22"/>
    </row>
    <row r="76" spans="1:24" x14ac:dyDescent="0.3">
      <c r="A76">
        <v>0.48116645204176534</v>
      </c>
      <c r="B76">
        <v>1035.636387678981</v>
      </c>
      <c r="C76" s="1">
        <v>5.8536585365853657</v>
      </c>
      <c r="D76">
        <v>0.39318702865218352</v>
      </c>
      <c r="E76">
        <v>1158.2806707728462</v>
      </c>
      <c r="F76" s="1">
        <v>5.2</v>
      </c>
      <c r="L76" s="22"/>
      <c r="M76" s="22"/>
      <c r="X76" s="22"/>
    </row>
    <row r="77" spans="1:24" x14ac:dyDescent="0.3">
      <c r="A77">
        <v>0.41147335716191324</v>
      </c>
      <c r="B77">
        <v>4593.8826946928402</v>
      </c>
      <c r="C77" s="1">
        <v>1.1707317073170731</v>
      </c>
      <c r="D77">
        <v>0.41304990951325432</v>
      </c>
      <c r="E77">
        <v>4946.7026062024042</v>
      </c>
      <c r="F77" s="1">
        <v>1.2</v>
      </c>
      <c r="L77" s="22"/>
      <c r="M77" s="22"/>
      <c r="X77" s="22"/>
    </row>
    <row r="78" spans="1:24" x14ac:dyDescent="0.3">
      <c r="A78">
        <v>0.25294369668830413</v>
      </c>
      <c r="B78">
        <v>1685.9274516893347</v>
      </c>
      <c r="C78" s="1">
        <v>0.58536585365853655</v>
      </c>
      <c r="D78">
        <v>0.36147249116490049</v>
      </c>
      <c r="E78">
        <v>1026.7050836921699</v>
      </c>
      <c r="F78" s="1">
        <v>0.4</v>
      </c>
      <c r="L78" s="22"/>
      <c r="M78" s="22"/>
      <c r="X78" s="22"/>
    </row>
    <row r="79" spans="1:24" x14ac:dyDescent="0.3">
      <c r="A79">
        <v>0.64590579786066038</v>
      </c>
      <c r="B79">
        <v>820.25228377729729</v>
      </c>
      <c r="C79" s="1">
        <v>14.634146341463415</v>
      </c>
      <c r="D79">
        <v>0.50551368738296631</v>
      </c>
      <c r="E79">
        <v>780.9696300328394</v>
      </c>
      <c r="F79" s="1">
        <v>19.2</v>
      </c>
      <c r="L79" s="22"/>
      <c r="M79" s="1"/>
      <c r="X79" s="22"/>
    </row>
    <row r="80" spans="1:24" x14ac:dyDescent="0.3">
      <c r="A80">
        <v>0.65668959490666734</v>
      </c>
      <c r="B80">
        <v>797.74827836017812</v>
      </c>
      <c r="C80" s="1">
        <v>17.560975609756099</v>
      </c>
      <c r="D80">
        <v>0.50667538362079712</v>
      </c>
      <c r="E80">
        <v>784.48681549067283</v>
      </c>
      <c r="F80" s="1">
        <v>20</v>
      </c>
      <c r="L80" s="22"/>
      <c r="M80" s="22"/>
      <c r="X80" s="22"/>
    </row>
    <row r="81" spans="1:24" x14ac:dyDescent="0.3">
      <c r="A81">
        <v>0.63667707209881452</v>
      </c>
      <c r="B81">
        <v>1067.8667405915708</v>
      </c>
      <c r="C81" s="1">
        <v>15.219512195121951</v>
      </c>
      <c r="D81">
        <v>0.54183461776603936</v>
      </c>
      <c r="E81">
        <v>1251.5655472639369</v>
      </c>
      <c r="F81" s="1">
        <v>14.4</v>
      </c>
      <c r="L81" s="22"/>
      <c r="M81" s="22"/>
      <c r="X81" s="22"/>
    </row>
    <row r="82" spans="1:24" x14ac:dyDescent="0.3">
      <c r="A82">
        <v>0.97117242999999998</v>
      </c>
      <c r="B82">
        <v>1462.584320720701</v>
      </c>
      <c r="C82" s="1">
        <v>4.6829268292682924</v>
      </c>
      <c r="D82">
        <v>0.96434275381644841</v>
      </c>
      <c r="E82">
        <v>1654.0742897552541</v>
      </c>
      <c r="F82" s="1">
        <v>4.4000000000000004</v>
      </c>
      <c r="L82" s="22"/>
      <c r="M82" s="22"/>
      <c r="X82" s="22"/>
    </row>
    <row r="83" spans="1:24" x14ac:dyDescent="0.3">
      <c r="A83">
        <v>0.49161969658218152</v>
      </c>
      <c r="B83">
        <v>1037.5364299236171</v>
      </c>
      <c r="C83" s="1">
        <v>11.121951219512194</v>
      </c>
      <c r="D83">
        <v>0.47709569637167759</v>
      </c>
      <c r="E83">
        <v>1036.4232246047898</v>
      </c>
      <c r="F83" s="1">
        <v>10</v>
      </c>
      <c r="L83" s="22"/>
      <c r="M83" s="22"/>
      <c r="X83" s="22"/>
    </row>
    <row r="84" spans="1:24" x14ac:dyDescent="0.3">
      <c r="A84">
        <v>0.41738320778038257</v>
      </c>
      <c r="B84">
        <v>995.30452204021219</v>
      </c>
      <c r="C84" s="1">
        <v>14.048780487804878</v>
      </c>
      <c r="D84">
        <v>0.45077402587727439</v>
      </c>
      <c r="E84">
        <v>959.73000450213158</v>
      </c>
      <c r="F84" s="1">
        <v>17.600000000000001</v>
      </c>
      <c r="L84" s="22"/>
      <c r="M84" s="22"/>
      <c r="X84" s="22"/>
    </row>
    <row r="85" spans="1:24" x14ac:dyDescent="0.3">
      <c r="A85">
        <v>0.27717872378648867</v>
      </c>
      <c r="B85">
        <v>1670.9819486707136</v>
      </c>
      <c r="C85" s="1">
        <v>1.7560975609756098</v>
      </c>
      <c r="D85">
        <v>0.2609740452279613</v>
      </c>
      <c r="E85">
        <v>1815.1715990496232</v>
      </c>
      <c r="F85" s="1">
        <v>0.8</v>
      </c>
      <c r="L85" s="22"/>
      <c r="M85" s="22"/>
      <c r="X85" s="22"/>
    </row>
    <row r="86" spans="1:24" x14ac:dyDescent="0.3">
      <c r="A86">
        <v>0.40981191466236111</v>
      </c>
      <c r="B86">
        <v>1010.222287594528</v>
      </c>
      <c r="C86" s="1">
        <v>7.6097560975609753</v>
      </c>
      <c r="D86">
        <v>0.38970788957071684</v>
      </c>
      <c r="E86">
        <v>1170.05610330645</v>
      </c>
      <c r="F86" s="1">
        <v>6</v>
      </c>
      <c r="L86" s="22"/>
      <c r="M86" s="22"/>
      <c r="X86" s="22"/>
    </row>
    <row r="87" spans="1:24" x14ac:dyDescent="0.3">
      <c r="A87">
        <v>0.84295839198551947</v>
      </c>
      <c r="B87">
        <v>691.52251289528726</v>
      </c>
      <c r="C87" s="1">
        <v>22.243902439024389</v>
      </c>
      <c r="D87">
        <v>0.68482519732817115</v>
      </c>
      <c r="E87">
        <v>818.53732426766169</v>
      </c>
      <c r="F87" s="1">
        <v>23.6</v>
      </c>
      <c r="L87" s="22"/>
      <c r="M87" s="22"/>
      <c r="X87" s="22"/>
    </row>
    <row r="88" spans="1:24" x14ac:dyDescent="0.3">
      <c r="A88">
        <v>0.38203333432510805</v>
      </c>
      <c r="B88">
        <v>1433.5128785924128</v>
      </c>
      <c r="C88" s="1">
        <v>8.1951219512195124</v>
      </c>
      <c r="D88">
        <v>0.36595448674872277</v>
      </c>
      <c r="E88">
        <v>1434.9119535446996</v>
      </c>
      <c r="F88" s="1">
        <v>8</v>
      </c>
      <c r="L88" s="22"/>
      <c r="M88" s="22"/>
      <c r="X88" s="22"/>
    </row>
    <row r="89" spans="1:24" x14ac:dyDescent="0.3">
      <c r="A89">
        <v>0.47733062429036172</v>
      </c>
      <c r="B89">
        <v>930.82387339329034</v>
      </c>
      <c r="C89" s="1">
        <v>6.4390243902439028</v>
      </c>
      <c r="D89">
        <v>0.54900056022330712</v>
      </c>
      <c r="E89">
        <v>983.61798169555095</v>
      </c>
      <c r="F89" s="1">
        <v>6.4</v>
      </c>
      <c r="L89" s="22"/>
      <c r="M89" s="22"/>
      <c r="X89" s="22"/>
    </row>
    <row r="90" spans="1:24" x14ac:dyDescent="0.3">
      <c r="A90">
        <v>0.56776996988776884</v>
      </c>
      <c r="B90">
        <v>854.27475071909078</v>
      </c>
      <c r="C90" s="1">
        <v>22.829268292682926</v>
      </c>
      <c r="D90">
        <v>0.45757427606372975</v>
      </c>
      <c r="E90">
        <v>1008.4468135744002</v>
      </c>
      <c r="F90" s="1">
        <v>18.8</v>
      </c>
      <c r="L90" s="22"/>
      <c r="M90" s="22"/>
      <c r="X90" s="22"/>
    </row>
    <row r="91" spans="1:24" x14ac:dyDescent="0.3">
      <c r="A91">
        <v>0.97807022501295859</v>
      </c>
      <c r="B91">
        <v>1156.4654126535265</v>
      </c>
      <c r="C91" s="1">
        <v>2.9268292682926829</v>
      </c>
      <c r="D91">
        <v>0.8396809795794401</v>
      </c>
      <c r="E91">
        <v>1075.9855899219922</v>
      </c>
      <c r="F91" s="1">
        <v>2.8</v>
      </c>
      <c r="L91" s="22"/>
      <c r="M91" s="22"/>
      <c r="X91" s="22"/>
    </row>
    <row r="92" spans="1:24" x14ac:dyDescent="0.3">
      <c r="A92">
        <v>0.44022261974592203</v>
      </c>
      <c r="B92">
        <v>1098.8220200847177</v>
      </c>
      <c r="C92" s="1">
        <v>14.048780487804878</v>
      </c>
      <c r="D92">
        <v>0.61760618531831957</v>
      </c>
      <c r="E92">
        <v>974.72612420532789</v>
      </c>
      <c r="F92" s="1">
        <v>16.8</v>
      </c>
      <c r="L92" s="22"/>
      <c r="M92" s="22"/>
      <c r="X92" s="22"/>
    </row>
    <row r="93" spans="1:24" x14ac:dyDescent="0.3">
      <c r="A93">
        <v>0.80742986812341166</v>
      </c>
      <c r="B93">
        <v>2057.8616054892809</v>
      </c>
      <c r="C93" s="1">
        <v>1.7560975609756098</v>
      </c>
      <c r="D93">
        <v>0.55116842840843483</v>
      </c>
      <c r="E93">
        <v>1812.6645892166769</v>
      </c>
      <c r="F93" s="1">
        <v>2.8</v>
      </c>
      <c r="L93" s="22"/>
      <c r="M93" s="22"/>
      <c r="X93" s="22"/>
    </row>
    <row r="94" spans="1:24" x14ac:dyDescent="0.3">
      <c r="A94">
        <v>0.30223638144735199</v>
      </c>
      <c r="B94">
        <v>1399.0722179292425</v>
      </c>
      <c r="C94" s="1">
        <v>1.1707317073170731</v>
      </c>
      <c r="D94">
        <v>0.26732326000000001</v>
      </c>
      <c r="E94">
        <v>1835.3147129153415</v>
      </c>
      <c r="F94" s="1">
        <v>2.4</v>
      </c>
      <c r="L94" s="22"/>
      <c r="M94" s="22"/>
      <c r="X94" s="22"/>
    </row>
    <row r="95" spans="1:24" x14ac:dyDescent="0.3">
      <c r="A95">
        <v>0.38159505926171622</v>
      </c>
      <c r="B95">
        <v>2020.0223375951057</v>
      </c>
      <c r="C95" s="1">
        <v>2.9268292682926829</v>
      </c>
      <c r="D95">
        <v>0.38956128562813702</v>
      </c>
      <c r="E95">
        <v>1673.9890313233814</v>
      </c>
      <c r="F95" s="1">
        <v>2.8</v>
      </c>
      <c r="L95" s="22"/>
      <c r="M95" s="22"/>
      <c r="X95" s="22"/>
    </row>
    <row r="96" spans="1:24" x14ac:dyDescent="0.3">
      <c r="A96">
        <v>0.42007870329615216</v>
      </c>
      <c r="B96">
        <v>1294.1491744259656</v>
      </c>
      <c r="C96" s="1">
        <v>2.3414634146341462</v>
      </c>
      <c r="D96">
        <v>0.35456781351046052</v>
      </c>
      <c r="E96">
        <v>1601.5418754402381</v>
      </c>
      <c r="F96" s="1">
        <v>3.2</v>
      </c>
      <c r="L96" s="22"/>
      <c r="M96" s="22"/>
      <c r="X96" s="22"/>
    </row>
    <row r="97" spans="1:24" x14ac:dyDescent="0.3">
      <c r="A97">
        <v>0.56713957097777723</v>
      </c>
      <c r="B97">
        <v>1124.1408945748724</v>
      </c>
      <c r="C97" s="1">
        <v>7.024390243902439</v>
      </c>
      <c r="D97">
        <v>0.3830477026369753</v>
      </c>
      <c r="E97">
        <v>1045.5470417366917</v>
      </c>
      <c r="F97" s="1">
        <v>8</v>
      </c>
      <c r="L97" s="22"/>
      <c r="M97" s="22"/>
      <c r="X97" s="22"/>
    </row>
    <row r="98" spans="1:24" x14ac:dyDescent="0.3">
      <c r="A98">
        <v>0.31021111762987963</v>
      </c>
      <c r="B98">
        <v>1317.3006811604914</v>
      </c>
      <c r="C98" s="1">
        <v>2.3414634146341462</v>
      </c>
      <c r="D98">
        <v>0.26772993742355278</v>
      </c>
      <c r="E98">
        <v>1258.0688411026204</v>
      </c>
      <c r="F98" s="1">
        <v>1.6</v>
      </c>
      <c r="L98" s="22"/>
      <c r="M98" s="22"/>
      <c r="X98" s="22"/>
    </row>
    <row r="99" spans="1:24" x14ac:dyDescent="0.3">
      <c r="A99">
        <v>0.51886869172133543</v>
      </c>
      <c r="B99">
        <v>889.20711830780692</v>
      </c>
      <c r="C99" s="1">
        <v>14.634146341463415</v>
      </c>
      <c r="D99">
        <v>0.35824474922125116</v>
      </c>
      <c r="E99">
        <v>1132.2241860253732</v>
      </c>
      <c r="F99" s="1">
        <v>11.6</v>
      </c>
      <c r="L99" s="22"/>
      <c r="M99" s="22"/>
      <c r="X99" s="22"/>
    </row>
    <row r="100" spans="1:24" x14ac:dyDescent="0.3">
      <c r="A100">
        <v>0.44266685486527219</v>
      </c>
      <c r="B100">
        <v>1434.9371687907505</v>
      </c>
      <c r="C100" s="1">
        <v>3.5121951219512195</v>
      </c>
      <c r="D100">
        <v>0.31491122096927299</v>
      </c>
      <c r="E100">
        <v>1102.7832948518978</v>
      </c>
      <c r="F100" s="1">
        <v>2.8</v>
      </c>
      <c r="L100" s="22"/>
      <c r="M100" s="22"/>
      <c r="X100" s="22"/>
    </row>
    <row r="101" spans="1:24" x14ac:dyDescent="0.3">
      <c r="A101">
        <v>0.83234142053306948</v>
      </c>
      <c r="B101">
        <v>2065.0209843196767</v>
      </c>
      <c r="C101" s="1">
        <v>4.0975609756097562</v>
      </c>
      <c r="D101">
        <v>0.68031281180029424</v>
      </c>
      <c r="E101">
        <v>2103.78983306296</v>
      </c>
      <c r="F101" s="1">
        <v>4.8</v>
      </c>
      <c r="L101" s="22"/>
      <c r="M101" s="22"/>
      <c r="X101" s="22"/>
    </row>
    <row r="102" spans="1:24" x14ac:dyDescent="0.3">
      <c r="A102">
        <v>0.28957920069093074</v>
      </c>
      <c r="B102">
        <v>1218.3249773653115</v>
      </c>
      <c r="C102" s="1">
        <v>1.1707317073170731</v>
      </c>
      <c r="D102">
        <v>0.30974869687186174</v>
      </c>
      <c r="E102">
        <v>1711.334978975178</v>
      </c>
      <c r="F102" s="1">
        <v>2</v>
      </c>
      <c r="L102" s="22"/>
      <c r="M102" s="22"/>
      <c r="X102" s="22"/>
    </row>
    <row r="103" spans="1:24" x14ac:dyDescent="0.3">
      <c r="A103">
        <v>0.28096759989175224</v>
      </c>
      <c r="B103">
        <v>1206.3542987693097</v>
      </c>
      <c r="C103" s="1">
        <v>4.0975609756097562</v>
      </c>
      <c r="D103">
        <v>0.66496736100061704</v>
      </c>
      <c r="E103">
        <v>1318.8950296722448</v>
      </c>
      <c r="F103" s="1">
        <v>2.8</v>
      </c>
      <c r="L103" s="22"/>
      <c r="M103" s="22"/>
      <c r="X103" s="22"/>
    </row>
    <row r="104" spans="1:24" x14ac:dyDescent="0.3">
      <c r="A104">
        <v>0.27038804005873829</v>
      </c>
      <c r="B104">
        <v>1480.6137477530583</v>
      </c>
      <c r="C104" s="1">
        <v>1.1707317073170731</v>
      </c>
      <c r="D104">
        <v>0.32048463197898391</v>
      </c>
      <c r="E104">
        <v>1807.2518522060448</v>
      </c>
      <c r="F104" s="1">
        <v>2</v>
      </c>
      <c r="L104" s="22"/>
      <c r="M104" s="22"/>
      <c r="X104" s="22"/>
    </row>
    <row r="105" spans="1:24" x14ac:dyDescent="0.3">
      <c r="A105">
        <v>0.40673829784024751</v>
      </c>
      <c r="B105">
        <v>1002.2671378957222</v>
      </c>
      <c r="C105" s="1">
        <v>18.73170731707317</v>
      </c>
      <c r="D105">
        <v>0.40111541047502525</v>
      </c>
      <c r="E105">
        <v>1036.4237501466746</v>
      </c>
      <c r="F105" s="1">
        <v>16</v>
      </c>
      <c r="L105" s="22"/>
      <c r="M105" s="22"/>
      <c r="X105" s="22"/>
    </row>
    <row r="106" spans="1:24" x14ac:dyDescent="0.3">
      <c r="A106">
        <v>0.61651651326581114</v>
      </c>
      <c r="B106">
        <v>937.8890028092693</v>
      </c>
      <c r="C106" s="1">
        <v>28.097560975609756</v>
      </c>
      <c r="D106">
        <v>0.70414203473177783</v>
      </c>
      <c r="E106">
        <v>1010.5820912904363</v>
      </c>
      <c r="F106" s="1">
        <v>24.8</v>
      </c>
      <c r="L106" s="22"/>
      <c r="M106" s="22"/>
      <c r="X106" s="22"/>
    </row>
    <row r="107" spans="1:24" x14ac:dyDescent="0.3">
      <c r="A107">
        <v>0.31852217615240325</v>
      </c>
      <c r="B107">
        <v>1114.2252611605661</v>
      </c>
      <c r="C107" s="1">
        <v>2.2222222222222223</v>
      </c>
      <c r="D107">
        <v>0.33138153085906352</v>
      </c>
      <c r="E107">
        <v>1065.6867616952077</v>
      </c>
      <c r="F107" s="1">
        <v>0.75471698113207553</v>
      </c>
      <c r="L107" s="22"/>
      <c r="M107" s="22"/>
      <c r="X107" s="22"/>
    </row>
    <row r="108" spans="1:24" x14ac:dyDescent="0.3">
      <c r="A108">
        <v>0.45586251908671754</v>
      </c>
      <c r="B108">
        <v>879.82881301697489</v>
      </c>
      <c r="C108" s="1">
        <v>0.7407407407407407</v>
      </c>
      <c r="D108" s="22">
        <v>0.38153085906349998</v>
      </c>
      <c r="E108" s="22">
        <v>9078.6867616952095</v>
      </c>
      <c r="F108" s="1">
        <v>0.75471698113207553</v>
      </c>
      <c r="L108" s="22"/>
      <c r="M108" s="22"/>
      <c r="X108" s="22"/>
    </row>
    <row r="109" spans="1:24" x14ac:dyDescent="0.3">
      <c r="A109">
        <v>0.38513081198367927</v>
      </c>
      <c r="B109">
        <v>1140.6116611151774</v>
      </c>
      <c r="C109" s="1">
        <v>14.074074074074074</v>
      </c>
      <c r="D109">
        <v>0.34266945962675305</v>
      </c>
      <c r="E109">
        <v>925.98368421023679</v>
      </c>
      <c r="F109" s="1">
        <v>11.69811320754717</v>
      </c>
      <c r="L109" s="22"/>
      <c r="M109" s="22"/>
      <c r="X109" s="22"/>
    </row>
    <row r="110" spans="1:24" x14ac:dyDescent="0.3">
      <c r="A110">
        <v>0.31375954059491729</v>
      </c>
      <c r="B110">
        <v>995.8259602174727</v>
      </c>
      <c r="C110" s="1">
        <v>8.1481481481481488</v>
      </c>
      <c r="D110">
        <v>0.35633439054952371</v>
      </c>
      <c r="E110">
        <v>1217.212344418755</v>
      </c>
      <c r="F110" s="1">
        <v>7.5471698113207548</v>
      </c>
      <c r="L110" s="22"/>
      <c r="M110" s="22"/>
      <c r="X110" s="22"/>
    </row>
    <row r="111" spans="1:24" x14ac:dyDescent="0.3">
      <c r="A111">
        <v>0.33250857121480054</v>
      </c>
      <c r="B111">
        <v>807.0477360562254</v>
      </c>
      <c r="C111" s="1">
        <v>2.2222222222222223</v>
      </c>
      <c r="D111">
        <v>0.27679075230233752</v>
      </c>
      <c r="E111">
        <v>1059.1196185350022</v>
      </c>
      <c r="F111" s="1">
        <v>2.641509433962264</v>
      </c>
      <c r="L111" s="22"/>
      <c r="M111" s="22"/>
      <c r="X111" s="22"/>
    </row>
    <row r="112" spans="1:24" x14ac:dyDescent="0.3">
      <c r="A112">
        <v>0.47312641431508817</v>
      </c>
      <c r="B112">
        <v>1954.1584944259193</v>
      </c>
      <c r="C112" s="1">
        <v>2.2222222222222223</v>
      </c>
      <c r="D112">
        <v>0.60098501190988163</v>
      </c>
      <c r="E112">
        <v>1344.686859705922</v>
      </c>
      <c r="F112" s="1">
        <v>1.5094339622641511</v>
      </c>
      <c r="L112" s="22"/>
      <c r="M112" s="22"/>
      <c r="X112" s="22"/>
    </row>
    <row r="113" spans="1:24" x14ac:dyDescent="0.3">
      <c r="A113">
        <v>0.40108934296665549</v>
      </c>
      <c r="B113">
        <v>1030.2164265523893</v>
      </c>
      <c r="C113" s="1">
        <v>14.814814814814815</v>
      </c>
      <c r="D113">
        <v>0.36807598705153638</v>
      </c>
      <c r="E113">
        <v>1024.8953900685754</v>
      </c>
      <c r="F113" s="1">
        <v>14.339622641509434</v>
      </c>
      <c r="L113" s="22"/>
      <c r="M113" s="22"/>
      <c r="X113" s="22"/>
    </row>
    <row r="114" spans="1:24" x14ac:dyDescent="0.3">
      <c r="A114">
        <v>0.34525506662810923</v>
      </c>
      <c r="B114">
        <v>1273.9366829582596</v>
      </c>
      <c r="C114" s="1">
        <v>11.851851851851851</v>
      </c>
      <c r="D114">
        <v>0.36426649804152772</v>
      </c>
      <c r="E114">
        <v>1294.0305056834534</v>
      </c>
      <c r="F114" s="1">
        <v>8.6792452830188687</v>
      </c>
      <c r="L114" s="22"/>
      <c r="M114" s="22"/>
      <c r="X114" s="22"/>
    </row>
    <row r="115" spans="1:24" x14ac:dyDescent="0.3">
      <c r="A115">
        <v>0.32462916268635844</v>
      </c>
      <c r="B115">
        <v>1487.0506135942589</v>
      </c>
      <c r="C115" s="1">
        <v>4.4444444444444446</v>
      </c>
      <c r="D115">
        <v>0.36254171062083518</v>
      </c>
      <c r="E115">
        <v>1280.6044457653172</v>
      </c>
      <c r="F115" s="1">
        <v>3.3962264150943398</v>
      </c>
      <c r="L115" s="22"/>
      <c r="M115" s="22"/>
      <c r="X115" s="22"/>
    </row>
    <row r="116" spans="1:24" x14ac:dyDescent="0.3">
      <c r="A116">
        <v>0.28505141595947403</v>
      </c>
      <c r="B116">
        <v>943.97330828897975</v>
      </c>
      <c r="C116" s="1">
        <v>1.4814814814814814</v>
      </c>
      <c r="D116">
        <v>0.64369922308953254</v>
      </c>
      <c r="E116">
        <v>2111.9059447099912</v>
      </c>
      <c r="F116" s="1">
        <v>2.2641509433962264</v>
      </c>
      <c r="L116" s="22"/>
      <c r="M116" s="22"/>
      <c r="X116" s="22"/>
    </row>
    <row r="117" spans="1:24" x14ac:dyDescent="0.3">
      <c r="A117">
        <v>0.3370684733584085</v>
      </c>
      <c r="B117">
        <v>1259.5930841858569</v>
      </c>
      <c r="C117" s="1">
        <v>7.4074074074074074</v>
      </c>
      <c r="D117">
        <v>0.38355503802539842</v>
      </c>
      <c r="E117">
        <v>1146.3684312648052</v>
      </c>
      <c r="F117" s="1">
        <v>8.3018867924528301</v>
      </c>
      <c r="L117" s="22"/>
      <c r="M117" s="22"/>
      <c r="X117" s="22"/>
    </row>
    <row r="118" spans="1:24" x14ac:dyDescent="0.3">
      <c r="A118">
        <v>0.50505460688613479</v>
      </c>
      <c r="B118">
        <v>763.17309487356829</v>
      </c>
      <c r="C118" s="1">
        <v>29.62962962962963</v>
      </c>
      <c r="D118">
        <v>0.60695589900930358</v>
      </c>
      <c r="E118">
        <v>896.20957723479557</v>
      </c>
      <c r="F118" s="1">
        <v>29.433962264150942</v>
      </c>
      <c r="L118" s="22"/>
      <c r="M118" s="22"/>
      <c r="X118" s="22"/>
    </row>
    <row r="119" spans="1:24" x14ac:dyDescent="0.3">
      <c r="A119">
        <v>0.3679684965309874</v>
      </c>
      <c r="B119">
        <v>1064.2180658939678</v>
      </c>
      <c r="C119" s="1">
        <v>14.074074074074074</v>
      </c>
      <c r="D119">
        <v>0.36335785672642479</v>
      </c>
      <c r="E119">
        <v>1039.3999123705435</v>
      </c>
      <c r="F119" s="1">
        <v>14.339622641509434</v>
      </c>
      <c r="L119" s="22"/>
      <c r="M119" s="22"/>
      <c r="X119" s="22"/>
    </row>
    <row r="120" spans="1:24" x14ac:dyDescent="0.3">
      <c r="A120" s="22">
        <v>0.46442287561506918</v>
      </c>
      <c r="B120" s="22">
        <v>1017.1828809827475</v>
      </c>
      <c r="C120" s="1">
        <v>2.9629629629629628</v>
      </c>
      <c r="D120">
        <v>0.33373037212589457</v>
      </c>
      <c r="E120">
        <v>1703.5244058044627</v>
      </c>
      <c r="F120" s="1">
        <v>2.2641509433962264</v>
      </c>
      <c r="L120" s="22"/>
      <c r="M120" s="22"/>
      <c r="X120" s="22"/>
    </row>
    <row r="121" spans="1:24" x14ac:dyDescent="0.3">
      <c r="A121">
        <v>0.46442287561506918</v>
      </c>
      <c r="B121">
        <v>1017.1828809827475</v>
      </c>
      <c r="C121" s="1">
        <v>2.9629629629629628</v>
      </c>
      <c r="D121">
        <v>0.32276199440942549</v>
      </c>
      <c r="E121">
        <v>1968.485680260093</v>
      </c>
      <c r="F121" s="1">
        <v>1.8867924528301887</v>
      </c>
      <c r="L121" s="22"/>
      <c r="M121" s="22"/>
      <c r="X121" s="22"/>
    </row>
    <row r="122" spans="1:24" x14ac:dyDescent="0.3">
      <c r="A122">
        <v>0.4817007295670625</v>
      </c>
      <c r="B122">
        <v>1010.8616860829502</v>
      </c>
      <c r="C122" s="1">
        <v>9.6296296296296298</v>
      </c>
      <c r="D122">
        <v>0.36517734193698392</v>
      </c>
      <c r="E122">
        <v>1090.5713197539781</v>
      </c>
      <c r="F122" s="1">
        <v>12.075471698113208</v>
      </c>
      <c r="L122" s="22"/>
      <c r="M122" s="22"/>
      <c r="X122" s="22"/>
    </row>
    <row r="123" spans="1:24" x14ac:dyDescent="0.3">
      <c r="A123" s="22">
        <v>0.37507520918756476</v>
      </c>
      <c r="B123" s="22">
        <v>1901.0800710313779</v>
      </c>
      <c r="C123" s="1">
        <v>1.4814814814814814</v>
      </c>
      <c r="D123">
        <v>0.33784838004162498</v>
      </c>
      <c r="E123">
        <v>1306.5125107255153</v>
      </c>
      <c r="F123" s="1">
        <v>1.1320754716981132</v>
      </c>
      <c r="L123" s="22"/>
      <c r="M123" s="22"/>
      <c r="X123" s="22"/>
    </row>
    <row r="124" spans="1:24" x14ac:dyDescent="0.3">
      <c r="A124">
        <v>0.254187565</v>
      </c>
      <c r="B124">
        <v>1931.0313799999999</v>
      </c>
      <c r="C124" s="1">
        <v>1.4814814814814814</v>
      </c>
      <c r="D124">
        <v>0.3083201280670787</v>
      </c>
      <c r="E124">
        <v>1934.504873843689</v>
      </c>
      <c r="F124" s="1">
        <v>1.8867924528301887</v>
      </c>
      <c r="L124" s="22"/>
      <c r="M124" s="22"/>
      <c r="X124" s="22"/>
    </row>
    <row r="125" spans="1:24" x14ac:dyDescent="0.3">
      <c r="A125">
        <v>0.28849467705841247</v>
      </c>
      <c r="B125">
        <v>1450.7605983035455</v>
      </c>
      <c r="C125" s="1">
        <v>2.9629629629629628</v>
      </c>
      <c r="D125">
        <v>0.3148991851948767</v>
      </c>
      <c r="E125">
        <v>1188.16694630142</v>
      </c>
      <c r="F125" s="1">
        <v>1.8867924528301887</v>
      </c>
      <c r="L125" s="22"/>
      <c r="M125" s="22"/>
      <c r="X125" s="22"/>
    </row>
    <row r="126" spans="1:24" x14ac:dyDescent="0.3">
      <c r="A126">
        <v>0.29346517922763832</v>
      </c>
      <c r="B126">
        <v>1196.4752188887044</v>
      </c>
      <c r="C126" s="1">
        <v>2.2222222222222223</v>
      </c>
      <c r="D126">
        <v>0.28331043528257288</v>
      </c>
      <c r="E126">
        <v>1105.9381901435554</v>
      </c>
      <c r="F126" s="1">
        <v>1.5094339622641511</v>
      </c>
      <c r="L126" s="22"/>
      <c r="M126" s="22"/>
      <c r="X126" s="22"/>
    </row>
    <row r="127" spans="1:24" x14ac:dyDescent="0.3">
      <c r="A127">
        <v>0.31957724446282609</v>
      </c>
      <c r="B127">
        <v>880.46812745056741</v>
      </c>
      <c r="C127" s="1">
        <v>2.2222222222222223</v>
      </c>
      <c r="D127">
        <v>0.30809246506538202</v>
      </c>
      <c r="E127">
        <v>1433.9459102641442</v>
      </c>
      <c r="F127" s="1">
        <v>1.8867924528301887</v>
      </c>
      <c r="L127" s="22"/>
      <c r="M127" s="22"/>
      <c r="X127" s="22"/>
    </row>
    <row r="128" spans="1:24" x14ac:dyDescent="0.3">
      <c r="A128">
        <v>0.34759846550894924</v>
      </c>
      <c r="B128">
        <v>972.34146531128135</v>
      </c>
      <c r="C128" s="1">
        <v>1.4814814814814814</v>
      </c>
      <c r="D128">
        <v>0.33793353337633725</v>
      </c>
      <c r="E128">
        <v>1161.6794187780877</v>
      </c>
      <c r="F128" s="1">
        <v>1.8867924528301887</v>
      </c>
      <c r="L128" s="22"/>
      <c r="M128" s="22"/>
      <c r="X128" s="22"/>
    </row>
    <row r="129" spans="1:24" x14ac:dyDescent="0.3">
      <c r="A129">
        <v>0.37311404005379584</v>
      </c>
      <c r="B129">
        <v>2665.9361462210713</v>
      </c>
      <c r="C129" s="1">
        <v>2.2222222222222223</v>
      </c>
      <c r="D129">
        <v>0.32133943092151923</v>
      </c>
      <c r="E129">
        <v>2492.8237058728409</v>
      </c>
      <c r="F129" s="1">
        <v>0.75471698113207553</v>
      </c>
      <c r="L129" s="22"/>
      <c r="M129" s="22"/>
      <c r="X129" s="22"/>
    </row>
    <row r="130" spans="1:24" x14ac:dyDescent="0.3">
      <c r="A130">
        <v>0.39707446307990096</v>
      </c>
      <c r="B130">
        <v>878.47071885620528</v>
      </c>
      <c r="C130" s="1">
        <v>6.666666666666667</v>
      </c>
      <c r="D130">
        <v>0.39859634437338737</v>
      </c>
      <c r="E130">
        <v>973.16398091356007</v>
      </c>
      <c r="F130" s="1">
        <v>9.0566037735849054</v>
      </c>
      <c r="L130" s="22"/>
      <c r="M130" s="22"/>
      <c r="X130" s="22"/>
    </row>
    <row r="131" spans="1:24" x14ac:dyDescent="0.3">
      <c r="A131">
        <v>0.31698100688477471</v>
      </c>
      <c r="B131">
        <v>2160.3796157989127</v>
      </c>
      <c r="C131" s="1">
        <v>1.4814814814814814</v>
      </c>
      <c r="D131">
        <v>0.38073729907949339</v>
      </c>
      <c r="E131">
        <v>1081.7970140278412</v>
      </c>
      <c r="F131" s="1">
        <v>3.0188679245283021</v>
      </c>
      <c r="L131" s="22"/>
      <c r="M131" s="22"/>
      <c r="X131" s="22"/>
    </row>
    <row r="132" spans="1:24" x14ac:dyDescent="0.3">
      <c r="A132">
        <v>0.38476945165780541</v>
      </c>
      <c r="B132">
        <v>928.12287320763312</v>
      </c>
      <c r="C132" s="1">
        <v>5.9259259259259256</v>
      </c>
      <c r="D132">
        <v>0.39829207541011974</v>
      </c>
      <c r="E132">
        <v>867.42279372347662</v>
      </c>
      <c r="F132" s="1">
        <v>7.1698113207547172</v>
      </c>
      <c r="L132" s="22"/>
      <c r="M132" s="22"/>
      <c r="X132" s="22"/>
    </row>
    <row r="133" spans="1:24" x14ac:dyDescent="0.3">
      <c r="A133">
        <v>0.35255117379552814</v>
      </c>
      <c r="B133">
        <v>1085.1202111975476</v>
      </c>
      <c r="C133" s="1">
        <v>5.9259259259259256</v>
      </c>
      <c r="D133">
        <v>0.31308554152490586</v>
      </c>
      <c r="E133">
        <v>1085.5445912135492</v>
      </c>
      <c r="F133" s="1">
        <v>3.0188679245283021</v>
      </c>
      <c r="L133" s="22"/>
      <c r="M133" s="22"/>
      <c r="X133" s="22"/>
    </row>
    <row r="134" spans="1:24" x14ac:dyDescent="0.3">
      <c r="A134">
        <v>0.26783448097843937</v>
      </c>
      <c r="B134">
        <v>2404.151458036948</v>
      </c>
      <c r="C134" s="1">
        <v>2.2222222222222223</v>
      </c>
      <c r="D134">
        <v>0.277197321741952</v>
      </c>
      <c r="E134">
        <v>1415.2845331182871</v>
      </c>
      <c r="F134" s="1">
        <v>1.5094339622641511</v>
      </c>
      <c r="L134" s="22"/>
      <c r="M134" s="22"/>
      <c r="X134" s="22"/>
    </row>
    <row r="135" spans="1:24" x14ac:dyDescent="0.3">
      <c r="A135">
        <v>0.53380326338382678</v>
      </c>
      <c r="B135">
        <v>1121.9395919874009</v>
      </c>
      <c r="C135" s="1">
        <v>13.333333333333334</v>
      </c>
      <c r="D135">
        <v>0.36163592771558289</v>
      </c>
      <c r="E135">
        <v>1169.7725314878273</v>
      </c>
      <c r="F135" s="1">
        <v>7.1698113207547172</v>
      </c>
      <c r="L135" s="22"/>
      <c r="M135" s="22"/>
      <c r="X135" s="22"/>
    </row>
    <row r="136" spans="1:24" x14ac:dyDescent="0.3">
      <c r="A136">
        <v>0.37999611188191601</v>
      </c>
      <c r="B136">
        <v>828.70162301455275</v>
      </c>
      <c r="C136" s="1">
        <v>2.2222222222222223</v>
      </c>
      <c r="D136">
        <v>0.58237932365604006</v>
      </c>
      <c r="E136">
        <v>914.21728725743537</v>
      </c>
      <c r="F136" s="1">
        <v>5.283018867924528</v>
      </c>
      <c r="L136" s="22"/>
      <c r="M136" s="22"/>
      <c r="X136" s="22"/>
    </row>
    <row r="137" spans="1:24" x14ac:dyDescent="0.3">
      <c r="A137">
        <v>0.39400350000000001</v>
      </c>
      <c r="B137">
        <v>993.11992203081002</v>
      </c>
      <c r="C137" s="1">
        <v>2.2222222222222223</v>
      </c>
      <c r="D137">
        <v>0.36242998223084222</v>
      </c>
      <c r="E137">
        <v>1153.1917102441657</v>
      </c>
      <c r="F137" s="1">
        <v>1.5094339622641511</v>
      </c>
      <c r="L137" s="22"/>
      <c r="M137" s="22"/>
      <c r="X137" s="22"/>
    </row>
    <row r="138" spans="1:24" x14ac:dyDescent="0.3">
      <c r="A138">
        <v>0.36884225661542652</v>
      </c>
      <c r="B138">
        <v>3303.8612174069567</v>
      </c>
      <c r="C138" s="1">
        <v>0.7407407407407407</v>
      </c>
      <c r="D138">
        <v>0.46235465779724194</v>
      </c>
      <c r="E138">
        <v>1672.961021855619</v>
      </c>
      <c r="F138" s="1">
        <v>0.37735849056603776</v>
      </c>
      <c r="L138" s="22"/>
      <c r="M138" s="22"/>
      <c r="X138" s="22"/>
    </row>
    <row r="139" spans="1:24" x14ac:dyDescent="0.3">
      <c r="A139">
        <v>0.27410269944260413</v>
      </c>
      <c r="B139">
        <v>1789.244168561042</v>
      </c>
      <c r="C139" s="1">
        <v>2.9629629629629628</v>
      </c>
      <c r="D139">
        <v>0.28519524385283757</v>
      </c>
      <c r="E139">
        <v>1274.5500123427519</v>
      </c>
      <c r="F139" s="1">
        <v>3.0188679245283021</v>
      </c>
      <c r="L139" s="22"/>
      <c r="M139" s="22"/>
      <c r="X139" s="22"/>
    </row>
    <row r="140" spans="1:24" x14ac:dyDescent="0.3">
      <c r="A140">
        <v>0.25718270652625852</v>
      </c>
      <c r="B140">
        <v>2185.0831790808879</v>
      </c>
      <c r="C140" s="1">
        <v>0.7407407407407407</v>
      </c>
      <c r="D140">
        <v>0.31255863319592603</v>
      </c>
      <c r="E140">
        <v>1864.5492116770183</v>
      </c>
      <c r="F140" s="1">
        <v>0.37735849056603776</v>
      </c>
      <c r="L140" s="22"/>
      <c r="M140" s="22"/>
      <c r="X140" s="22"/>
    </row>
    <row r="141" spans="1:24" x14ac:dyDescent="0.3">
      <c r="A141">
        <v>0.32307638618375628</v>
      </c>
      <c r="B141">
        <v>1169.6050661547149</v>
      </c>
      <c r="C141" s="1">
        <v>4.4444444444444446</v>
      </c>
      <c r="D141">
        <v>0.28200858488915198</v>
      </c>
      <c r="E141">
        <v>1038.658008520269</v>
      </c>
      <c r="F141" s="1">
        <v>2.641509433962264</v>
      </c>
      <c r="L141" s="22"/>
      <c r="M141" s="22"/>
      <c r="X141" s="22"/>
    </row>
    <row r="142" spans="1:24" x14ac:dyDescent="0.3">
      <c r="A142">
        <v>0.41738383156809733</v>
      </c>
      <c r="B142">
        <v>880.94534383442681</v>
      </c>
      <c r="C142" s="1">
        <v>2.2222222222222223</v>
      </c>
      <c r="D142">
        <v>0.50544093187881278</v>
      </c>
      <c r="E142">
        <v>848.30021814533256</v>
      </c>
      <c r="F142" s="1">
        <v>4.1509433962264151</v>
      </c>
      <c r="L142" s="22"/>
      <c r="M142" s="22"/>
      <c r="X142" s="22"/>
    </row>
    <row r="143" spans="1:24" x14ac:dyDescent="0.3">
      <c r="A143" s="22">
        <v>0.17180975000000001</v>
      </c>
      <c r="B143" s="22">
        <v>1080.9453438344201</v>
      </c>
      <c r="C143" s="1">
        <v>2.2222222222222223</v>
      </c>
      <c r="D143">
        <v>0.29491133560828287</v>
      </c>
      <c r="E143">
        <v>1635.7915092152048</v>
      </c>
      <c r="F143" s="1">
        <v>1.8867924528301887</v>
      </c>
      <c r="L143" s="22"/>
      <c r="M143" s="22"/>
      <c r="X143" s="22"/>
    </row>
    <row r="144" spans="1:24" x14ac:dyDescent="0.3">
      <c r="A144">
        <v>0.3287488653657879</v>
      </c>
      <c r="B144">
        <v>1195.8843354904834</v>
      </c>
      <c r="C144" s="1">
        <v>5.9259259259259256</v>
      </c>
      <c r="D144">
        <v>0.30905442564295715</v>
      </c>
      <c r="E144">
        <v>1357.905852543257</v>
      </c>
      <c r="F144" s="1">
        <v>3.7735849056603774</v>
      </c>
      <c r="L144" s="22"/>
      <c r="M144" s="22"/>
      <c r="X144" s="22"/>
    </row>
    <row r="145" spans="1:24" x14ac:dyDescent="0.3">
      <c r="A145">
        <v>0.33885021265425835</v>
      </c>
      <c r="B145">
        <v>2183.5168439082809</v>
      </c>
      <c r="C145" s="1">
        <v>1.4814814814814814</v>
      </c>
      <c r="D145">
        <v>0.26488257126172365</v>
      </c>
      <c r="E145">
        <v>1753.527217982577</v>
      </c>
      <c r="F145" s="1">
        <v>0.75471698113207553</v>
      </c>
      <c r="L145" s="22"/>
      <c r="M145" s="22"/>
      <c r="X145" s="22"/>
    </row>
    <row r="146" spans="1:24" x14ac:dyDescent="0.3">
      <c r="A146">
        <v>0.35461023456880447</v>
      </c>
      <c r="B146">
        <v>1047.5417924507387</v>
      </c>
      <c r="C146" s="1">
        <v>7.4074074074074074</v>
      </c>
      <c r="D146">
        <v>0.45757585396844302</v>
      </c>
      <c r="E146">
        <v>1274.3863983272818</v>
      </c>
      <c r="F146" s="1">
        <v>11.320754716981131</v>
      </c>
      <c r="L146" s="22"/>
      <c r="M146" s="22"/>
      <c r="X146" s="22"/>
    </row>
    <row r="147" spans="1:24" x14ac:dyDescent="0.3">
      <c r="A147">
        <v>0.29743060126311421</v>
      </c>
      <c r="B147">
        <v>1036.5061004276265</v>
      </c>
      <c r="C147" s="1">
        <v>5.9259259259259256</v>
      </c>
      <c r="D147">
        <v>0.32329089456548527</v>
      </c>
      <c r="E147">
        <v>863.95370232614516</v>
      </c>
      <c r="F147" s="1">
        <v>7.5471698113207548</v>
      </c>
      <c r="L147" s="22"/>
      <c r="M147" s="22"/>
      <c r="X147" s="22"/>
    </row>
    <row r="148" spans="1:24" x14ac:dyDescent="0.3">
      <c r="A148">
        <v>0.32674901696038439</v>
      </c>
      <c r="B148">
        <v>1254.5859775483004</v>
      </c>
      <c r="C148" s="1">
        <v>1.4814814814814814</v>
      </c>
      <c r="D148">
        <v>0.29340075530373916</v>
      </c>
      <c r="E148">
        <v>1045.0992525006102</v>
      </c>
      <c r="F148" s="1">
        <v>1.1320754716981132</v>
      </c>
      <c r="L148" s="22"/>
      <c r="M148" s="22"/>
      <c r="U148" s="22"/>
      <c r="V148" s="22"/>
      <c r="W148" s="11"/>
      <c r="X148" s="11"/>
    </row>
    <row r="149" spans="1:24" x14ac:dyDescent="0.3">
      <c r="A149">
        <v>0.31624149276177865</v>
      </c>
      <c r="B149">
        <v>831.13745850038811</v>
      </c>
      <c r="C149" s="1">
        <v>2.2222222222222223</v>
      </c>
      <c r="D149">
        <v>0.29613517850067178</v>
      </c>
      <c r="E149">
        <v>1307.1181323470009</v>
      </c>
      <c r="F149" s="1">
        <v>4.5283018867924527</v>
      </c>
      <c r="L149" s="22"/>
      <c r="M149" s="22"/>
      <c r="U149" s="22"/>
      <c r="V149" s="22"/>
      <c r="W149" s="11"/>
      <c r="X149" s="11"/>
    </row>
    <row r="150" spans="1:24" x14ac:dyDescent="0.3">
      <c r="A150">
        <v>0.42474247186259423</v>
      </c>
      <c r="B150">
        <v>925.66678960801244</v>
      </c>
      <c r="C150" s="1">
        <v>8.8888888888888893</v>
      </c>
      <c r="D150">
        <v>0.45609899157786626</v>
      </c>
      <c r="E150">
        <v>999.0921569870718</v>
      </c>
      <c r="F150" s="1">
        <v>10.566037735849056</v>
      </c>
      <c r="L150" s="22"/>
      <c r="M150" s="22"/>
      <c r="U150" s="11"/>
      <c r="V150" s="22"/>
      <c r="W150" s="11"/>
      <c r="X150" s="11"/>
    </row>
    <row r="151" spans="1:24" x14ac:dyDescent="0.3">
      <c r="A151">
        <v>0.37989443996368166</v>
      </c>
      <c r="B151">
        <v>999.49670037612907</v>
      </c>
      <c r="C151" s="1">
        <v>2.2222222222222223</v>
      </c>
      <c r="D151">
        <v>0.35103402186755578</v>
      </c>
      <c r="E151">
        <v>1063.9851474203501</v>
      </c>
      <c r="F151" s="1">
        <v>2.641509433962264</v>
      </c>
      <c r="L151" s="22"/>
      <c r="M151" s="22"/>
      <c r="U151" s="22"/>
      <c r="V151" s="22"/>
      <c r="W151" s="11"/>
      <c r="X151" s="11"/>
    </row>
    <row r="152" spans="1:24" x14ac:dyDescent="0.3">
      <c r="A152">
        <v>0.38408305942350202</v>
      </c>
      <c r="B152">
        <v>945.10138718476082</v>
      </c>
      <c r="C152" s="1">
        <v>0.7407407407407407</v>
      </c>
      <c r="D152">
        <v>0.38883101568960804</v>
      </c>
      <c r="E152">
        <v>1280.3463939727828</v>
      </c>
      <c r="F152" s="1">
        <v>2.641509433962264</v>
      </c>
      <c r="L152" s="22"/>
      <c r="M152" s="22"/>
      <c r="U152" s="22"/>
      <c r="V152" s="22"/>
      <c r="W152" s="11"/>
      <c r="X152" s="11"/>
    </row>
    <row r="153" spans="1:24" x14ac:dyDescent="0.3">
      <c r="A153">
        <v>0.29350631583429959</v>
      </c>
      <c r="B153">
        <v>1094.0188531699293</v>
      </c>
      <c r="C153" s="1">
        <v>4.4444444444444446</v>
      </c>
      <c r="D153">
        <v>0.27736920381709596</v>
      </c>
      <c r="E153">
        <v>1130.4561896796208</v>
      </c>
      <c r="F153" s="1">
        <v>3.7735849056603774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11"/>
      <c r="X153" s="11"/>
    </row>
    <row r="154" spans="1:24" x14ac:dyDescent="0.3">
      <c r="A154">
        <v>0.33176199215539193</v>
      </c>
      <c r="B154">
        <v>1447.8736393057056</v>
      </c>
      <c r="C154" s="1">
        <v>7.4074074074074074</v>
      </c>
      <c r="D154">
        <v>0.35364889359533547</v>
      </c>
      <c r="E154">
        <v>1176.794242263634</v>
      </c>
      <c r="F154" s="1">
        <v>4.1509433962264151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11"/>
      <c r="X154" s="11"/>
    </row>
    <row r="155" spans="1:24" x14ac:dyDescent="0.3">
      <c r="A155">
        <v>0.56784596543911947</v>
      </c>
      <c r="B155">
        <v>1341.7250261038489</v>
      </c>
      <c r="C155" s="1">
        <v>2.9629629629629628</v>
      </c>
      <c r="D155">
        <v>0.29816491013921104</v>
      </c>
      <c r="E155">
        <v>1164.6446329644314</v>
      </c>
      <c r="F155" s="1">
        <v>2.2641509433962264</v>
      </c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11"/>
      <c r="X155" s="11"/>
    </row>
    <row r="156" spans="1:24" x14ac:dyDescent="0.3">
      <c r="A156">
        <v>0.32140810907986406</v>
      </c>
      <c r="B156">
        <v>1503.2394136231487</v>
      </c>
      <c r="C156" s="1">
        <v>3.7037037037037037</v>
      </c>
      <c r="D156">
        <v>0.31824799369202339</v>
      </c>
      <c r="E156">
        <v>876.00450204365347</v>
      </c>
      <c r="F156" s="1">
        <v>3.3962264150943398</v>
      </c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11"/>
      <c r="X156" s="11"/>
    </row>
    <row r="157" spans="1:24" x14ac:dyDescent="0.3">
      <c r="A157">
        <v>0.3235274030295554</v>
      </c>
      <c r="B157">
        <v>1142.4686809570724</v>
      </c>
      <c r="C157" s="1">
        <v>8.8888888888888893</v>
      </c>
      <c r="D157">
        <v>0.32788349595019733</v>
      </c>
      <c r="E157">
        <v>1070.8045366932595</v>
      </c>
      <c r="F157" s="1">
        <v>9.0566037735849054</v>
      </c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11"/>
      <c r="X157" s="11"/>
    </row>
    <row r="158" spans="1:24" x14ac:dyDescent="0.3">
      <c r="A158" s="22">
        <v>0.28445782043208201</v>
      </c>
      <c r="B158" s="22">
        <v>1028.8926983936872</v>
      </c>
      <c r="C158" s="1">
        <v>0.7407407407407407</v>
      </c>
      <c r="D158">
        <v>0.28171075000000001</v>
      </c>
      <c r="E158">
        <v>1100.7425125037771</v>
      </c>
      <c r="F158" s="1">
        <v>0.75471698113207553</v>
      </c>
      <c r="L158" s="22"/>
      <c r="M158" s="22"/>
    </row>
    <row r="159" spans="1:24" x14ac:dyDescent="0.3">
      <c r="A159">
        <v>0.30783208200000001</v>
      </c>
      <c r="B159">
        <v>928.89269839369001</v>
      </c>
      <c r="C159" s="1">
        <v>0.7407407407407407</v>
      </c>
      <c r="D159">
        <v>0.27311587326368802</v>
      </c>
      <c r="E159">
        <v>994.56882754292019</v>
      </c>
      <c r="F159" s="1">
        <v>0.75471698113207553</v>
      </c>
      <c r="L159" s="22"/>
      <c r="M159" s="22"/>
    </row>
    <row r="160" spans="1:24" x14ac:dyDescent="0.3">
      <c r="A160">
        <v>0.51242896499450852</v>
      </c>
      <c r="B160">
        <v>772.85281940708956</v>
      </c>
      <c r="C160" s="1">
        <v>0.7407407407407407</v>
      </c>
      <c r="D160">
        <v>0.31433976349917231</v>
      </c>
      <c r="E160">
        <v>1119.8327636576055</v>
      </c>
      <c r="F160" s="1">
        <v>1.8867924528301887</v>
      </c>
      <c r="L160" s="22"/>
      <c r="M160" s="22"/>
    </row>
    <row r="161" spans="1:13" x14ac:dyDescent="0.3">
      <c r="A161">
        <v>0.3316533283809931</v>
      </c>
      <c r="B161">
        <v>1300.7382307449902</v>
      </c>
      <c r="C161" s="1">
        <v>3.7037037037037037</v>
      </c>
      <c r="D161">
        <v>0.37576342040349175</v>
      </c>
      <c r="E161">
        <v>1383.3440214512093</v>
      </c>
      <c r="F161" s="1">
        <v>5.6603773584905657</v>
      </c>
      <c r="L161" s="22"/>
      <c r="M161" s="22"/>
    </row>
    <row r="162" spans="1:13" x14ac:dyDescent="0.3">
      <c r="A162">
        <v>0.33530223546379839</v>
      </c>
      <c r="B162">
        <v>1034.999562020851</v>
      </c>
      <c r="C162" s="1">
        <v>7.4074074074074074</v>
      </c>
      <c r="D162">
        <v>0.30814623810285141</v>
      </c>
      <c r="E162">
        <v>1129.7517911412497</v>
      </c>
      <c r="F162" s="1">
        <v>6.0377358490566042</v>
      </c>
      <c r="L162" s="22"/>
      <c r="M162" s="22"/>
    </row>
    <row r="163" spans="1:13" x14ac:dyDescent="0.3">
      <c r="A163">
        <v>0.30490831537249052</v>
      </c>
      <c r="B163">
        <v>951.22520291067485</v>
      </c>
      <c r="C163" s="1">
        <v>0.7407407407407407</v>
      </c>
      <c r="D163">
        <v>0.40206926751384009</v>
      </c>
      <c r="E163">
        <v>1189.6960237579769</v>
      </c>
      <c r="F163" s="1">
        <v>1.5094339622641511</v>
      </c>
      <c r="L163" s="22"/>
      <c r="M163" s="22"/>
    </row>
    <row r="164" spans="1:13" x14ac:dyDescent="0.3">
      <c r="A164">
        <v>0.37339457877117677</v>
      </c>
      <c r="B164">
        <v>2665.1597402719458</v>
      </c>
      <c r="C164" s="1">
        <v>1.4814814814814814</v>
      </c>
      <c r="D164" s="22">
        <v>0.4426751384</v>
      </c>
      <c r="E164" s="22">
        <v>2179.6960237579801</v>
      </c>
      <c r="F164" s="1">
        <v>1.5094339622641511</v>
      </c>
      <c r="L164" s="22"/>
      <c r="M164" s="22"/>
    </row>
    <row r="165" spans="1:13" x14ac:dyDescent="0.3">
      <c r="A165">
        <v>0.42122095325399384</v>
      </c>
      <c r="B165">
        <v>957.9625297974784</v>
      </c>
      <c r="C165" s="1">
        <v>15.555555555555555</v>
      </c>
      <c r="D165">
        <v>0.41801145709100085</v>
      </c>
      <c r="E165">
        <v>995.05112411951836</v>
      </c>
      <c r="F165" s="1">
        <v>13.584905660377359</v>
      </c>
      <c r="L165" s="22"/>
      <c r="M165" s="22"/>
    </row>
    <row r="166" spans="1:13" x14ac:dyDescent="0.3">
      <c r="A166">
        <v>0.50780418010271544</v>
      </c>
      <c r="B166">
        <v>1129.3476941951321</v>
      </c>
      <c r="C166" s="1">
        <v>1.4814814814814814</v>
      </c>
      <c r="D166">
        <v>0.43047178985581497</v>
      </c>
      <c r="E166">
        <v>1317.7778142733514</v>
      </c>
      <c r="F166" s="1">
        <v>5.283018867924528</v>
      </c>
      <c r="L166" s="22"/>
      <c r="M166" s="22"/>
    </row>
    <row r="167" spans="1:13" x14ac:dyDescent="0.3">
      <c r="A167">
        <v>0.37742668340572061</v>
      </c>
      <c r="B167">
        <v>1223.5630139729872</v>
      </c>
      <c r="C167" s="1">
        <v>9.6296296296296298</v>
      </c>
      <c r="D167">
        <v>0.41400860276275797</v>
      </c>
      <c r="E167">
        <v>1079.8017639256518</v>
      </c>
      <c r="F167" s="1">
        <v>10.188679245283019</v>
      </c>
      <c r="L167" s="22"/>
      <c r="M167" s="22"/>
    </row>
    <row r="168" spans="1:13" x14ac:dyDescent="0.3">
      <c r="A168">
        <v>0.31230174671826116</v>
      </c>
      <c r="B168">
        <v>930.54326982510293</v>
      </c>
      <c r="C168" s="1">
        <v>6.666666666666667</v>
      </c>
      <c r="D168">
        <v>0.31676635764065686</v>
      </c>
      <c r="E168">
        <v>871.14874172169095</v>
      </c>
      <c r="F168" s="1">
        <v>6.4150943396226419</v>
      </c>
      <c r="L168" s="22"/>
      <c r="M168" s="22"/>
    </row>
    <row r="169" spans="1:13" x14ac:dyDescent="0.3">
      <c r="A169">
        <v>0.2706488396329233</v>
      </c>
      <c r="B169">
        <v>1571.8515850572478</v>
      </c>
      <c r="C169" s="1">
        <v>2.9629629629629628</v>
      </c>
      <c r="D169">
        <v>0.29347777695463328</v>
      </c>
      <c r="E169">
        <v>2530.7183835057776</v>
      </c>
      <c r="F169" s="1">
        <v>1.8867924528301887</v>
      </c>
      <c r="L169" s="22"/>
      <c r="M169" s="22"/>
    </row>
    <row r="170" spans="1:13" x14ac:dyDescent="0.3">
      <c r="A170">
        <v>0.31170670017113739</v>
      </c>
      <c r="B170">
        <v>1969.5824324885943</v>
      </c>
      <c r="C170" s="1">
        <v>2.9629629629629628</v>
      </c>
      <c r="D170">
        <v>0.33634557460038417</v>
      </c>
      <c r="E170">
        <v>1269.438286241189</v>
      </c>
      <c r="F170" s="1">
        <v>3.7735849056603774</v>
      </c>
      <c r="L170" s="22"/>
      <c r="M170" s="22"/>
    </row>
    <row r="171" spans="1:13" x14ac:dyDescent="0.3">
      <c r="A171">
        <v>0.28460515917360507</v>
      </c>
      <c r="B171">
        <v>1503.1590858757584</v>
      </c>
      <c r="C171" s="1">
        <v>3.7037037037037037</v>
      </c>
      <c r="D171">
        <v>0.3411381733723689</v>
      </c>
      <c r="E171">
        <v>1391.4302093216402</v>
      </c>
      <c r="F171" s="1">
        <v>5.6603773584905657</v>
      </c>
      <c r="L171" s="22"/>
      <c r="M171" s="22"/>
    </row>
    <row r="172" spans="1:13" x14ac:dyDescent="0.3">
      <c r="A172">
        <v>0.42306752792192459</v>
      </c>
      <c r="B172">
        <v>3186.0454107223013</v>
      </c>
      <c r="C172" s="1">
        <v>2.9629629629629628</v>
      </c>
      <c r="D172">
        <v>0.28037074087940439</v>
      </c>
      <c r="E172">
        <v>1046.6468196495516</v>
      </c>
      <c r="F172" s="1">
        <v>1.5094339622641511</v>
      </c>
      <c r="L172" s="22"/>
      <c r="M172" s="22"/>
    </row>
    <row r="173" spans="1:13" x14ac:dyDescent="0.3">
      <c r="A173">
        <v>0.32182142248503587</v>
      </c>
      <c r="B173">
        <v>1182.6004038490203</v>
      </c>
      <c r="C173" s="1">
        <v>5.1851851851851851</v>
      </c>
      <c r="D173">
        <v>0.39812033992431189</v>
      </c>
      <c r="E173">
        <v>1186.4626019775642</v>
      </c>
      <c r="F173" s="1">
        <v>4.5283018867924527</v>
      </c>
      <c r="L173" s="22"/>
      <c r="M173" s="22"/>
    </row>
    <row r="174" spans="1:13" x14ac:dyDescent="0.3">
      <c r="A174">
        <v>0.65132004732422055</v>
      </c>
      <c r="B174">
        <v>817.81996166753811</v>
      </c>
      <c r="C174" s="1">
        <v>5.9259259259259256</v>
      </c>
      <c r="D174">
        <v>0.42435387833670873</v>
      </c>
      <c r="E174">
        <v>967.38908533202016</v>
      </c>
      <c r="F174" s="1">
        <v>4.9056603773584904</v>
      </c>
      <c r="L174" s="22"/>
      <c r="M174" s="22"/>
    </row>
    <row r="175" spans="1:13" x14ac:dyDescent="0.3">
      <c r="A175">
        <v>0.44453113485875861</v>
      </c>
      <c r="B175">
        <v>1748.1809599771607</v>
      </c>
      <c r="C175" s="1">
        <v>2.9629629629629628</v>
      </c>
      <c r="D175">
        <v>0.40253826152824884</v>
      </c>
      <c r="E175">
        <v>1419.3588833084577</v>
      </c>
      <c r="F175" s="1">
        <v>2.2641509433962264</v>
      </c>
      <c r="L175" s="22"/>
      <c r="M175" s="22"/>
    </row>
    <row r="176" spans="1:13" x14ac:dyDescent="0.3">
      <c r="A176">
        <v>0.67056852550865254</v>
      </c>
      <c r="B176">
        <v>7925.9041248428039</v>
      </c>
      <c r="C176" s="1">
        <v>0.7407407407407407</v>
      </c>
      <c r="D176">
        <v>0.44611865281004565</v>
      </c>
      <c r="E176">
        <v>2622.7795847334664</v>
      </c>
      <c r="F176" s="1">
        <v>1.8867924528301887</v>
      </c>
      <c r="L176" s="22"/>
      <c r="M176" s="22"/>
    </row>
    <row r="177" spans="1:13" x14ac:dyDescent="0.3">
      <c r="A177">
        <v>0.36307534524239554</v>
      </c>
      <c r="B177">
        <v>1159.2632346354876</v>
      </c>
      <c r="C177" s="1">
        <v>11.111111111111111</v>
      </c>
      <c r="D177">
        <v>0.35771434500085653</v>
      </c>
      <c r="E177">
        <v>1083.692281434445</v>
      </c>
      <c r="F177" s="1">
        <v>10.943396226415095</v>
      </c>
      <c r="L177" s="22"/>
      <c r="M177" s="22"/>
    </row>
    <row r="178" spans="1:13" x14ac:dyDescent="0.3">
      <c r="A178">
        <v>0.32341255467620822</v>
      </c>
      <c r="B178">
        <v>1074.6790002687405</v>
      </c>
      <c r="C178" s="1">
        <v>10.37037037037037</v>
      </c>
      <c r="D178">
        <v>0.36844127279678729</v>
      </c>
      <c r="E178">
        <v>1137.6987304584152</v>
      </c>
      <c r="F178" s="1">
        <v>7.5471698113207548</v>
      </c>
      <c r="L178" s="22"/>
      <c r="M178" s="22"/>
    </row>
    <row r="179" spans="1:13" x14ac:dyDescent="0.3">
      <c r="A179">
        <v>0.37990670192030351</v>
      </c>
      <c r="B179">
        <v>1442.7481665297439</v>
      </c>
      <c r="C179" s="1">
        <v>8.1481481481481488</v>
      </c>
      <c r="D179">
        <v>0.32410528626124008</v>
      </c>
      <c r="E179">
        <v>1212.3075267602612</v>
      </c>
      <c r="F179" s="1">
        <v>7.1698113207547172</v>
      </c>
      <c r="L179" s="22"/>
      <c r="M179" s="22"/>
    </row>
    <row r="180" spans="1:13" x14ac:dyDescent="0.3">
      <c r="A180">
        <v>0.2913668745059752</v>
      </c>
      <c r="B180">
        <v>1676.9396743329621</v>
      </c>
      <c r="C180" s="1">
        <v>3.7037037037037037</v>
      </c>
      <c r="D180">
        <v>0.3300259084721518</v>
      </c>
      <c r="E180">
        <v>1393.3950418028369</v>
      </c>
      <c r="F180" s="1">
        <v>1.8867924528301887</v>
      </c>
      <c r="L180" s="22"/>
      <c r="M180" s="22"/>
    </row>
    <row r="181" spans="1:13" x14ac:dyDescent="0.3">
      <c r="A181">
        <v>0.37067587527148765</v>
      </c>
      <c r="B181">
        <v>1159.4374962121083</v>
      </c>
      <c r="C181" s="1">
        <v>12.592592592592593</v>
      </c>
      <c r="D181">
        <v>0.34147092769879539</v>
      </c>
      <c r="E181">
        <v>1006.6638013403951</v>
      </c>
      <c r="F181" s="1">
        <v>12.452830188679245</v>
      </c>
      <c r="L181" s="22"/>
      <c r="M181" s="22"/>
    </row>
    <row r="182" spans="1:13" x14ac:dyDescent="0.3">
      <c r="A182">
        <v>0.33688783703057656</v>
      </c>
      <c r="B182">
        <v>1461.4981416821749</v>
      </c>
      <c r="C182" s="1">
        <v>7.4074074074074074</v>
      </c>
      <c r="D182">
        <v>0.33190153279583384</v>
      </c>
      <c r="E182">
        <v>1028.8118614047385</v>
      </c>
      <c r="F182" s="1">
        <v>6.7924528301886795</v>
      </c>
      <c r="L182" s="22"/>
      <c r="M182" s="22"/>
    </row>
    <row r="183" spans="1:13" x14ac:dyDescent="0.3">
      <c r="A183">
        <v>0.3560408694464744</v>
      </c>
      <c r="B183">
        <v>1063.6491521164633</v>
      </c>
      <c r="C183" s="1">
        <v>5.9259259259259256</v>
      </c>
      <c r="D183">
        <v>0.63868371236928878</v>
      </c>
      <c r="E183">
        <v>939.61042729756934</v>
      </c>
      <c r="F183" s="1">
        <v>6.7924528301886795</v>
      </c>
      <c r="L183" s="22"/>
      <c r="M183" s="22"/>
    </row>
    <row r="184" spans="1:13" x14ac:dyDescent="0.3">
      <c r="A184">
        <v>0.26658547749028749</v>
      </c>
      <c r="B184">
        <v>1347.9856650765214</v>
      </c>
      <c r="C184" s="1">
        <v>0.7407407407407407</v>
      </c>
      <c r="D184">
        <v>0.44789043636945669</v>
      </c>
      <c r="E184">
        <v>1089.5119913033209</v>
      </c>
      <c r="F184" s="1">
        <v>1.8867924528301887</v>
      </c>
      <c r="L184" s="22"/>
      <c r="M184" s="22"/>
    </row>
    <row r="185" spans="1:13" x14ac:dyDescent="0.3">
      <c r="A185">
        <v>0.35206100251560779</v>
      </c>
      <c r="B185">
        <v>1331.6990529819782</v>
      </c>
      <c r="C185" s="1">
        <v>7.4074074074074074</v>
      </c>
      <c r="D185">
        <v>0.34744625380841604</v>
      </c>
      <c r="E185">
        <v>1049.3429252153019</v>
      </c>
      <c r="F185" s="1">
        <v>9.0566037735849054</v>
      </c>
    </row>
    <row r="186" spans="1:13" x14ac:dyDescent="0.3">
      <c r="A186">
        <v>0.34022131240478198</v>
      </c>
      <c r="B186">
        <v>1028.0434828935518</v>
      </c>
      <c r="C186" s="1">
        <v>8.1481481481481488</v>
      </c>
      <c r="D186">
        <v>0.35983589592085496</v>
      </c>
      <c r="E186">
        <v>1173.1984048561631</v>
      </c>
      <c r="F186" s="1">
        <v>8.3018867924528301</v>
      </c>
    </row>
    <row r="187" spans="1:13" x14ac:dyDescent="0.3">
      <c r="A187">
        <v>0.36511897403276633</v>
      </c>
      <c r="B187">
        <v>1268.01934365541</v>
      </c>
      <c r="C187" s="1">
        <v>5.9259259259259256</v>
      </c>
      <c r="D187">
        <v>0.38841480963706632</v>
      </c>
      <c r="E187">
        <v>1596.6643106213476</v>
      </c>
      <c r="F187" s="1">
        <v>4.5283018867924527</v>
      </c>
    </row>
    <row r="188" spans="1:13" x14ac:dyDescent="0.3">
      <c r="C188" s="1"/>
      <c r="D188"/>
      <c r="F188" s="1"/>
    </row>
    <row r="189" spans="1:13" x14ac:dyDescent="0.3">
      <c r="C189" s="1"/>
      <c r="D189"/>
      <c r="F189" s="1"/>
    </row>
    <row r="190" spans="1:13" x14ac:dyDescent="0.3">
      <c r="A190">
        <f>AVERAGE(A6:A187)</f>
        <v>0.36888058038132882</v>
      </c>
      <c r="B190" s="22">
        <f t="shared" ref="B190:F190" si="0">AVERAGE(B6:B187)</f>
        <v>1400.6817775906279</v>
      </c>
      <c r="C190" s="22">
        <f t="shared" si="0"/>
        <v>5.4162720748086599</v>
      </c>
      <c r="D190" s="22">
        <f t="shared" si="0"/>
        <v>0.36019078671451255</v>
      </c>
      <c r="E190" s="22">
        <f t="shared" si="0"/>
        <v>1345.9249561262191</v>
      </c>
      <c r="F190" s="22">
        <f t="shared" si="0"/>
        <v>5.2303545511092642</v>
      </c>
      <c r="G190" s="4"/>
    </row>
    <row r="191" spans="1:13" x14ac:dyDescent="0.3">
      <c r="A191" s="22">
        <f t="shared" ref="A191:F191" si="1">STDEVA(A7:A188)/SQRT(182)</f>
        <v>1.0822922754658192E-2</v>
      </c>
      <c r="B191" s="22">
        <f t="shared" si="1"/>
        <v>66.133883002776955</v>
      </c>
      <c r="C191" s="22">
        <f t="shared" si="1"/>
        <v>0.39168844159459165</v>
      </c>
      <c r="D191" s="22">
        <f t="shared" si="1"/>
        <v>9.3362490843530606E-3</v>
      </c>
      <c r="E191" s="22">
        <f t="shared" si="1"/>
        <v>55.212694866187682</v>
      </c>
      <c r="F191" s="22">
        <f t="shared" si="1"/>
        <v>0.38251683958031862</v>
      </c>
      <c r="G191" s="4"/>
    </row>
    <row r="193" spans="1:6" x14ac:dyDescent="0.3">
      <c r="A193" s="31" t="s">
        <v>392</v>
      </c>
    </row>
    <row r="194" spans="1:6" x14ac:dyDescent="0.3">
      <c r="A194" t="s">
        <v>365</v>
      </c>
      <c r="B194" s="22" t="s">
        <v>444</v>
      </c>
      <c r="C194" s="22" t="s">
        <v>445</v>
      </c>
      <c r="D194" s="22" t="s">
        <v>446</v>
      </c>
      <c r="E194" s="22"/>
    </row>
    <row r="195" spans="1:6" x14ac:dyDescent="0.3">
      <c r="A195" s="24" t="s">
        <v>393</v>
      </c>
      <c r="B195" s="11" t="s">
        <v>447</v>
      </c>
      <c r="C195" s="11" t="s">
        <v>366</v>
      </c>
      <c r="D195" s="1" t="s">
        <v>367</v>
      </c>
    </row>
    <row r="197" spans="1:6" x14ac:dyDescent="0.3">
      <c r="A197" s="2" t="s">
        <v>636</v>
      </c>
    </row>
    <row r="198" spans="1:6" ht="16.2" x14ac:dyDescent="0.3">
      <c r="A198" s="2" t="s">
        <v>635</v>
      </c>
    </row>
    <row r="199" spans="1:6" x14ac:dyDescent="0.3">
      <c r="A199" s="22" t="s">
        <v>634</v>
      </c>
      <c r="B199" s="22" t="s">
        <v>634</v>
      </c>
      <c r="C199" s="22" t="s">
        <v>634</v>
      </c>
      <c r="D199" s="22" t="s">
        <v>40</v>
      </c>
      <c r="E199" s="22" t="s">
        <v>40</v>
      </c>
      <c r="F199" s="22" t="s">
        <v>40</v>
      </c>
    </row>
    <row r="200" spans="1:6" x14ac:dyDescent="0.3">
      <c r="A200" s="22" t="s">
        <v>444</v>
      </c>
      <c r="B200" s="22" t="s">
        <v>445</v>
      </c>
      <c r="C200" s="22" t="s">
        <v>446</v>
      </c>
      <c r="D200" s="22" t="s">
        <v>41</v>
      </c>
      <c r="E200" s="22" t="s">
        <v>42</v>
      </c>
      <c r="F200" s="22" t="s">
        <v>446</v>
      </c>
    </row>
    <row r="201" spans="1:6" x14ac:dyDescent="0.3">
      <c r="A201" s="11">
        <v>0.335408445</v>
      </c>
      <c r="B201" s="11">
        <v>1930.8973599999999</v>
      </c>
      <c r="C201" s="22">
        <v>5</v>
      </c>
      <c r="D201" s="11">
        <v>0</v>
      </c>
      <c r="E201" s="11">
        <v>0</v>
      </c>
      <c r="F201" s="22">
        <v>0</v>
      </c>
    </row>
    <row r="202" spans="1:6" x14ac:dyDescent="0.3">
      <c r="A202" s="11">
        <v>0.24581763500000001</v>
      </c>
      <c r="B202" s="11">
        <v>2868.7806999999998</v>
      </c>
      <c r="C202" s="22">
        <v>9</v>
      </c>
      <c r="D202" s="11">
        <v>0</v>
      </c>
      <c r="E202" s="11">
        <v>0</v>
      </c>
      <c r="F202" s="22">
        <v>0</v>
      </c>
    </row>
    <row r="203" spans="1:6" x14ac:dyDescent="0.3">
      <c r="A203" s="11">
        <v>0.22721001499999999</v>
      </c>
      <c r="B203" s="11">
        <v>3609.0832399999999</v>
      </c>
      <c r="C203" s="22">
        <v>0.66666666666666663</v>
      </c>
      <c r="D203" s="11">
        <v>0</v>
      </c>
      <c r="E203" s="11">
        <v>0</v>
      </c>
      <c r="F203" s="22">
        <v>0</v>
      </c>
    </row>
    <row r="204" spans="1:6" x14ac:dyDescent="0.3">
      <c r="A204" s="11">
        <v>0.32981854500000002</v>
      </c>
      <c r="B204" s="11">
        <v>8626.8976399999992</v>
      </c>
      <c r="C204" s="22">
        <v>2.6666666666666665</v>
      </c>
      <c r="D204" s="11">
        <v>0</v>
      </c>
      <c r="E204" s="11">
        <v>0</v>
      </c>
      <c r="F204" s="22">
        <v>0</v>
      </c>
    </row>
    <row r="205" spans="1:6" x14ac:dyDescent="0.3">
      <c r="A205" s="11">
        <v>0.19749238999999999</v>
      </c>
      <c r="B205" s="11">
        <v>2664.3586</v>
      </c>
      <c r="C205" s="22">
        <v>5</v>
      </c>
      <c r="D205" s="11">
        <v>0</v>
      </c>
      <c r="E205" s="11">
        <v>0</v>
      </c>
      <c r="F205" s="22">
        <v>0</v>
      </c>
    </row>
    <row r="206" spans="1:6" x14ac:dyDescent="0.3">
      <c r="A206" s="11">
        <v>0.19214739</v>
      </c>
      <c r="B206" s="11">
        <v>3639.8272499999998</v>
      </c>
      <c r="C206" s="22">
        <v>0.33333333333333331</v>
      </c>
      <c r="D206" s="11">
        <v>0</v>
      </c>
      <c r="E206" s="11">
        <v>0</v>
      </c>
      <c r="F206" s="22">
        <v>0</v>
      </c>
    </row>
    <row r="207" spans="1:6" x14ac:dyDescent="0.3">
      <c r="A207" s="11">
        <v>0.18767138</v>
      </c>
      <c r="B207" s="11">
        <v>1812.12635</v>
      </c>
      <c r="C207" s="22">
        <v>0.33333333333333331</v>
      </c>
      <c r="D207" s="11">
        <v>0</v>
      </c>
      <c r="E207" s="11">
        <v>0</v>
      </c>
      <c r="F207" s="22">
        <v>0</v>
      </c>
    </row>
    <row r="208" spans="1:6" x14ac:dyDescent="0.3">
      <c r="A208" s="11">
        <v>0.17083325499999999</v>
      </c>
      <c r="B208" s="11">
        <v>1813.0590299999999</v>
      </c>
      <c r="C208" s="22">
        <v>1</v>
      </c>
      <c r="D208" s="11">
        <v>0</v>
      </c>
      <c r="E208" s="11">
        <v>0</v>
      </c>
      <c r="F208" s="22">
        <v>0</v>
      </c>
    </row>
    <row r="209" spans="1:6" x14ac:dyDescent="0.3">
      <c r="A209" s="11">
        <v>0.247472315</v>
      </c>
      <c r="B209" s="11">
        <v>2592.4742000000001</v>
      </c>
      <c r="C209" s="22">
        <v>3.6666666666666665</v>
      </c>
      <c r="D209" s="11">
        <v>0</v>
      </c>
      <c r="E209" s="11">
        <v>0</v>
      </c>
      <c r="F209" s="22">
        <v>0</v>
      </c>
    </row>
    <row r="210" spans="1:6" x14ac:dyDescent="0.3">
      <c r="A210" s="11">
        <v>0.10756513500000001</v>
      </c>
      <c r="B210" s="11">
        <v>2226.84773</v>
      </c>
      <c r="C210" s="22">
        <v>0.5</v>
      </c>
      <c r="D210" s="11">
        <v>0</v>
      </c>
      <c r="E210" s="11">
        <v>0</v>
      </c>
      <c r="F210" s="22">
        <v>0</v>
      </c>
    </row>
    <row r="211" spans="1:6" x14ac:dyDescent="0.3">
      <c r="A211" s="11">
        <v>0.119361705</v>
      </c>
      <c r="B211" s="11">
        <v>2437.8292000000001</v>
      </c>
      <c r="C211" s="22">
        <v>0.5</v>
      </c>
      <c r="D211" s="11">
        <v>0</v>
      </c>
      <c r="E211" s="11">
        <v>0</v>
      </c>
      <c r="F211" s="22">
        <v>0</v>
      </c>
    </row>
    <row r="212" spans="1:6" x14ac:dyDescent="0.3">
      <c r="A212" s="11">
        <v>0.108665435</v>
      </c>
      <c r="B212" s="11">
        <v>2851.9253600000002</v>
      </c>
      <c r="C212" s="22">
        <v>1</v>
      </c>
      <c r="D212" s="11">
        <v>0</v>
      </c>
      <c r="E212" s="11">
        <v>0</v>
      </c>
      <c r="F212" s="22">
        <v>0</v>
      </c>
    </row>
    <row r="213" spans="1:6" x14ac:dyDescent="0.3">
      <c r="A213" s="11">
        <v>0.11006619500000001</v>
      </c>
      <c r="B213" s="11">
        <v>1633.0203300000001</v>
      </c>
      <c r="C213" s="22">
        <v>0.5</v>
      </c>
      <c r="D213" s="11">
        <v>0</v>
      </c>
      <c r="E213" s="11">
        <v>0</v>
      </c>
      <c r="F213" s="22">
        <v>0</v>
      </c>
    </row>
    <row r="214" spans="1:6" x14ac:dyDescent="0.3">
      <c r="A214" s="11">
        <v>0.12826912500000001</v>
      </c>
      <c r="B214" s="11">
        <v>2253.10284</v>
      </c>
      <c r="C214" s="22">
        <v>3.5</v>
      </c>
      <c r="D214" s="11">
        <v>0</v>
      </c>
      <c r="E214" s="11">
        <v>0</v>
      </c>
      <c r="F214" s="22">
        <v>0</v>
      </c>
    </row>
    <row r="215" spans="1:6" x14ac:dyDescent="0.3">
      <c r="A215" s="11">
        <v>0.17070808000000001</v>
      </c>
      <c r="B215" s="11">
        <v>1367.5140100000001</v>
      </c>
      <c r="C215" s="22">
        <v>21</v>
      </c>
      <c r="D215" s="11">
        <v>9.6276485000000005E-3</v>
      </c>
      <c r="E215" s="11">
        <v>0</v>
      </c>
      <c r="F215" s="22">
        <v>0.66666666666666663</v>
      </c>
    </row>
    <row r="216" spans="1:6" x14ac:dyDescent="0.3">
      <c r="A216" s="11">
        <v>0.13764955000000001</v>
      </c>
      <c r="B216" s="11">
        <v>2078.2651700000001</v>
      </c>
      <c r="C216" s="22">
        <v>7.5</v>
      </c>
      <c r="D216" s="11">
        <v>0</v>
      </c>
      <c r="E216" s="11">
        <v>0</v>
      </c>
      <c r="F216" s="22">
        <v>0</v>
      </c>
    </row>
    <row r="217" spans="1:6" x14ac:dyDescent="0.3">
      <c r="A217" s="11">
        <v>0.18637674500000001</v>
      </c>
      <c r="B217" s="11">
        <v>1413.7422099999999</v>
      </c>
      <c r="C217" s="22">
        <v>17</v>
      </c>
      <c r="D217" s="11">
        <v>4.3851076500000002E-2</v>
      </c>
      <c r="E217" s="11">
        <v>82.210589999999996</v>
      </c>
      <c r="F217" s="22">
        <v>1.3333333333333333</v>
      </c>
    </row>
    <row r="218" spans="1:6" x14ac:dyDescent="0.3">
      <c r="A218" s="11">
        <v>0.14299801500000001</v>
      </c>
      <c r="B218" s="11">
        <v>1884.4413199999999</v>
      </c>
      <c r="C218" s="22">
        <v>10</v>
      </c>
      <c r="D218" s="11">
        <v>0</v>
      </c>
      <c r="E218" s="11">
        <v>0</v>
      </c>
      <c r="F218" s="22">
        <v>0</v>
      </c>
    </row>
    <row r="219" spans="1:6" x14ac:dyDescent="0.3">
      <c r="A219" s="11">
        <v>0.1176712</v>
      </c>
      <c r="B219" s="11">
        <v>1600.74495</v>
      </c>
      <c r="C219" s="22">
        <v>3</v>
      </c>
      <c r="D219" s="11">
        <v>0</v>
      </c>
      <c r="E219" s="11">
        <v>0</v>
      </c>
      <c r="F219" s="22">
        <v>0</v>
      </c>
    </row>
    <row r="220" spans="1:6" x14ac:dyDescent="0.3">
      <c r="A220" s="11">
        <v>0.11770529</v>
      </c>
      <c r="B220" s="11">
        <v>1458.692</v>
      </c>
      <c r="C220" s="22">
        <v>2</v>
      </c>
      <c r="D220" s="11">
        <v>1.27313025E-2</v>
      </c>
      <c r="E220" s="11">
        <v>15.68741</v>
      </c>
      <c r="F220" s="22">
        <v>0.66666666666666663</v>
      </c>
    </row>
    <row r="221" spans="1:6" x14ac:dyDescent="0.3">
      <c r="A221" s="11">
        <v>0.146704575</v>
      </c>
      <c r="B221" s="11">
        <v>1736.4886799999999</v>
      </c>
      <c r="C221" s="22">
        <v>10</v>
      </c>
      <c r="D221" s="11">
        <v>0</v>
      </c>
      <c r="E221" s="11">
        <v>0</v>
      </c>
      <c r="F221" s="22">
        <v>0</v>
      </c>
    </row>
    <row r="222" spans="1:6" x14ac:dyDescent="0.3">
      <c r="A222" s="11">
        <v>0.13202443</v>
      </c>
      <c r="B222" s="11">
        <v>2031.4141299999999</v>
      </c>
      <c r="C222" s="22">
        <v>7</v>
      </c>
      <c r="D222" s="11">
        <v>0</v>
      </c>
      <c r="E222" s="11">
        <v>0</v>
      </c>
      <c r="F222" s="22">
        <v>0</v>
      </c>
    </row>
    <row r="223" spans="1:6" x14ac:dyDescent="0.3">
      <c r="A223" s="11">
        <v>0.117517805</v>
      </c>
      <c r="B223" s="11">
        <v>3358.3074000000001</v>
      </c>
      <c r="C223" s="22">
        <v>2</v>
      </c>
      <c r="D223" s="11">
        <v>0</v>
      </c>
      <c r="E223" s="11">
        <v>0</v>
      </c>
      <c r="F223" s="22">
        <v>0</v>
      </c>
    </row>
    <row r="224" spans="1:6" x14ac:dyDescent="0.3">
      <c r="A224" s="11">
        <v>0.157807155</v>
      </c>
      <c r="B224" s="11">
        <v>1519.68238</v>
      </c>
      <c r="C224" s="22">
        <v>9</v>
      </c>
      <c r="D224" s="11">
        <v>0</v>
      </c>
      <c r="E224" s="11">
        <v>0</v>
      </c>
      <c r="F224" s="22">
        <v>0</v>
      </c>
    </row>
    <row r="225" spans="1:6" x14ac:dyDescent="0.3">
      <c r="A225" s="11">
        <v>0.29088839500000002</v>
      </c>
      <c r="B225" s="11">
        <v>3410.5435699999998</v>
      </c>
      <c r="C225" s="22">
        <v>7</v>
      </c>
      <c r="D225" s="11">
        <v>0</v>
      </c>
      <c r="E225" s="11">
        <v>0</v>
      </c>
      <c r="F225" s="22">
        <v>0</v>
      </c>
    </row>
    <row r="226" spans="1:6" x14ac:dyDescent="0.3">
      <c r="A226" s="11">
        <v>0.12538251</v>
      </c>
      <c r="B226" s="11">
        <v>2656.5957600000002</v>
      </c>
      <c r="C226" s="22">
        <v>4</v>
      </c>
      <c r="D226" s="11">
        <v>0</v>
      </c>
      <c r="E226" s="11">
        <v>0</v>
      </c>
      <c r="F226" s="22">
        <v>0</v>
      </c>
    </row>
    <row r="227" spans="1:6" x14ac:dyDescent="0.3">
      <c r="A227" s="11">
        <v>0.16055266500000001</v>
      </c>
      <c r="B227" s="11">
        <v>2856.2379799999999</v>
      </c>
      <c r="C227" s="22">
        <v>1</v>
      </c>
      <c r="D227" s="11">
        <v>1.21745095E-2</v>
      </c>
      <c r="E227" s="11">
        <v>108.16457</v>
      </c>
      <c r="F227" s="22">
        <v>0.66666666666666663</v>
      </c>
    </row>
    <row r="228" spans="1:6" x14ac:dyDescent="0.3">
      <c r="A228" s="11">
        <v>0.117160315</v>
      </c>
      <c r="B228" s="11">
        <v>1833.7212300000001</v>
      </c>
      <c r="C228" s="22">
        <v>3</v>
      </c>
      <c r="D228" s="11">
        <v>0</v>
      </c>
      <c r="E228" s="11">
        <v>0</v>
      </c>
      <c r="F228" s="22">
        <v>0</v>
      </c>
    </row>
    <row r="229" spans="1:6" x14ac:dyDescent="0.3">
      <c r="A229" s="11">
        <v>0.17195915000000001</v>
      </c>
      <c r="B229" s="11">
        <v>1378.4864</v>
      </c>
      <c r="C229" s="22">
        <v>16</v>
      </c>
      <c r="D229" s="11">
        <v>1.49339455E-2</v>
      </c>
      <c r="E229" s="11">
        <v>73.770430000000005</v>
      </c>
      <c r="F229" s="22">
        <v>0.33333333333333331</v>
      </c>
    </row>
    <row r="230" spans="1:6" x14ac:dyDescent="0.3">
      <c r="A230" s="11">
        <v>0.13598601499999999</v>
      </c>
      <c r="B230" s="11">
        <v>2255.3912</v>
      </c>
      <c r="C230" s="22">
        <v>3</v>
      </c>
      <c r="D230" s="11">
        <v>0</v>
      </c>
      <c r="E230" s="11">
        <v>0</v>
      </c>
      <c r="F230" s="22">
        <v>0</v>
      </c>
    </row>
    <row r="231" spans="1:6" x14ac:dyDescent="0.3">
      <c r="A231" s="11">
        <v>0.15086303000000001</v>
      </c>
      <c r="B231" s="11">
        <v>1600.2395200000001</v>
      </c>
      <c r="C231" s="22">
        <v>9</v>
      </c>
      <c r="D231" s="11">
        <v>0</v>
      </c>
      <c r="E231" s="11">
        <v>0</v>
      </c>
      <c r="F231" s="22">
        <v>0</v>
      </c>
    </row>
    <row r="232" spans="1:6" x14ac:dyDescent="0.3">
      <c r="A232" s="11">
        <v>0.14143404500000001</v>
      </c>
      <c r="B232" s="11">
        <v>1772.0306</v>
      </c>
      <c r="C232" s="22">
        <v>9</v>
      </c>
      <c r="D232" s="11">
        <v>3.3645093000000001E-2</v>
      </c>
      <c r="E232" s="11">
        <v>157.25539000000001</v>
      </c>
      <c r="F232" s="22">
        <v>0.66666666666666663</v>
      </c>
    </row>
    <row r="233" spans="1:6" x14ac:dyDescent="0.3">
      <c r="A233" s="11">
        <v>0.18315790000000001</v>
      </c>
      <c r="B233" s="11">
        <v>1697.81131</v>
      </c>
      <c r="C233" s="22">
        <v>13.5</v>
      </c>
      <c r="D233" s="11">
        <v>5.5E-2</v>
      </c>
      <c r="E233" s="11">
        <v>137.18232</v>
      </c>
      <c r="F233" s="22">
        <v>0.66666666666666663</v>
      </c>
    </row>
    <row r="234" spans="1:6" x14ac:dyDescent="0.3">
      <c r="A234" s="11">
        <v>0.121149465</v>
      </c>
      <c r="B234" s="11">
        <v>3325.1886399999999</v>
      </c>
      <c r="C234" s="22">
        <v>0.5</v>
      </c>
      <c r="D234" s="11">
        <v>0</v>
      </c>
      <c r="E234" s="11">
        <v>0</v>
      </c>
      <c r="F234" s="22">
        <v>0</v>
      </c>
    </row>
    <row r="235" spans="1:6" x14ac:dyDescent="0.3">
      <c r="A235" s="11">
        <v>0.10147502999999999</v>
      </c>
      <c r="B235" s="11">
        <v>1253.2434699999999</v>
      </c>
      <c r="C235" s="22">
        <v>0.5</v>
      </c>
      <c r="D235" s="11">
        <v>0</v>
      </c>
      <c r="E235" s="11">
        <v>0</v>
      </c>
      <c r="F235" s="22">
        <v>0</v>
      </c>
    </row>
    <row r="236" spans="1:6" x14ac:dyDescent="0.3">
      <c r="A236" s="11">
        <v>0.11616230499999999</v>
      </c>
      <c r="B236" s="11">
        <v>3738.6314699999998</v>
      </c>
      <c r="C236" s="22">
        <v>1</v>
      </c>
      <c r="D236" s="11">
        <v>0.05</v>
      </c>
      <c r="E236" s="11">
        <v>0</v>
      </c>
      <c r="F236" s="22">
        <v>0.33333333333333331</v>
      </c>
    </row>
    <row r="237" spans="1:6" x14ac:dyDescent="0.3">
      <c r="A237" s="11">
        <v>0.1790699</v>
      </c>
      <c r="B237" s="11">
        <v>1598.5478000000001</v>
      </c>
      <c r="C237" s="22">
        <v>13.5</v>
      </c>
      <c r="D237" s="11">
        <v>0</v>
      </c>
      <c r="E237" s="11">
        <v>0</v>
      </c>
      <c r="F237" s="22">
        <v>0</v>
      </c>
    </row>
    <row r="238" spans="1:6" x14ac:dyDescent="0.3">
      <c r="A238" s="11">
        <v>0.16849138499999999</v>
      </c>
      <c r="B238" s="11">
        <v>1614.84375</v>
      </c>
      <c r="C238" s="22">
        <v>10</v>
      </c>
      <c r="D238" s="11">
        <v>0</v>
      </c>
      <c r="E238" s="11">
        <v>0</v>
      </c>
      <c r="F238" s="22">
        <v>0</v>
      </c>
    </row>
    <row r="239" spans="1:6" x14ac:dyDescent="0.3">
      <c r="A239" s="11">
        <v>0.12414994</v>
      </c>
      <c r="B239" s="11">
        <v>6002.5648300000003</v>
      </c>
      <c r="C239" s="22">
        <v>0.66666666666666663</v>
      </c>
      <c r="D239" s="11">
        <v>0</v>
      </c>
      <c r="E239" s="11">
        <v>0</v>
      </c>
      <c r="F239" s="22">
        <v>0</v>
      </c>
    </row>
    <row r="240" spans="1:6" x14ac:dyDescent="0.3">
      <c r="A240" s="11">
        <v>0.1144247</v>
      </c>
      <c r="B240" s="11">
        <v>2461.14149</v>
      </c>
      <c r="C240" s="22">
        <v>1.6666666666666667</v>
      </c>
      <c r="D240" s="11">
        <v>0</v>
      </c>
      <c r="E240" s="11">
        <v>0</v>
      </c>
      <c r="F240" s="22">
        <v>0</v>
      </c>
    </row>
    <row r="241" spans="1:6" x14ac:dyDescent="0.3">
      <c r="A241" s="11">
        <v>0.123693815</v>
      </c>
      <c r="B241" s="11">
        <v>1957.0522000000001</v>
      </c>
      <c r="C241" s="22">
        <v>3.6666666666666665</v>
      </c>
      <c r="D241" s="11">
        <v>0</v>
      </c>
      <c r="E241" s="11">
        <v>0</v>
      </c>
      <c r="F241" s="22">
        <v>0</v>
      </c>
    </row>
    <row r="242" spans="1:6" x14ac:dyDescent="0.3">
      <c r="A242" s="11">
        <v>0.121729485</v>
      </c>
      <c r="B242" s="11">
        <v>2187.3186000000001</v>
      </c>
      <c r="C242" s="22">
        <v>1</v>
      </c>
      <c r="D242" s="11">
        <v>0</v>
      </c>
      <c r="E242" s="11">
        <v>0</v>
      </c>
      <c r="F242" s="22">
        <v>0</v>
      </c>
    </row>
    <row r="243" spans="1:6" x14ac:dyDescent="0.3">
      <c r="A243" s="11">
        <v>0.115976435</v>
      </c>
      <c r="B243" s="11">
        <v>1128.81104</v>
      </c>
      <c r="C243" s="22">
        <v>1.6666666666666667</v>
      </c>
      <c r="D243" s="11">
        <v>0</v>
      </c>
      <c r="E243" s="11">
        <v>0</v>
      </c>
      <c r="F243" s="22">
        <v>0</v>
      </c>
    </row>
    <row r="244" spans="1:6" x14ac:dyDescent="0.3">
      <c r="A244" s="11">
        <v>0.10461740999999999</v>
      </c>
      <c r="B244" s="11">
        <v>2457.6281199999999</v>
      </c>
      <c r="C244" s="22">
        <v>0.33333333333333331</v>
      </c>
      <c r="D244" s="11">
        <v>0</v>
      </c>
      <c r="E244" s="11">
        <v>0</v>
      </c>
      <c r="F244" s="22">
        <v>0</v>
      </c>
    </row>
    <row r="245" spans="1:6" x14ac:dyDescent="0.3">
      <c r="A245" s="11">
        <v>0.12271023</v>
      </c>
      <c r="B245" s="11">
        <v>2645.56871</v>
      </c>
      <c r="C245" s="22">
        <v>5</v>
      </c>
      <c r="D245" s="11">
        <v>0</v>
      </c>
      <c r="E245" s="11">
        <v>0</v>
      </c>
      <c r="F245" s="22">
        <v>0</v>
      </c>
    </row>
    <row r="246" spans="1:6" x14ac:dyDescent="0.3">
      <c r="A246" s="11">
        <v>0.13733603</v>
      </c>
      <c r="B246" s="11">
        <v>1664.98606</v>
      </c>
      <c r="C246" s="22">
        <v>9.3333333333333339</v>
      </c>
      <c r="D246" s="11">
        <v>0</v>
      </c>
      <c r="E246" s="11">
        <v>0</v>
      </c>
      <c r="F246" s="22">
        <v>0</v>
      </c>
    </row>
    <row r="247" spans="1:6" x14ac:dyDescent="0.3">
      <c r="A247" s="11">
        <v>0.143209435</v>
      </c>
      <c r="B247" s="11">
        <v>1916.72534</v>
      </c>
      <c r="C247" s="22">
        <v>7.666666666666667</v>
      </c>
      <c r="D247" s="11">
        <v>0</v>
      </c>
      <c r="E247" s="11">
        <v>0</v>
      </c>
      <c r="F247" s="22">
        <v>0</v>
      </c>
    </row>
    <row r="248" spans="1:6" x14ac:dyDescent="0.3">
      <c r="A248" s="11">
        <v>0.13448399</v>
      </c>
      <c r="B248" s="11">
        <v>2512.18235</v>
      </c>
      <c r="C248" s="22">
        <v>4</v>
      </c>
      <c r="D248" s="11">
        <v>0</v>
      </c>
      <c r="E248" s="11">
        <v>0</v>
      </c>
      <c r="F248" s="22">
        <v>0</v>
      </c>
    </row>
    <row r="249" spans="1:6" x14ac:dyDescent="0.3">
      <c r="A249" s="11">
        <v>0.10728786999999999</v>
      </c>
      <c r="B249" s="11">
        <v>3551.8583100000001</v>
      </c>
      <c r="C249" s="22">
        <v>0.66666666666666663</v>
      </c>
      <c r="D249" s="11">
        <v>0</v>
      </c>
      <c r="E249" s="11">
        <v>0</v>
      </c>
      <c r="F249" s="22">
        <v>0</v>
      </c>
    </row>
    <row r="250" spans="1:6" x14ac:dyDescent="0.3">
      <c r="A250" s="11">
        <v>0.10908762499999999</v>
      </c>
      <c r="B250" s="11">
        <v>2060.66021</v>
      </c>
      <c r="C250" s="22">
        <v>1.3333333333333333</v>
      </c>
      <c r="D250" s="11">
        <v>0</v>
      </c>
      <c r="E250" s="11">
        <v>0</v>
      </c>
      <c r="F250" s="22">
        <v>0</v>
      </c>
    </row>
    <row r="251" spans="1:6" x14ac:dyDescent="0.3">
      <c r="A251" s="11">
        <v>0.12126010500000001</v>
      </c>
      <c r="B251" s="11">
        <v>1880.98875</v>
      </c>
      <c r="C251" s="22">
        <v>0.66666666666666663</v>
      </c>
      <c r="D251" s="11">
        <v>0</v>
      </c>
      <c r="E251" s="11">
        <v>0</v>
      </c>
      <c r="F251" s="22">
        <v>0</v>
      </c>
    </row>
    <row r="252" spans="1:6" x14ac:dyDescent="0.3">
      <c r="A252" s="11">
        <v>0.10633275</v>
      </c>
      <c r="B252" s="11">
        <v>2022.1778099999999</v>
      </c>
      <c r="C252" s="22">
        <v>0.66666666666666663</v>
      </c>
      <c r="D252" s="11">
        <v>0</v>
      </c>
      <c r="E252" s="11">
        <v>0</v>
      </c>
      <c r="F252" s="22">
        <v>0</v>
      </c>
    </row>
    <row r="253" spans="1:6" x14ac:dyDescent="0.3">
      <c r="A253" s="11">
        <v>0.16079357999999999</v>
      </c>
      <c r="B253" s="11">
        <v>2112.2218699999999</v>
      </c>
      <c r="C253" s="22">
        <v>5</v>
      </c>
      <c r="D253" s="11">
        <v>0</v>
      </c>
      <c r="E253" s="11">
        <v>0</v>
      </c>
      <c r="F253" s="22">
        <v>0</v>
      </c>
    </row>
    <row r="254" spans="1:6" x14ac:dyDescent="0.3">
      <c r="A254" s="11">
        <v>0.13715880999999999</v>
      </c>
      <c r="B254" s="11">
        <v>2293.5342900000001</v>
      </c>
      <c r="C254" s="22">
        <v>2.3333333333333335</v>
      </c>
      <c r="D254" s="11">
        <v>0</v>
      </c>
      <c r="E254" s="11">
        <v>0</v>
      </c>
      <c r="F254" s="22">
        <v>0</v>
      </c>
    </row>
    <row r="255" spans="1:6" x14ac:dyDescent="0.3">
      <c r="A255" s="11">
        <v>0.112169955</v>
      </c>
      <c r="B255" s="11">
        <v>2268.0239999999999</v>
      </c>
      <c r="C255" s="22">
        <v>2.6666666666666665</v>
      </c>
      <c r="D255" s="11">
        <v>0</v>
      </c>
      <c r="E255" s="11">
        <v>0</v>
      </c>
      <c r="F255" s="22">
        <v>0</v>
      </c>
    </row>
    <row r="256" spans="1:6" x14ac:dyDescent="0.3">
      <c r="A256" s="11">
        <v>0.11825145500000001</v>
      </c>
      <c r="B256" s="11">
        <v>1993.52232</v>
      </c>
      <c r="C256" s="22">
        <v>0.66666666666666663</v>
      </c>
      <c r="D256" s="11">
        <v>0</v>
      </c>
      <c r="E256" s="11">
        <v>0</v>
      </c>
      <c r="F256" s="22">
        <v>0</v>
      </c>
    </row>
    <row r="257" spans="1:6" x14ac:dyDescent="0.3">
      <c r="A257" s="11">
        <v>0.121685815</v>
      </c>
      <c r="B257" s="11">
        <v>2020.7673</v>
      </c>
      <c r="C257" s="22">
        <v>5.333333333333333</v>
      </c>
      <c r="D257" s="11">
        <v>0</v>
      </c>
      <c r="E257" s="11">
        <v>0</v>
      </c>
      <c r="F257" s="22">
        <v>0</v>
      </c>
    </row>
    <row r="258" spans="1:6" x14ac:dyDescent="0.3">
      <c r="A258" s="11">
        <v>0.11362483499999999</v>
      </c>
      <c r="B258" s="11">
        <v>3230.5565900000001</v>
      </c>
      <c r="C258" s="22">
        <v>0.33333333333333331</v>
      </c>
      <c r="D258" s="11">
        <v>0</v>
      </c>
      <c r="E258" s="11">
        <v>0</v>
      </c>
      <c r="F258" s="22">
        <v>0</v>
      </c>
    </row>
    <row r="259" spans="1:6" x14ac:dyDescent="0.3">
      <c r="A259" s="11">
        <v>0.105456855</v>
      </c>
      <c r="B259" s="11">
        <v>3433.5903800000001</v>
      </c>
      <c r="C259" s="22">
        <v>1</v>
      </c>
      <c r="D259" s="11">
        <v>0</v>
      </c>
      <c r="E259" s="11">
        <v>0</v>
      </c>
      <c r="F259" s="22">
        <v>0</v>
      </c>
    </row>
    <row r="260" spans="1:6" x14ac:dyDescent="0.3">
      <c r="A260" s="11">
        <v>0.102716925</v>
      </c>
      <c r="B260" s="11">
        <v>1226.89753</v>
      </c>
      <c r="C260" s="22">
        <v>0.33333333333333331</v>
      </c>
      <c r="D260" s="11">
        <v>0</v>
      </c>
      <c r="E260" s="11">
        <v>0</v>
      </c>
      <c r="F260" s="22">
        <v>0</v>
      </c>
    </row>
    <row r="261" spans="1:6" x14ac:dyDescent="0.3">
      <c r="A261" s="11">
        <v>0.13964565500000001</v>
      </c>
      <c r="B261" s="11">
        <v>3226.5525400000001</v>
      </c>
      <c r="C261" s="22">
        <v>2.6666666666666665</v>
      </c>
      <c r="D261" s="11">
        <v>0</v>
      </c>
      <c r="E261" s="11">
        <v>0</v>
      </c>
      <c r="F261" s="22">
        <v>0</v>
      </c>
    </row>
    <row r="262" spans="1:6" x14ac:dyDescent="0.3">
      <c r="A262" s="11">
        <v>0.235488535</v>
      </c>
      <c r="B262" s="11">
        <v>1465.65095</v>
      </c>
      <c r="C262" s="22">
        <v>17</v>
      </c>
      <c r="D262" s="11">
        <v>0</v>
      </c>
      <c r="E262" s="11">
        <v>0</v>
      </c>
      <c r="F262" s="22">
        <v>0</v>
      </c>
    </row>
    <row r="263" spans="1:6" x14ac:dyDescent="0.3">
      <c r="A263" s="11">
        <v>0.125832735</v>
      </c>
      <c r="B263" s="11">
        <v>2030.8635400000001</v>
      </c>
      <c r="C263" s="22">
        <v>4.666666666666667</v>
      </c>
      <c r="D263" s="11">
        <v>0</v>
      </c>
      <c r="E263" s="11">
        <v>0</v>
      </c>
      <c r="F263" s="22">
        <v>0</v>
      </c>
    </row>
    <row r="264" spans="1:6" x14ac:dyDescent="0.3">
      <c r="A264" s="11">
        <v>0.13313660499999999</v>
      </c>
      <c r="B264" s="11">
        <v>1769.2715000000001</v>
      </c>
      <c r="C264" s="22">
        <v>4.666666666666667</v>
      </c>
      <c r="D264" s="11">
        <v>0</v>
      </c>
      <c r="E264" s="11">
        <v>0</v>
      </c>
      <c r="F264" s="22">
        <v>0</v>
      </c>
    </row>
    <row r="265" spans="1:6" x14ac:dyDescent="0.3">
      <c r="A265" s="11">
        <v>0.11267223</v>
      </c>
      <c r="B265" s="11">
        <v>2933.3285700000001</v>
      </c>
      <c r="C265" s="22">
        <v>2.3333333333333335</v>
      </c>
      <c r="D265" s="11">
        <v>0</v>
      </c>
      <c r="E265" s="11">
        <v>0</v>
      </c>
      <c r="F265" s="22">
        <v>0</v>
      </c>
    </row>
    <row r="266" spans="1:6" x14ac:dyDescent="0.3">
      <c r="A266" s="11">
        <v>0.14319921999999999</v>
      </c>
      <c r="B266" s="11">
        <v>1296.71982</v>
      </c>
      <c r="C266" s="22">
        <v>1.6666666666666667</v>
      </c>
      <c r="D266" s="11">
        <v>0</v>
      </c>
      <c r="E266" s="11">
        <v>0</v>
      </c>
      <c r="F266" s="22">
        <v>0</v>
      </c>
    </row>
    <row r="267" spans="1:6" x14ac:dyDescent="0.3">
      <c r="A267" s="11">
        <v>0.10039375</v>
      </c>
      <c r="B267" s="11">
        <v>2249.3306899999998</v>
      </c>
      <c r="C267" s="22">
        <v>0.33333333333333331</v>
      </c>
      <c r="D267" s="11">
        <v>0</v>
      </c>
      <c r="E267" s="11">
        <v>0</v>
      </c>
      <c r="F267" s="22">
        <v>0</v>
      </c>
    </row>
    <row r="268" spans="1:6" x14ac:dyDescent="0.3">
      <c r="A268" s="11">
        <v>0.23736454000000001</v>
      </c>
      <c r="B268" s="11">
        <v>2932.3881799999999</v>
      </c>
      <c r="C268" s="22">
        <v>3.6666666666666665</v>
      </c>
      <c r="D268" s="11">
        <v>0</v>
      </c>
      <c r="E268" s="11">
        <v>0</v>
      </c>
      <c r="F268" s="22">
        <v>0</v>
      </c>
    </row>
    <row r="269" spans="1:6" x14ac:dyDescent="0.3">
      <c r="A269" s="11">
        <v>0.108162885</v>
      </c>
      <c r="B269" s="11">
        <v>2589.9141500000001</v>
      </c>
      <c r="C269" s="22">
        <v>1.3333333333333333</v>
      </c>
      <c r="D269" s="11">
        <v>0</v>
      </c>
      <c r="E269" s="11">
        <v>0</v>
      </c>
      <c r="F269" s="22">
        <v>0</v>
      </c>
    </row>
    <row r="270" spans="1:6" x14ac:dyDescent="0.3">
      <c r="A270" s="11">
        <v>0.11178563</v>
      </c>
      <c r="B270" s="11">
        <v>1584.47102</v>
      </c>
      <c r="C270" s="22">
        <v>2.3333333333333335</v>
      </c>
      <c r="D270" s="11">
        <v>0</v>
      </c>
      <c r="E270" s="11">
        <v>0</v>
      </c>
      <c r="F270" s="22">
        <v>0</v>
      </c>
    </row>
    <row r="271" spans="1:6" x14ac:dyDescent="0.3">
      <c r="A271" s="11">
        <v>0.225203505</v>
      </c>
      <c r="B271" s="11">
        <v>9313.8086999999996</v>
      </c>
      <c r="C271" s="22">
        <v>0.33333333333333331</v>
      </c>
      <c r="D271" s="11">
        <v>0.01</v>
      </c>
      <c r="E271" s="11">
        <v>90.2119</v>
      </c>
      <c r="F271" s="22">
        <v>0.5</v>
      </c>
    </row>
    <row r="272" spans="1:6" x14ac:dyDescent="0.3">
      <c r="A272" s="11">
        <v>0.123366895</v>
      </c>
      <c r="B272" s="11">
        <v>1547.7965799999999</v>
      </c>
      <c r="C272" s="22">
        <v>3</v>
      </c>
      <c r="D272" s="11">
        <v>0</v>
      </c>
      <c r="E272" s="11">
        <v>0</v>
      </c>
      <c r="F272" s="22">
        <v>0</v>
      </c>
    </row>
    <row r="273" spans="1:6" x14ac:dyDescent="0.3">
      <c r="A273" s="11">
        <v>0.29163092499999999</v>
      </c>
      <c r="B273" s="11">
        <v>1861.4108000000001</v>
      </c>
      <c r="C273" s="22">
        <v>3</v>
      </c>
      <c r="D273" s="11">
        <v>0</v>
      </c>
      <c r="E273" s="11">
        <v>0</v>
      </c>
      <c r="F273" s="22">
        <v>0</v>
      </c>
    </row>
    <row r="274" spans="1:6" x14ac:dyDescent="0.3">
      <c r="A274" s="11">
        <v>0.12526416500000001</v>
      </c>
      <c r="B274" s="11">
        <v>2183.7637</v>
      </c>
      <c r="C274" s="22">
        <v>0.66666666666666663</v>
      </c>
      <c r="D274" s="11">
        <v>0</v>
      </c>
      <c r="E274" s="11">
        <v>0</v>
      </c>
      <c r="F274" s="22">
        <v>0</v>
      </c>
    </row>
    <row r="275" spans="1:6" x14ac:dyDescent="0.3">
      <c r="A275" s="11">
        <v>0.14860688</v>
      </c>
      <c r="B275" s="11">
        <v>1374.15175</v>
      </c>
      <c r="C275" s="22">
        <v>2.6666666666666665</v>
      </c>
      <c r="D275" s="11">
        <v>0</v>
      </c>
      <c r="E275" s="11">
        <v>0</v>
      </c>
      <c r="F275" s="22">
        <v>0</v>
      </c>
    </row>
    <row r="276" spans="1:6" x14ac:dyDescent="0.3">
      <c r="A276" s="11">
        <v>0.1144247</v>
      </c>
      <c r="B276" s="11">
        <v>2461.14149</v>
      </c>
      <c r="C276" s="22">
        <v>1.6666666666666667</v>
      </c>
      <c r="D276" s="11">
        <v>0</v>
      </c>
      <c r="E276" s="11">
        <v>0</v>
      </c>
      <c r="F276" s="22">
        <v>0</v>
      </c>
    </row>
    <row r="277" spans="1:6" x14ac:dyDescent="0.3">
      <c r="A277" s="11">
        <v>0.121729485</v>
      </c>
      <c r="B277" s="11">
        <v>2187.3186000000001</v>
      </c>
      <c r="C277" s="22">
        <v>1</v>
      </c>
      <c r="D277" s="11">
        <v>0</v>
      </c>
      <c r="E277" s="11">
        <v>0</v>
      </c>
      <c r="F277" s="22">
        <v>0</v>
      </c>
    </row>
    <row r="278" spans="1:6" x14ac:dyDescent="0.3">
      <c r="A278" s="11">
        <v>0.115976435</v>
      </c>
      <c r="B278" s="11">
        <v>1128.81104</v>
      </c>
      <c r="C278" s="22">
        <v>1.6666666666666667</v>
      </c>
      <c r="D278" s="11">
        <v>0</v>
      </c>
      <c r="E278" s="11">
        <v>0</v>
      </c>
      <c r="F278" s="22">
        <v>0</v>
      </c>
    </row>
    <row r="279" spans="1:6" x14ac:dyDescent="0.3">
      <c r="A279" s="11">
        <v>0.12271023</v>
      </c>
      <c r="B279" s="11">
        <v>2645.56871</v>
      </c>
      <c r="C279" s="22">
        <v>5</v>
      </c>
      <c r="D279" s="11">
        <v>0.05</v>
      </c>
      <c r="E279" s="11">
        <v>170.46323000000001</v>
      </c>
      <c r="F279" s="22">
        <v>1.5</v>
      </c>
    </row>
    <row r="280" spans="1:6" x14ac:dyDescent="0.3">
      <c r="A280" s="11">
        <v>0.13733603</v>
      </c>
      <c r="B280" s="11">
        <v>1664.98606</v>
      </c>
      <c r="C280" s="22">
        <v>9.3333333333333339</v>
      </c>
      <c r="D280" s="11">
        <v>0</v>
      </c>
      <c r="E280" s="11">
        <v>0</v>
      </c>
      <c r="F280" s="22">
        <v>0</v>
      </c>
    </row>
    <row r="281" spans="1:6" x14ac:dyDescent="0.3">
      <c r="A281" s="11">
        <v>0.143209435</v>
      </c>
      <c r="B281" s="11">
        <v>1916.72534</v>
      </c>
      <c r="C281" s="22">
        <v>7.666666666666667</v>
      </c>
      <c r="D281" s="11">
        <v>0</v>
      </c>
      <c r="E281" s="11">
        <v>0</v>
      </c>
      <c r="F281" s="22">
        <v>0</v>
      </c>
    </row>
    <row r="282" spans="1:6" x14ac:dyDescent="0.3">
      <c r="A282" s="11">
        <v>0.13448399</v>
      </c>
      <c r="B282" s="11">
        <v>2512.18235</v>
      </c>
      <c r="C282" s="22">
        <v>4</v>
      </c>
      <c r="D282" s="11">
        <v>0</v>
      </c>
      <c r="E282" s="11">
        <v>0</v>
      </c>
      <c r="F282" s="22">
        <v>0</v>
      </c>
    </row>
    <row r="283" spans="1:6" x14ac:dyDescent="0.3">
      <c r="A283" s="11">
        <v>0.10908762499999999</v>
      </c>
      <c r="B283" s="11">
        <v>2060.66021</v>
      </c>
      <c r="C283" s="22">
        <v>1.3333333333333333</v>
      </c>
      <c r="D283" s="11">
        <v>3.7664803500000003E-2</v>
      </c>
      <c r="E283" s="11">
        <v>54.0685</v>
      </c>
      <c r="F283" s="22">
        <v>0.5</v>
      </c>
    </row>
    <row r="284" spans="1:6" x14ac:dyDescent="0.3">
      <c r="A284" s="11">
        <v>0.11825145500000001</v>
      </c>
      <c r="B284" s="11">
        <v>1993.52232</v>
      </c>
      <c r="C284" s="22">
        <v>0.66666666666666663</v>
      </c>
      <c r="D284" s="11">
        <v>0</v>
      </c>
      <c r="E284" s="11">
        <v>0</v>
      </c>
      <c r="F284" s="22">
        <v>0</v>
      </c>
    </row>
    <row r="285" spans="1:6" x14ac:dyDescent="0.3">
      <c r="A285" s="11">
        <v>0.11362483499999999</v>
      </c>
      <c r="B285" s="11">
        <v>3230.5565900000001</v>
      </c>
      <c r="C285" s="22">
        <v>0.33333333333333331</v>
      </c>
      <c r="D285" s="11">
        <v>0</v>
      </c>
      <c r="E285" s="11">
        <v>0</v>
      </c>
      <c r="F285" s="22">
        <v>0</v>
      </c>
    </row>
    <row r="286" spans="1:6" x14ac:dyDescent="0.3">
      <c r="A286" s="11">
        <v>0.105456855</v>
      </c>
      <c r="B286" s="11">
        <v>3433.5903800000001</v>
      </c>
      <c r="C286" s="22">
        <v>1</v>
      </c>
      <c r="D286" s="11">
        <v>3.2236992499999999E-2</v>
      </c>
      <c r="E286" s="11">
        <v>149.44534999999999</v>
      </c>
      <c r="F286" s="22">
        <v>0.25</v>
      </c>
    </row>
    <row r="287" spans="1:6" x14ac:dyDescent="0.3">
      <c r="A287" s="11">
        <v>0.235488535</v>
      </c>
      <c r="B287" s="11">
        <v>1465.65095</v>
      </c>
      <c r="C287" s="22">
        <v>17</v>
      </c>
      <c r="D287" s="11">
        <v>1.4999999999999999E-2</v>
      </c>
      <c r="E287" s="11">
        <v>76.839340000000007</v>
      </c>
      <c r="F287" s="22">
        <v>0.75</v>
      </c>
    </row>
    <row r="288" spans="1:6" x14ac:dyDescent="0.3">
      <c r="A288" s="11">
        <v>0.11961637</v>
      </c>
      <c r="B288" s="11">
        <v>2184.9480600000002</v>
      </c>
      <c r="C288" s="22">
        <v>2.5</v>
      </c>
      <c r="D288" s="11">
        <v>0</v>
      </c>
      <c r="E288" s="11">
        <v>0</v>
      </c>
      <c r="F288" s="22">
        <v>0</v>
      </c>
    </row>
    <row r="289" spans="1:6" x14ac:dyDescent="0.3">
      <c r="A289" s="11">
        <v>0.29227103500000001</v>
      </c>
      <c r="B289" s="11">
        <v>3035.1451400000001</v>
      </c>
      <c r="C289" s="22">
        <v>3</v>
      </c>
      <c r="D289" s="11">
        <v>0</v>
      </c>
      <c r="E289" s="11">
        <v>0</v>
      </c>
      <c r="F289" s="22">
        <v>0</v>
      </c>
    </row>
    <row r="290" spans="1:6" x14ac:dyDescent="0.3">
      <c r="A290" s="11">
        <v>0.13223857</v>
      </c>
      <c r="B290" s="11">
        <v>2260.7336599999999</v>
      </c>
      <c r="C290" s="22">
        <v>2</v>
      </c>
      <c r="D290" s="11">
        <v>0</v>
      </c>
      <c r="E290" s="11">
        <v>0</v>
      </c>
      <c r="F290" s="22">
        <v>0</v>
      </c>
    </row>
    <row r="291" spans="1:6" x14ac:dyDescent="0.3">
      <c r="A291" s="11">
        <v>0.14645170499999999</v>
      </c>
      <c r="B291" s="11">
        <v>1501.5218</v>
      </c>
      <c r="C291" s="22">
        <v>6.5</v>
      </c>
      <c r="D291" s="11">
        <v>3.3033745500000003E-2</v>
      </c>
      <c r="E291" s="11">
        <v>18.892959999999999</v>
      </c>
      <c r="F291" s="22">
        <v>1</v>
      </c>
    </row>
    <row r="292" spans="1:6" x14ac:dyDescent="0.3">
      <c r="A292" s="11">
        <v>0.28146111000000001</v>
      </c>
      <c r="B292" s="11">
        <v>1644.26124</v>
      </c>
      <c r="C292" s="22">
        <v>9.5</v>
      </c>
      <c r="D292" s="11">
        <v>4.0242237E-2</v>
      </c>
      <c r="E292" s="11">
        <v>165.23958999999999</v>
      </c>
      <c r="F292" s="22">
        <v>0.5</v>
      </c>
    </row>
    <row r="293" spans="1:6" x14ac:dyDescent="0.3">
      <c r="A293" s="11">
        <v>0.11842502000000001</v>
      </c>
      <c r="B293" s="11">
        <v>2617.50839</v>
      </c>
      <c r="C293" s="22">
        <v>1</v>
      </c>
      <c r="D293" s="11">
        <v>0</v>
      </c>
      <c r="E293" s="11">
        <v>0</v>
      </c>
      <c r="F293" s="22">
        <v>0</v>
      </c>
    </row>
    <row r="294" spans="1:6" x14ac:dyDescent="0.3">
      <c r="A294" s="11">
        <v>0.17216529999999999</v>
      </c>
      <c r="B294" s="11">
        <v>1763.47162</v>
      </c>
      <c r="C294" s="22">
        <v>6.5</v>
      </c>
      <c r="D294" s="11">
        <v>0</v>
      </c>
      <c r="E294" s="11">
        <v>0</v>
      </c>
      <c r="F294" s="22">
        <v>0</v>
      </c>
    </row>
    <row r="295" spans="1:6" x14ac:dyDescent="0.3">
      <c r="A295" s="11">
        <v>0.142223505</v>
      </c>
      <c r="B295" s="11">
        <v>2183.0655700000002</v>
      </c>
      <c r="C295" s="22">
        <v>4.5</v>
      </c>
      <c r="D295" s="11">
        <v>2.7977237499999998E-2</v>
      </c>
      <c r="E295" s="11">
        <v>117.06439</v>
      </c>
      <c r="F295" s="22">
        <v>0.5</v>
      </c>
    </row>
    <row r="296" spans="1:6" x14ac:dyDescent="0.3">
      <c r="A296" s="11">
        <v>0.12784816500000001</v>
      </c>
      <c r="B296" s="11">
        <v>2182.6253400000001</v>
      </c>
      <c r="C296" s="22">
        <v>1.5</v>
      </c>
      <c r="D296" s="11">
        <v>0</v>
      </c>
      <c r="E296" s="11">
        <v>0</v>
      </c>
      <c r="F296" s="22">
        <v>0</v>
      </c>
    </row>
    <row r="297" spans="1:6" x14ac:dyDescent="0.3">
      <c r="A297" s="11">
        <v>0.20017787000000001</v>
      </c>
      <c r="B297" s="11">
        <v>1604.5654300000001</v>
      </c>
      <c r="C297" s="22">
        <v>6</v>
      </c>
      <c r="D297" s="11">
        <v>0</v>
      </c>
      <c r="E297" s="11">
        <v>0</v>
      </c>
      <c r="F297" s="22">
        <v>0</v>
      </c>
    </row>
    <row r="298" spans="1:6" x14ac:dyDescent="0.3">
      <c r="A298" s="11">
        <v>0.16437958499999999</v>
      </c>
      <c r="B298" s="11">
        <v>6803.8778400000001</v>
      </c>
      <c r="C298" s="22">
        <v>1.5</v>
      </c>
      <c r="D298" s="11">
        <v>0</v>
      </c>
      <c r="E298" s="11">
        <v>0</v>
      </c>
      <c r="F298" s="22">
        <v>0</v>
      </c>
    </row>
    <row r="299" spans="1:6" x14ac:dyDescent="0.3">
      <c r="A299" s="11">
        <v>0.17682013999999999</v>
      </c>
      <c r="B299" s="11">
        <v>1295.24839</v>
      </c>
      <c r="C299" s="22">
        <v>7.5</v>
      </c>
      <c r="D299" s="11">
        <v>0</v>
      </c>
      <c r="E299" s="11">
        <v>0</v>
      </c>
      <c r="F299" s="22">
        <v>0</v>
      </c>
    </row>
    <row r="300" spans="1:6" x14ac:dyDescent="0.3">
      <c r="A300" s="11">
        <v>0.12207266999999999</v>
      </c>
      <c r="B300" s="11">
        <v>2065.30078</v>
      </c>
      <c r="C300" s="22">
        <v>2</v>
      </c>
      <c r="D300" s="11">
        <v>0</v>
      </c>
      <c r="E300" s="11">
        <v>0</v>
      </c>
      <c r="F300" s="22">
        <v>0</v>
      </c>
    </row>
    <row r="301" spans="1:6" x14ac:dyDescent="0.3">
      <c r="A301" s="11">
        <v>0.22045018999999999</v>
      </c>
      <c r="B301" s="11">
        <v>1353.0910100000001</v>
      </c>
      <c r="C301" s="22">
        <v>3.5</v>
      </c>
      <c r="D301" s="11">
        <v>0</v>
      </c>
      <c r="E301" s="11">
        <v>0</v>
      </c>
      <c r="F301" s="22">
        <v>0</v>
      </c>
    </row>
    <row r="302" spans="1:6" x14ac:dyDescent="0.3">
      <c r="A302" s="11">
        <v>0.12585381000000001</v>
      </c>
      <c r="B302" s="11">
        <v>1302.66175</v>
      </c>
      <c r="C302" s="22">
        <v>0.5</v>
      </c>
      <c r="D302" s="11">
        <v>0</v>
      </c>
      <c r="E302" s="11">
        <v>0</v>
      </c>
      <c r="F302" s="22">
        <v>0</v>
      </c>
    </row>
    <row r="303" spans="1:6" x14ac:dyDescent="0.3">
      <c r="A303" s="11">
        <v>0.22512489499999999</v>
      </c>
      <c r="B303" s="11">
        <v>1480.93947</v>
      </c>
      <c r="C303" s="22">
        <v>7.5</v>
      </c>
      <c r="D303" s="11">
        <v>0</v>
      </c>
      <c r="E303" s="11">
        <v>0</v>
      </c>
      <c r="F303" s="22">
        <v>0</v>
      </c>
    </row>
    <row r="304" spans="1:6" x14ac:dyDescent="0.3">
      <c r="A304" s="11">
        <v>0.14500619000000001</v>
      </c>
      <c r="B304" s="11">
        <v>2125.1318799999999</v>
      </c>
      <c r="C304" s="22">
        <v>1</v>
      </c>
      <c r="D304" s="11">
        <v>0</v>
      </c>
      <c r="E304" s="11">
        <v>0</v>
      </c>
      <c r="F304" s="22">
        <v>0</v>
      </c>
    </row>
    <row r="305" spans="1:6" x14ac:dyDescent="0.3">
      <c r="A305" s="11">
        <v>0.242788435</v>
      </c>
      <c r="B305" s="11">
        <v>1493.3319300000001</v>
      </c>
      <c r="C305" s="22">
        <v>10</v>
      </c>
      <c r="D305" s="11">
        <v>0</v>
      </c>
      <c r="E305" s="11">
        <v>0</v>
      </c>
      <c r="F305" s="22">
        <v>0</v>
      </c>
    </row>
    <row r="306" spans="1:6" x14ac:dyDescent="0.3">
      <c r="A306" s="11">
        <v>0.124730325</v>
      </c>
      <c r="B306" s="11">
        <v>1409.4489100000001</v>
      </c>
      <c r="C306" s="22">
        <v>1</v>
      </c>
      <c r="D306" s="11">
        <v>0</v>
      </c>
      <c r="E306" s="11">
        <v>0</v>
      </c>
      <c r="F306" s="22">
        <v>0</v>
      </c>
    </row>
    <row r="307" spans="1:6" x14ac:dyDescent="0.3">
      <c r="A307" s="11">
        <v>0.12139266</v>
      </c>
      <c r="B307" s="11">
        <v>1644.3694</v>
      </c>
      <c r="C307" s="22">
        <v>3.5</v>
      </c>
      <c r="D307" s="11">
        <v>3.6298645999999997E-2</v>
      </c>
      <c r="E307" s="11">
        <v>133.14855</v>
      </c>
      <c r="F307" s="22">
        <v>1.5</v>
      </c>
    </row>
    <row r="308" spans="1:6" x14ac:dyDescent="0.3">
      <c r="A308" s="11">
        <v>0.12218666</v>
      </c>
      <c r="B308" s="11">
        <v>1459.28721</v>
      </c>
      <c r="C308" s="22">
        <v>2</v>
      </c>
      <c r="D308" s="11">
        <v>0</v>
      </c>
      <c r="E308" s="11">
        <v>0</v>
      </c>
      <c r="F308" s="22">
        <v>0</v>
      </c>
    </row>
    <row r="309" spans="1:6" x14ac:dyDescent="0.3">
      <c r="A309" s="11">
        <v>0.13178627000000001</v>
      </c>
      <c r="B309" s="11">
        <v>2001.13284</v>
      </c>
      <c r="C309" s="22">
        <v>1.5</v>
      </c>
      <c r="D309" s="11">
        <v>0</v>
      </c>
      <c r="E309" s="11">
        <v>0</v>
      </c>
      <c r="F309" s="22">
        <v>0</v>
      </c>
    </row>
    <row r="310" spans="1:6" x14ac:dyDescent="0.3">
      <c r="A310" s="11">
        <v>0.23677999999999999</v>
      </c>
      <c r="B310" s="11">
        <v>1784.00128</v>
      </c>
      <c r="C310" s="22">
        <v>4.5</v>
      </c>
      <c r="D310" s="11">
        <v>0</v>
      </c>
      <c r="E310" s="11">
        <v>0</v>
      </c>
      <c r="F310" s="22">
        <v>0</v>
      </c>
    </row>
    <row r="311" spans="1:6" x14ac:dyDescent="0.3">
      <c r="A311" s="11">
        <v>0.10982779500000001</v>
      </c>
      <c r="B311" s="11">
        <v>1902.1310900000001</v>
      </c>
      <c r="C311" s="22">
        <v>2</v>
      </c>
      <c r="D311" s="11">
        <v>0</v>
      </c>
      <c r="E311" s="11">
        <v>0</v>
      </c>
      <c r="F311" s="22">
        <v>0</v>
      </c>
    </row>
    <row r="312" spans="1:6" x14ac:dyDescent="0.3">
      <c r="A312" s="11">
        <v>0.35478723000000001</v>
      </c>
      <c r="B312" s="11">
        <v>1192.50206</v>
      </c>
      <c r="C312" s="22">
        <v>12.5</v>
      </c>
      <c r="D312" s="11">
        <v>0</v>
      </c>
      <c r="E312" s="11">
        <v>0</v>
      </c>
      <c r="F312" s="22">
        <v>0</v>
      </c>
    </row>
    <row r="313" spans="1:6" x14ac:dyDescent="0.3">
      <c r="A313" s="11">
        <v>0.10944991499999999</v>
      </c>
      <c r="B313" s="11">
        <v>1060.8823600000001</v>
      </c>
      <c r="C313" s="22">
        <v>0.5</v>
      </c>
      <c r="D313" s="11">
        <v>0</v>
      </c>
      <c r="E313" s="11">
        <v>0</v>
      </c>
      <c r="F313" s="22">
        <v>0</v>
      </c>
    </row>
    <row r="314" spans="1:6" x14ac:dyDescent="0.3">
      <c r="A314" s="11">
        <v>0.12434136</v>
      </c>
      <c r="B314" s="11">
        <v>2310.8254299999999</v>
      </c>
      <c r="C314" s="22">
        <v>0.5</v>
      </c>
      <c r="D314" s="11">
        <v>0</v>
      </c>
      <c r="E314" s="11">
        <v>0</v>
      </c>
      <c r="F314" s="22">
        <v>0</v>
      </c>
    </row>
    <row r="315" spans="1:6" x14ac:dyDescent="0.3">
      <c r="A315" s="11">
        <v>0.23946392</v>
      </c>
      <c r="B315" s="11">
        <v>1238.3331700000001</v>
      </c>
      <c r="C315" s="22">
        <v>11</v>
      </c>
      <c r="D315" s="11">
        <v>0</v>
      </c>
      <c r="E315" s="11">
        <v>0</v>
      </c>
      <c r="F315" s="22">
        <v>0</v>
      </c>
    </row>
    <row r="316" spans="1:6" x14ac:dyDescent="0.3">
      <c r="A316" s="11">
        <v>0.128823615</v>
      </c>
      <c r="B316" s="11">
        <v>2369.8759599999998</v>
      </c>
      <c r="C316" s="22">
        <v>4</v>
      </c>
      <c r="D316" s="11">
        <v>0</v>
      </c>
      <c r="E316" s="11">
        <v>0</v>
      </c>
      <c r="F316" s="22">
        <v>0</v>
      </c>
    </row>
    <row r="317" spans="1:6" x14ac:dyDescent="0.3">
      <c r="A317" s="11">
        <v>0.26234993499999998</v>
      </c>
      <c r="B317" s="11">
        <v>1675.7550900000001</v>
      </c>
      <c r="C317" s="22">
        <v>5</v>
      </c>
      <c r="D317" s="11">
        <v>0</v>
      </c>
      <c r="E317" s="11">
        <v>0</v>
      </c>
      <c r="F317" s="22">
        <v>0</v>
      </c>
    </row>
    <row r="318" spans="1:6" x14ac:dyDescent="0.3">
      <c r="A318" s="11">
        <v>0.15905834999999999</v>
      </c>
      <c r="B318" s="11">
        <v>2529.34602</v>
      </c>
      <c r="C318" s="22">
        <v>1</v>
      </c>
      <c r="D318" s="11">
        <v>0</v>
      </c>
      <c r="E318" s="11">
        <v>0</v>
      </c>
      <c r="F318" s="22">
        <v>0</v>
      </c>
    </row>
    <row r="319" spans="1:6" x14ac:dyDescent="0.3">
      <c r="A319" s="11">
        <v>0.20879931500000001</v>
      </c>
      <c r="B319" s="11">
        <v>3454.6686399999999</v>
      </c>
      <c r="C319" s="22">
        <v>0.5</v>
      </c>
      <c r="D319" s="11">
        <v>0</v>
      </c>
      <c r="E319" s="11">
        <v>0</v>
      </c>
      <c r="F319" s="22">
        <v>0</v>
      </c>
    </row>
    <row r="320" spans="1:6" x14ac:dyDescent="0.3">
      <c r="A320" s="11">
        <v>0.45658252999999999</v>
      </c>
      <c r="B320" s="11">
        <v>4508.4438300000002</v>
      </c>
      <c r="C320" s="22">
        <v>2</v>
      </c>
      <c r="D320" s="11">
        <v>0</v>
      </c>
      <c r="E320" s="11">
        <v>0</v>
      </c>
      <c r="F320" s="22">
        <v>0</v>
      </c>
    </row>
    <row r="321" spans="1:6" x14ac:dyDescent="0.3">
      <c r="A321" s="11">
        <v>0.22948574499999999</v>
      </c>
      <c r="B321" s="11">
        <v>6464.4571100000003</v>
      </c>
      <c r="C321" s="22">
        <v>3</v>
      </c>
      <c r="D321" s="11">
        <v>0</v>
      </c>
      <c r="E321" s="11">
        <v>0</v>
      </c>
      <c r="F321" s="22">
        <v>0</v>
      </c>
    </row>
    <row r="322" spans="1:6" x14ac:dyDescent="0.3">
      <c r="A322" s="11">
        <v>0.32411537000000001</v>
      </c>
      <c r="B322" s="11">
        <v>2080.9325199999998</v>
      </c>
      <c r="C322" s="22">
        <v>0.5</v>
      </c>
      <c r="D322" s="11">
        <v>0</v>
      </c>
      <c r="E322" s="11">
        <v>0</v>
      </c>
      <c r="F322" s="22">
        <v>0</v>
      </c>
    </row>
    <row r="323" spans="1:6" x14ac:dyDescent="0.3">
      <c r="A323" s="11">
        <v>0.29460431999999998</v>
      </c>
      <c r="B323" s="11">
        <v>2836.5805999999998</v>
      </c>
      <c r="C323" s="22">
        <v>2.5</v>
      </c>
      <c r="D323" s="11">
        <v>0</v>
      </c>
      <c r="E323" s="11">
        <v>0</v>
      </c>
      <c r="F323" s="22">
        <v>0</v>
      </c>
    </row>
    <row r="324" spans="1:6" x14ac:dyDescent="0.3">
      <c r="A324" s="11">
        <v>0.294891825</v>
      </c>
      <c r="B324" s="11">
        <v>1331.6624300000001</v>
      </c>
      <c r="C324" s="22">
        <v>7.5</v>
      </c>
      <c r="D324" s="11">
        <v>0</v>
      </c>
      <c r="E324" s="11">
        <v>0</v>
      </c>
      <c r="F324" s="22">
        <v>0</v>
      </c>
    </row>
    <row r="325" spans="1:6" x14ac:dyDescent="0.3">
      <c r="A325" s="11">
        <v>0.26626353000000003</v>
      </c>
      <c r="B325" s="11">
        <v>2830.9786899999999</v>
      </c>
      <c r="C325" s="22">
        <v>7.5</v>
      </c>
      <c r="D325" s="11">
        <v>0</v>
      </c>
      <c r="E325" s="11">
        <v>0</v>
      </c>
      <c r="F325" s="22">
        <v>0</v>
      </c>
    </row>
    <row r="326" spans="1:6" x14ac:dyDescent="0.3">
      <c r="A326" s="11">
        <v>0.27090153500000003</v>
      </c>
      <c r="B326" s="11">
        <v>2553.3946000000001</v>
      </c>
      <c r="C326" s="22">
        <v>7.5</v>
      </c>
      <c r="D326" s="11">
        <v>0</v>
      </c>
      <c r="E326" s="11">
        <v>0</v>
      </c>
      <c r="F326" s="22">
        <v>0</v>
      </c>
    </row>
    <row r="327" spans="1:6" x14ac:dyDescent="0.3">
      <c r="A327" s="11">
        <v>0.242385615</v>
      </c>
      <c r="B327" s="11">
        <v>1308.1234400000001</v>
      </c>
      <c r="C327" s="22">
        <v>0.5</v>
      </c>
      <c r="D327" s="11">
        <v>0</v>
      </c>
      <c r="E327" s="11">
        <v>0</v>
      </c>
      <c r="F327" s="22">
        <v>0</v>
      </c>
    </row>
    <row r="328" spans="1:6" x14ac:dyDescent="0.3">
      <c r="A328" s="11">
        <v>0.27301582000000002</v>
      </c>
      <c r="B328" s="11">
        <v>1507.8816200000001</v>
      </c>
      <c r="C328" s="22">
        <v>5.5</v>
      </c>
      <c r="D328" s="11">
        <v>0</v>
      </c>
      <c r="E328" s="11">
        <v>0</v>
      </c>
      <c r="F328" s="22">
        <v>0</v>
      </c>
    </row>
    <row r="329" spans="1:6" x14ac:dyDescent="0.3">
      <c r="A329" s="11">
        <v>0.24563925</v>
      </c>
      <c r="B329" s="11">
        <v>4527.6961799999999</v>
      </c>
      <c r="C329" s="22">
        <v>1</v>
      </c>
      <c r="D329" s="11">
        <v>0</v>
      </c>
      <c r="E329" s="11">
        <v>0</v>
      </c>
      <c r="F329" s="22">
        <v>0</v>
      </c>
    </row>
    <row r="330" spans="1:6" x14ac:dyDescent="0.3">
      <c r="A330" s="11">
        <v>0.29158031499999998</v>
      </c>
      <c r="B330" s="11">
        <v>2442.2009899999998</v>
      </c>
      <c r="C330" s="22">
        <v>3</v>
      </c>
      <c r="D330" s="11">
        <v>0</v>
      </c>
      <c r="E330" s="11">
        <v>0</v>
      </c>
      <c r="F330" s="22">
        <v>0</v>
      </c>
    </row>
    <row r="331" spans="1:6" x14ac:dyDescent="0.3">
      <c r="A331" s="11">
        <v>0.28726882500000001</v>
      </c>
      <c r="B331" s="11">
        <v>2351.5813699999999</v>
      </c>
      <c r="C331" s="22">
        <v>9.5</v>
      </c>
      <c r="D331" s="11">
        <v>0</v>
      </c>
      <c r="E331" s="11">
        <v>0</v>
      </c>
      <c r="F331" s="22">
        <v>0</v>
      </c>
    </row>
    <row r="332" spans="1:6" x14ac:dyDescent="0.3">
      <c r="A332" s="11">
        <v>0.28341918999999999</v>
      </c>
      <c r="B332" s="11">
        <v>1912.0634399999999</v>
      </c>
      <c r="C332" s="22">
        <v>7.5</v>
      </c>
      <c r="D332" s="11">
        <v>0</v>
      </c>
      <c r="E332" s="11">
        <v>0</v>
      </c>
      <c r="F332" s="22">
        <v>0</v>
      </c>
    </row>
    <row r="333" spans="1:6" x14ac:dyDescent="0.3">
      <c r="A333" s="11">
        <v>0.23507857500000001</v>
      </c>
      <c r="B333" s="11">
        <v>3624.6698700000002</v>
      </c>
      <c r="C333" s="22">
        <v>1</v>
      </c>
      <c r="D333" s="11">
        <v>0</v>
      </c>
      <c r="E333" s="11">
        <v>0</v>
      </c>
      <c r="F333" s="22">
        <v>0</v>
      </c>
    </row>
    <row r="334" spans="1:6" x14ac:dyDescent="0.3">
      <c r="A334" s="11">
        <v>0.30444449000000001</v>
      </c>
      <c r="B334" s="11">
        <v>1084.8862999999999</v>
      </c>
      <c r="C334" s="22">
        <v>2.5</v>
      </c>
      <c r="D334" s="11">
        <v>0</v>
      </c>
      <c r="E334" s="11">
        <v>0</v>
      </c>
      <c r="F334" s="22">
        <v>0</v>
      </c>
    </row>
    <row r="335" spans="1:6" x14ac:dyDescent="0.3">
      <c r="A335" s="11">
        <v>0.22375050499999999</v>
      </c>
      <c r="B335" s="11">
        <v>1577.7546</v>
      </c>
      <c r="C335" s="22">
        <v>1</v>
      </c>
      <c r="D335" s="11">
        <v>0</v>
      </c>
      <c r="E335" s="11">
        <v>0</v>
      </c>
      <c r="F335" s="22">
        <v>0</v>
      </c>
    </row>
    <row r="336" spans="1:6" x14ac:dyDescent="0.3">
      <c r="A336" s="11">
        <v>0.27819887999999998</v>
      </c>
      <c r="B336" s="11">
        <v>1911.1310100000001</v>
      </c>
      <c r="C336" s="22">
        <v>4.5</v>
      </c>
      <c r="D336" s="11">
        <v>0</v>
      </c>
      <c r="E336" s="11">
        <v>0</v>
      </c>
      <c r="F336" s="22">
        <v>0</v>
      </c>
    </row>
    <row r="337" spans="1:7" x14ac:dyDescent="0.3">
      <c r="A337" s="11">
        <v>0.30055587</v>
      </c>
      <c r="B337" s="11">
        <v>1652.4397799999999</v>
      </c>
      <c r="C337" s="22">
        <v>11</v>
      </c>
      <c r="D337" s="11">
        <v>0</v>
      </c>
      <c r="E337" s="11">
        <v>0</v>
      </c>
      <c r="F337" s="22">
        <v>0</v>
      </c>
    </row>
    <row r="338" spans="1:7" x14ac:dyDescent="0.3">
      <c r="A338" s="11">
        <v>0.21612565</v>
      </c>
      <c r="B338" s="11">
        <v>1102.6822299999999</v>
      </c>
      <c r="C338" s="22">
        <v>0.5</v>
      </c>
      <c r="D338" s="11">
        <v>0</v>
      </c>
      <c r="E338" s="11">
        <v>0</v>
      </c>
      <c r="F338" s="22">
        <v>0</v>
      </c>
    </row>
    <row r="339" spans="1:7" x14ac:dyDescent="0.3">
      <c r="A339" s="11">
        <v>0.27683662999999997</v>
      </c>
      <c r="B339" s="11">
        <v>1604.4382000000001</v>
      </c>
      <c r="C339" s="22">
        <v>12.5</v>
      </c>
      <c r="D339" s="11">
        <v>0</v>
      </c>
      <c r="E339" s="11">
        <v>0</v>
      </c>
      <c r="F339" s="22">
        <v>0</v>
      </c>
    </row>
    <row r="340" spans="1:7" x14ac:dyDescent="0.3">
      <c r="A340" s="11">
        <v>0.21457306000000001</v>
      </c>
      <c r="B340" s="11">
        <v>2281.4737599999999</v>
      </c>
      <c r="C340" s="22">
        <v>0.5</v>
      </c>
      <c r="D340" s="11">
        <v>0</v>
      </c>
      <c r="E340" s="11">
        <v>0</v>
      </c>
      <c r="F340" s="22">
        <v>0</v>
      </c>
    </row>
    <row r="341" spans="1:7" x14ac:dyDescent="0.3">
      <c r="A341" s="11">
        <v>0.20872985999999999</v>
      </c>
      <c r="B341" s="11">
        <v>903.44228699999996</v>
      </c>
      <c r="C341" s="22">
        <v>0.5</v>
      </c>
      <c r="D341" s="11">
        <v>0</v>
      </c>
      <c r="E341" s="11">
        <v>0</v>
      </c>
      <c r="F341" s="22">
        <v>0</v>
      </c>
    </row>
    <row r="342" spans="1:7" x14ac:dyDescent="0.3">
      <c r="A342" s="22"/>
      <c r="B342" s="22"/>
      <c r="C342" s="22"/>
      <c r="D342" s="22"/>
      <c r="E342" s="11"/>
      <c r="F342" s="11"/>
    </row>
    <row r="343" spans="1:7" x14ac:dyDescent="0.3">
      <c r="A343" s="22"/>
      <c r="B343" s="11"/>
      <c r="C343" s="11"/>
      <c r="D343" s="22"/>
      <c r="E343" s="11"/>
      <c r="F343" s="11"/>
    </row>
    <row r="344" spans="1:7" x14ac:dyDescent="0.3">
      <c r="A344" s="11">
        <v>0.17369999999999999</v>
      </c>
      <c r="B344" s="11">
        <v>2311</v>
      </c>
      <c r="C344" s="11">
        <v>4.1680000000000001</v>
      </c>
      <c r="D344" s="11">
        <v>3.6480000000000002E-3</v>
      </c>
      <c r="E344" s="11">
        <v>10.99</v>
      </c>
      <c r="F344" s="11">
        <v>8.7470000000000006E-2</v>
      </c>
      <c r="G344" s="4"/>
    </row>
    <row r="345" spans="1:7" x14ac:dyDescent="0.3">
      <c r="A345" s="11">
        <v>5.9080000000000001E-3</v>
      </c>
      <c r="B345" s="11">
        <v>104.4</v>
      </c>
      <c r="C345" s="11">
        <v>0.35649999999999998</v>
      </c>
      <c r="D345" s="11">
        <v>9.3950000000000001E-4</v>
      </c>
      <c r="E345" s="11">
        <v>3.004</v>
      </c>
      <c r="F345" s="11">
        <v>2.281E-2</v>
      </c>
      <c r="G345" s="4"/>
    </row>
    <row r="346" spans="1:7" x14ac:dyDescent="0.3">
      <c r="F346" s="22"/>
      <c r="G346" s="22"/>
    </row>
    <row r="347" spans="1:7" x14ac:dyDescent="0.3">
      <c r="A347" s="31" t="s">
        <v>392</v>
      </c>
      <c r="B347" s="22"/>
      <c r="C347" s="22"/>
      <c r="D347" s="22"/>
      <c r="E347" s="22"/>
      <c r="F347" s="22"/>
      <c r="G347" s="22"/>
    </row>
    <row r="348" spans="1:7" x14ac:dyDescent="0.3">
      <c r="A348" s="22" t="s">
        <v>368</v>
      </c>
      <c r="B348" s="22" t="s">
        <v>444</v>
      </c>
      <c r="C348" s="22" t="s">
        <v>445</v>
      </c>
      <c r="D348" s="22" t="s">
        <v>446</v>
      </c>
      <c r="E348" s="22"/>
      <c r="F348" s="22"/>
      <c r="G348" s="11"/>
    </row>
    <row r="349" spans="1:7" x14ac:dyDescent="0.3">
      <c r="A349" s="24" t="s">
        <v>393</v>
      </c>
      <c r="B349" s="11" t="s">
        <v>369</v>
      </c>
      <c r="C349" s="11" t="s">
        <v>369</v>
      </c>
      <c r="D349" s="11" t="s">
        <v>369</v>
      </c>
      <c r="E349" s="22"/>
      <c r="F349" s="22"/>
      <c r="G349" s="22"/>
    </row>
    <row r="350" spans="1:7" x14ac:dyDescent="0.3">
      <c r="F350" s="22"/>
      <c r="G350" s="22"/>
    </row>
    <row r="356" spans="1:11" x14ac:dyDescent="0.3">
      <c r="I356" s="22"/>
      <c r="J356" s="11"/>
      <c r="K356" s="11"/>
    </row>
    <row r="357" spans="1:11" x14ac:dyDescent="0.3">
      <c r="A357" s="22"/>
      <c r="H357" s="22"/>
      <c r="I357" s="22"/>
      <c r="J357" s="11"/>
      <c r="K357" s="11"/>
    </row>
    <row r="358" spans="1:11" x14ac:dyDescent="0.3">
      <c r="A358" s="22"/>
      <c r="H358" s="22"/>
      <c r="I358" s="22"/>
      <c r="J358" s="11"/>
      <c r="K358" s="11"/>
    </row>
    <row r="359" spans="1:11" x14ac:dyDescent="0.3">
      <c r="A359" s="11"/>
      <c r="B359" s="22"/>
      <c r="C359" s="22"/>
      <c r="D359" s="22"/>
      <c r="E359" s="22"/>
      <c r="F359" s="22"/>
      <c r="G359" s="22"/>
      <c r="H359" s="22"/>
      <c r="I359" s="22"/>
      <c r="J359" s="11"/>
      <c r="K359" s="11"/>
    </row>
    <row r="360" spans="1:1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11"/>
      <c r="K360" s="11"/>
    </row>
    <row r="361" spans="1:11" x14ac:dyDescent="0.3">
      <c r="A361" s="22"/>
      <c r="B361" s="11"/>
      <c r="C361" s="22"/>
      <c r="D361" s="22"/>
      <c r="E361" s="22"/>
      <c r="F361" s="22"/>
      <c r="G361" s="22"/>
      <c r="H361" s="22"/>
      <c r="I361" s="22"/>
      <c r="J361" s="11"/>
      <c r="K361" s="11"/>
    </row>
    <row r="362" spans="1:1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11"/>
      <c r="K362" s="11"/>
    </row>
    <row r="363" spans="1:1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11"/>
      <c r="K363" s="11"/>
    </row>
    <row r="364" spans="1:1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11"/>
      <c r="K364" s="11"/>
    </row>
    <row r="365" spans="1:1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11"/>
      <c r="K365" s="11"/>
    </row>
    <row r="366" spans="1:1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11"/>
      <c r="K366" s="11"/>
    </row>
    <row r="367" spans="1:1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11"/>
      <c r="K367" s="11"/>
    </row>
    <row r="368" spans="1:11" x14ac:dyDescent="0.3">
      <c r="B368" s="22"/>
      <c r="C368" s="22"/>
      <c r="D368" s="22"/>
      <c r="E368" s="22"/>
      <c r="F368" s="22"/>
      <c r="G368" s="22"/>
    </row>
    <row r="369" spans="2:7" x14ac:dyDescent="0.3">
      <c r="B369" s="22"/>
      <c r="C369" s="22"/>
      <c r="D369" s="22"/>
      <c r="E369" s="22"/>
      <c r="F369" s="22"/>
      <c r="G369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/>
  </sheetViews>
  <sheetFormatPr baseColWidth="10" defaultRowHeight="14.4" x14ac:dyDescent="0.3"/>
  <sheetData>
    <row r="1" spans="1:6" x14ac:dyDescent="0.3">
      <c r="A1" s="70" t="s">
        <v>647</v>
      </c>
    </row>
    <row r="2" spans="1:6" x14ac:dyDescent="0.3">
      <c r="A2" t="s">
        <v>448</v>
      </c>
      <c r="B2" s="2" t="s">
        <v>39</v>
      </c>
      <c r="C2" t="s">
        <v>130</v>
      </c>
      <c r="D2" t="s">
        <v>132</v>
      </c>
      <c r="E2" t="s">
        <v>131</v>
      </c>
      <c r="F2" t="s">
        <v>43</v>
      </c>
    </row>
    <row r="3" spans="1:6" x14ac:dyDescent="0.3">
      <c r="A3" s="6" t="s">
        <v>7</v>
      </c>
      <c r="B3" s="22" t="s">
        <v>608</v>
      </c>
      <c r="C3">
        <v>7</v>
      </c>
      <c r="D3">
        <v>0.34613043106169517</v>
      </c>
      <c r="E3">
        <v>3.51</v>
      </c>
      <c r="F3">
        <f>C3/(218.5-126.1)</f>
        <v>7.575757575757576E-2</v>
      </c>
    </row>
    <row r="4" spans="1:6" x14ac:dyDescent="0.3">
      <c r="A4" t="s">
        <v>12</v>
      </c>
      <c r="B4" s="22" t="s">
        <v>609</v>
      </c>
      <c r="C4">
        <v>8</v>
      </c>
      <c r="D4">
        <v>1.2243481004467642</v>
      </c>
      <c r="E4">
        <v>2.58</v>
      </c>
      <c r="F4">
        <f>C4/(240-150)</f>
        <v>8.8888888888888892E-2</v>
      </c>
    </row>
    <row r="5" spans="1:6" x14ac:dyDescent="0.3">
      <c r="B5" s="22" t="s">
        <v>610</v>
      </c>
      <c r="C5">
        <v>12</v>
      </c>
      <c r="D5">
        <v>0.8</v>
      </c>
      <c r="E5">
        <v>2.38</v>
      </c>
      <c r="F5">
        <f>C5/(240-128)</f>
        <v>0.10714285714285714</v>
      </c>
    </row>
    <row r="6" spans="1:6" x14ac:dyDescent="0.3">
      <c r="A6" s="6" t="s">
        <v>8</v>
      </c>
      <c r="B6" s="22" t="s">
        <v>608</v>
      </c>
      <c r="C6">
        <v>36</v>
      </c>
      <c r="D6">
        <v>0.58874349884338895</v>
      </c>
      <c r="E6">
        <v>1.87</v>
      </c>
      <c r="F6">
        <f>C6/(360-180)</f>
        <v>0.2</v>
      </c>
    </row>
    <row r="7" spans="1:6" x14ac:dyDescent="0.3">
      <c r="A7" t="s">
        <v>12</v>
      </c>
      <c r="B7" s="22" t="s">
        <v>609</v>
      </c>
      <c r="C7">
        <v>11</v>
      </c>
      <c r="D7">
        <v>0.55273931374673213</v>
      </c>
      <c r="E7">
        <v>1.58</v>
      </c>
      <c r="F7">
        <f>C7/(360-256)</f>
        <v>0.10576923076923077</v>
      </c>
    </row>
    <row r="8" spans="1:6" x14ac:dyDescent="0.3">
      <c r="B8" s="22" t="s">
        <v>610</v>
      </c>
      <c r="C8">
        <v>5</v>
      </c>
      <c r="D8">
        <v>0.5</v>
      </c>
      <c r="E8">
        <v>18</v>
      </c>
      <c r="F8">
        <f>C8/(360-210)</f>
        <v>3.3333333333333333E-2</v>
      </c>
    </row>
    <row r="9" spans="1:6" x14ac:dyDescent="0.3">
      <c r="B9" s="22" t="s">
        <v>611</v>
      </c>
      <c r="C9">
        <v>29</v>
      </c>
      <c r="D9">
        <v>0.97432955418998224</v>
      </c>
      <c r="E9">
        <v>1.35</v>
      </c>
      <c r="F9">
        <f>C9/(360-278.6)</f>
        <v>0.35626535626535638</v>
      </c>
    </row>
    <row r="10" spans="1:6" x14ac:dyDescent="0.3">
      <c r="B10" s="22" t="s">
        <v>612</v>
      </c>
      <c r="C10">
        <v>43</v>
      </c>
      <c r="D10">
        <v>0.52061739832613818</v>
      </c>
      <c r="E10">
        <v>1.94</v>
      </c>
      <c r="F10">
        <f>C10/(360-111)</f>
        <v>0.17269076305220885</v>
      </c>
    </row>
    <row r="11" spans="1:6" x14ac:dyDescent="0.3">
      <c r="B11" s="22" t="s">
        <v>613</v>
      </c>
      <c r="C11">
        <v>22</v>
      </c>
      <c r="D11">
        <v>0.19712566703011303</v>
      </c>
      <c r="E11">
        <v>1.37</v>
      </c>
      <c r="F11">
        <f>C11/(360-287)</f>
        <v>0.30136986301369861</v>
      </c>
    </row>
    <row r="14" spans="1:6" x14ac:dyDescent="0.3">
      <c r="B14" s="4" t="s">
        <v>15</v>
      </c>
      <c r="C14">
        <f>AVERAGE(C3:C11)</f>
        <v>19.222222222222221</v>
      </c>
      <c r="D14" s="11">
        <v>0.63380000000000003</v>
      </c>
      <c r="E14" s="11">
        <v>3.8420000000000001</v>
      </c>
      <c r="F14" s="11">
        <v>0.16009999999999999</v>
      </c>
    </row>
    <row r="15" spans="1:6" x14ac:dyDescent="0.3">
      <c r="B15" s="4" t="s">
        <v>380</v>
      </c>
      <c r="D15" s="11">
        <v>0.1057</v>
      </c>
      <c r="E15" s="11">
        <v>1.784</v>
      </c>
      <c r="F15" s="11">
        <v>3.6170000000000001E-2</v>
      </c>
    </row>
    <row r="18" spans="1:6" x14ac:dyDescent="0.3">
      <c r="A18" t="s">
        <v>448</v>
      </c>
      <c r="B18" s="2" t="s">
        <v>34</v>
      </c>
      <c r="C18" t="s">
        <v>130</v>
      </c>
      <c r="D18" t="s">
        <v>132</v>
      </c>
      <c r="E18" t="s">
        <v>131</v>
      </c>
      <c r="F18" t="s">
        <v>43</v>
      </c>
    </row>
    <row r="19" spans="1:6" x14ac:dyDescent="0.3">
      <c r="A19" s="6" t="s">
        <v>7</v>
      </c>
      <c r="B19" s="22" t="s">
        <v>608</v>
      </c>
      <c r="C19">
        <v>5</v>
      </c>
      <c r="D19">
        <v>0.2</v>
      </c>
      <c r="E19">
        <v>7.62</v>
      </c>
      <c r="F19">
        <f>C19/45</f>
        <v>0.1111111111111111</v>
      </c>
    </row>
    <row r="20" spans="1:6" x14ac:dyDescent="0.3">
      <c r="A20" s="22" t="s">
        <v>300</v>
      </c>
      <c r="B20" s="22" t="s">
        <v>609</v>
      </c>
      <c r="C20">
        <v>10</v>
      </c>
      <c r="D20">
        <v>0.4</v>
      </c>
      <c r="E20">
        <v>6.02</v>
      </c>
      <c r="F20">
        <f>C20/(240-172)</f>
        <v>0.14705882352941177</v>
      </c>
    </row>
    <row r="21" spans="1:6" x14ac:dyDescent="0.3">
      <c r="A21" s="6" t="s">
        <v>8</v>
      </c>
      <c r="B21" s="22" t="s">
        <v>608</v>
      </c>
      <c r="C21">
        <v>7</v>
      </c>
      <c r="D21">
        <v>0.8</v>
      </c>
      <c r="E21">
        <v>6.9714285714285733</v>
      </c>
      <c r="F21">
        <f>7/(240-172)</f>
        <v>0.10294117647058823</v>
      </c>
    </row>
    <row r="22" spans="1:6" x14ac:dyDescent="0.3">
      <c r="A22" s="22" t="s">
        <v>300</v>
      </c>
      <c r="B22" s="22" t="s">
        <v>609</v>
      </c>
      <c r="C22">
        <v>9</v>
      </c>
      <c r="D22">
        <v>0.6</v>
      </c>
      <c r="E22">
        <v>8.1</v>
      </c>
      <c r="F22">
        <f>C22/(240-160)</f>
        <v>0.1125</v>
      </c>
    </row>
    <row r="23" spans="1:6" x14ac:dyDescent="0.3">
      <c r="A23" s="6" t="s">
        <v>9</v>
      </c>
      <c r="B23" s="22" t="s">
        <v>608</v>
      </c>
      <c r="C23">
        <v>4</v>
      </c>
      <c r="D23">
        <v>0.4</v>
      </c>
      <c r="E23">
        <v>7.9</v>
      </c>
      <c r="F23">
        <f>C23/(300-218)</f>
        <v>4.878048780487805E-2</v>
      </c>
    </row>
    <row r="24" spans="1:6" x14ac:dyDescent="0.3">
      <c r="A24" s="22" t="s">
        <v>300</v>
      </c>
      <c r="B24" s="22" t="s">
        <v>609</v>
      </c>
      <c r="C24">
        <v>25</v>
      </c>
      <c r="D24">
        <v>0.82969903634418984</v>
      </c>
      <c r="E24">
        <v>2.4900000000000002</v>
      </c>
      <c r="F24">
        <f>C24/(300-166)</f>
        <v>0.18656716417910449</v>
      </c>
    </row>
    <row r="25" spans="1:6" x14ac:dyDescent="0.3">
      <c r="B25" s="22" t="s">
        <v>610</v>
      </c>
      <c r="C25">
        <v>24</v>
      </c>
      <c r="D25">
        <v>0.46345903177887116</v>
      </c>
      <c r="E25">
        <v>3.53</v>
      </c>
      <c r="F25">
        <f>C25/(300-136)</f>
        <v>0.14634146341463414</v>
      </c>
    </row>
    <row r="26" spans="1:6" x14ac:dyDescent="0.3">
      <c r="B26" s="22" t="s">
        <v>611</v>
      </c>
      <c r="C26">
        <v>10</v>
      </c>
      <c r="D26">
        <v>0.62758086592043316</v>
      </c>
      <c r="E26">
        <v>6.71</v>
      </c>
      <c r="F26">
        <f>C26/(300-163)</f>
        <v>7.2992700729927001E-2</v>
      </c>
    </row>
    <row r="27" spans="1:6" x14ac:dyDescent="0.3">
      <c r="B27" s="22" t="s">
        <v>612</v>
      </c>
      <c r="C27">
        <v>27</v>
      </c>
      <c r="D27">
        <v>0.61934994266310484</v>
      </c>
      <c r="E27">
        <v>3.09</v>
      </c>
      <c r="F27">
        <f>C27/(300-137)</f>
        <v>0.16564417177914109</v>
      </c>
    </row>
    <row r="28" spans="1:6" x14ac:dyDescent="0.3">
      <c r="B28" s="22" t="s">
        <v>613</v>
      </c>
      <c r="C28">
        <v>38</v>
      </c>
      <c r="D28">
        <v>0.42188234743914421</v>
      </c>
      <c r="E28">
        <v>2.16</v>
      </c>
      <c r="F28">
        <f>C28/(300-126)</f>
        <v>0.21839080459770116</v>
      </c>
    </row>
    <row r="29" spans="1:6" x14ac:dyDescent="0.3">
      <c r="B29" s="22" t="s">
        <v>614</v>
      </c>
      <c r="C29">
        <v>19</v>
      </c>
      <c r="D29">
        <v>0.40430751751933114</v>
      </c>
      <c r="E29">
        <v>3.9</v>
      </c>
      <c r="F29">
        <f>C29/(300-135)</f>
        <v>0.11515151515151516</v>
      </c>
    </row>
    <row r="30" spans="1:6" x14ac:dyDescent="0.3">
      <c r="B30" s="22" t="s">
        <v>615</v>
      </c>
      <c r="C30">
        <v>41</v>
      </c>
      <c r="D30">
        <v>0.34604623868217277</v>
      </c>
      <c r="E30">
        <v>1.64</v>
      </c>
      <c r="F30">
        <f>C30/(300-142)</f>
        <v>0.25949367088607594</v>
      </c>
    </row>
    <row r="31" spans="1:6" x14ac:dyDescent="0.3">
      <c r="B31" s="22" t="s">
        <v>616</v>
      </c>
      <c r="C31">
        <v>32</v>
      </c>
      <c r="D31">
        <v>0.49020699163056941</v>
      </c>
      <c r="E31">
        <v>2.52</v>
      </c>
      <c r="F31">
        <f>C31/(300-140)</f>
        <v>0.2</v>
      </c>
    </row>
    <row r="32" spans="1:6" x14ac:dyDescent="0.3">
      <c r="B32" s="22" t="s">
        <v>617</v>
      </c>
      <c r="C32">
        <v>15</v>
      </c>
      <c r="D32">
        <v>0.19568063896770346</v>
      </c>
      <c r="E32">
        <v>3.25</v>
      </c>
      <c r="F32">
        <f>C32/(240-164)</f>
        <v>0.19736842105263158</v>
      </c>
    </row>
    <row r="33" spans="1:6" x14ac:dyDescent="0.3">
      <c r="B33" s="22" t="s">
        <v>618</v>
      </c>
      <c r="C33">
        <v>18</v>
      </c>
      <c r="D33">
        <v>0.45299989037153049</v>
      </c>
      <c r="E33">
        <v>2.98</v>
      </c>
      <c r="F33">
        <f>C33/(240-135)</f>
        <v>0.17142857142857143</v>
      </c>
    </row>
    <row r="34" spans="1:6" x14ac:dyDescent="0.3">
      <c r="A34" t="s">
        <v>301</v>
      </c>
      <c r="B34" s="22" t="s">
        <v>608</v>
      </c>
      <c r="C34">
        <v>19</v>
      </c>
      <c r="D34">
        <v>0.41856025894156829</v>
      </c>
      <c r="E34">
        <v>5.79</v>
      </c>
      <c r="F34">
        <f>C34/(360-180)</f>
        <v>0.10555555555555556</v>
      </c>
    </row>
    <row r="35" spans="1:6" x14ac:dyDescent="0.3">
      <c r="A35" s="22" t="s">
        <v>12</v>
      </c>
      <c r="B35" s="22" t="s">
        <v>609</v>
      </c>
      <c r="C35">
        <v>29</v>
      </c>
      <c r="D35">
        <v>0.27169717617186279</v>
      </c>
      <c r="E35">
        <v>2.2599999999999998</v>
      </c>
      <c r="F35">
        <f>C35/(360-237)</f>
        <v>0.23577235772357724</v>
      </c>
    </row>
    <row r="36" spans="1:6" x14ac:dyDescent="0.3">
      <c r="B36" s="22" t="s">
        <v>610</v>
      </c>
      <c r="C36">
        <v>13</v>
      </c>
      <c r="D36">
        <v>0.20200932191983023</v>
      </c>
      <c r="E36">
        <v>7.8</v>
      </c>
      <c r="F36">
        <f>C36/(360-132)</f>
        <v>5.701754385964912E-2</v>
      </c>
    </row>
    <row r="37" spans="1:6" x14ac:dyDescent="0.3">
      <c r="B37" s="22" t="s">
        <v>611</v>
      </c>
      <c r="C37">
        <v>12</v>
      </c>
      <c r="D37">
        <v>0.68017692865897794</v>
      </c>
      <c r="E37">
        <v>3.08</v>
      </c>
      <c r="F37">
        <f>C37/(240-152)</f>
        <v>0.13636363636363635</v>
      </c>
    </row>
    <row r="38" spans="1:6" x14ac:dyDescent="0.3">
      <c r="B38" s="22" t="s">
        <v>612</v>
      </c>
      <c r="C38">
        <v>20</v>
      </c>
      <c r="D38">
        <v>0.56751675687106096</v>
      </c>
      <c r="E38">
        <v>3.52</v>
      </c>
      <c r="F38">
        <f>C38/(240-82)</f>
        <v>0.12658227848101267</v>
      </c>
    </row>
    <row r="39" spans="1:6" x14ac:dyDescent="0.3">
      <c r="B39" s="22" t="s">
        <v>613</v>
      </c>
      <c r="C39">
        <v>45</v>
      </c>
      <c r="D39">
        <v>0.28696337721195075</v>
      </c>
      <c r="E39">
        <v>2.5499999999999998</v>
      </c>
      <c r="F39">
        <f>C39/(360-140)</f>
        <v>0.20454545454545456</v>
      </c>
    </row>
    <row r="40" spans="1:6" x14ac:dyDescent="0.3">
      <c r="B40" s="22" t="s">
        <v>614</v>
      </c>
      <c r="C40">
        <v>17</v>
      </c>
      <c r="D40">
        <v>0.32632337807471817</v>
      </c>
      <c r="E40">
        <v>3.16</v>
      </c>
      <c r="F40">
        <f>C40/(187.7-125.4)</f>
        <v>0.27287319422150891</v>
      </c>
    </row>
    <row r="41" spans="1:6" x14ac:dyDescent="0.3">
      <c r="B41" s="22" t="s">
        <v>615</v>
      </c>
      <c r="C41">
        <v>19</v>
      </c>
      <c r="D41">
        <v>0.26380796506590992</v>
      </c>
      <c r="E41">
        <v>3.49</v>
      </c>
      <c r="F41">
        <f>C41/(360-250)</f>
        <v>0.17272727272727273</v>
      </c>
    </row>
    <row r="42" spans="1:6" x14ac:dyDescent="0.3">
      <c r="B42" s="22" t="s">
        <v>616</v>
      </c>
      <c r="C42">
        <v>9</v>
      </c>
      <c r="D42">
        <v>0.45227691165213801</v>
      </c>
      <c r="E42">
        <v>8.5</v>
      </c>
      <c r="F42">
        <f>C42/(360-150)</f>
        <v>4.2857142857142858E-2</v>
      </c>
    </row>
    <row r="45" spans="1:6" x14ac:dyDescent="0.3">
      <c r="B45" s="4" t="s">
        <v>15</v>
      </c>
      <c r="C45">
        <f>AVERAGE(C19:C42)</f>
        <v>19.458333333333332</v>
      </c>
      <c r="D45" s="11">
        <v>0.44669999999999999</v>
      </c>
      <c r="E45" s="11">
        <v>4.5430000000000001</v>
      </c>
      <c r="F45" s="11">
        <v>0.15040000000000001</v>
      </c>
    </row>
    <row r="46" spans="1:6" x14ac:dyDescent="0.3">
      <c r="B46" s="4" t="s">
        <v>380</v>
      </c>
      <c r="D46" s="11">
        <v>3.6479999999999999E-2</v>
      </c>
      <c r="E46" s="11">
        <v>0.4652</v>
      </c>
      <c r="F46" s="11">
        <v>1.3100000000000001E-2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7"/>
  <sheetViews>
    <sheetView zoomScaleNormal="100" workbookViewId="0"/>
  </sheetViews>
  <sheetFormatPr baseColWidth="10" defaultRowHeight="14.4" x14ac:dyDescent="0.3"/>
  <cols>
    <col min="4" max="4" width="11.5546875" customWidth="1"/>
    <col min="19" max="59" width="11.5546875" style="1"/>
  </cols>
  <sheetData>
    <row r="1" spans="1:18" x14ac:dyDescent="0.3">
      <c r="A1" s="70" t="s">
        <v>648</v>
      </c>
      <c r="B1" s="22" t="s">
        <v>619</v>
      </c>
      <c r="C1" s="22" t="s">
        <v>620</v>
      </c>
      <c r="D1" s="22" t="s">
        <v>619</v>
      </c>
      <c r="E1" s="22" t="s">
        <v>620</v>
      </c>
      <c r="F1" s="22" t="s">
        <v>619</v>
      </c>
      <c r="G1" s="22" t="s">
        <v>620</v>
      </c>
      <c r="N1" s="22"/>
      <c r="O1" s="1"/>
      <c r="P1" s="1"/>
      <c r="Q1" s="1"/>
      <c r="R1" s="1"/>
    </row>
    <row r="2" spans="1:18" x14ac:dyDescent="0.3">
      <c r="A2" s="22"/>
      <c r="B2" s="22" t="s">
        <v>444</v>
      </c>
      <c r="C2" s="22" t="s">
        <v>444</v>
      </c>
      <c r="D2" s="22" t="s">
        <v>445</v>
      </c>
      <c r="E2" s="22" t="s">
        <v>445</v>
      </c>
      <c r="F2" s="22" t="s">
        <v>446</v>
      </c>
      <c r="G2" s="22" t="s">
        <v>446</v>
      </c>
      <c r="N2" s="22"/>
      <c r="O2" s="1"/>
      <c r="P2" s="1"/>
      <c r="Q2" s="1"/>
      <c r="R2" s="1"/>
    </row>
    <row r="3" spans="1:18" x14ac:dyDescent="0.3">
      <c r="A3" s="7" t="s">
        <v>133</v>
      </c>
      <c r="B3" s="22">
        <v>0.30558304625199711</v>
      </c>
      <c r="C3" s="22">
        <v>0.33951558784104313</v>
      </c>
      <c r="D3" s="22">
        <v>1128.1737304583273</v>
      </c>
      <c r="E3" s="11">
        <v>1207.1797099999999</v>
      </c>
      <c r="F3" s="22">
        <v>7.5789473684210522</v>
      </c>
      <c r="G3">
        <v>9.0566037735849054</v>
      </c>
      <c r="O3" s="11"/>
      <c r="P3" s="11"/>
      <c r="Q3" s="1"/>
      <c r="R3" s="1"/>
    </row>
    <row r="4" spans="1:18" x14ac:dyDescent="0.3">
      <c r="A4" s="7" t="s">
        <v>135</v>
      </c>
      <c r="B4" s="22">
        <v>0.31947209952489386</v>
      </c>
      <c r="C4" s="22">
        <v>0.34816120857195693</v>
      </c>
      <c r="D4" s="22">
        <v>1122.098184055023</v>
      </c>
      <c r="E4" s="11">
        <v>1166.55537</v>
      </c>
      <c r="F4" s="22">
        <v>5.0526315789473699</v>
      </c>
      <c r="G4">
        <v>3.1698113207547172</v>
      </c>
      <c r="O4" s="11"/>
      <c r="P4" s="11"/>
      <c r="Q4" s="1"/>
      <c r="R4" s="1"/>
    </row>
    <row r="5" spans="1:18" x14ac:dyDescent="0.3">
      <c r="A5" s="7" t="s">
        <v>137</v>
      </c>
      <c r="B5" s="22">
        <v>6.1774700000000002E-2</v>
      </c>
      <c r="C5" s="22">
        <v>0.34361266849254452</v>
      </c>
      <c r="D5" s="22">
        <f>D4/1.2</f>
        <v>935.08182004585251</v>
      </c>
      <c r="E5" s="11">
        <v>2143.9265799999998</v>
      </c>
      <c r="F5" s="22">
        <v>0.11232222</v>
      </c>
      <c r="G5">
        <v>0.22641509433962265</v>
      </c>
      <c r="M5" s="22"/>
      <c r="O5" s="11"/>
      <c r="P5" s="11"/>
      <c r="Q5" s="1"/>
      <c r="R5" s="1"/>
    </row>
    <row r="6" spans="1:18" x14ac:dyDescent="0.3">
      <c r="A6" s="7" t="s">
        <v>139</v>
      </c>
      <c r="B6" s="22">
        <v>0.25799111197695579</v>
      </c>
      <c r="C6" s="22">
        <v>0.37482399474010875</v>
      </c>
      <c r="D6" s="22">
        <v>897.18615956657595</v>
      </c>
      <c r="E6" s="11">
        <v>1157.03682</v>
      </c>
      <c r="F6" s="22">
        <v>1.263157894736842</v>
      </c>
      <c r="G6">
        <v>0.90566037735849059</v>
      </c>
      <c r="M6" s="22"/>
      <c r="O6" s="11"/>
      <c r="P6" s="11"/>
      <c r="Q6" s="1"/>
      <c r="R6" s="1"/>
    </row>
    <row r="7" spans="1:18" x14ac:dyDescent="0.3">
      <c r="A7" s="7" t="s">
        <v>141</v>
      </c>
      <c r="B7" s="22">
        <v>0.48329971215664846</v>
      </c>
      <c r="C7" s="22">
        <v>0.4208317028001286</v>
      </c>
      <c r="D7" s="22">
        <v>1580.8407849746952</v>
      </c>
      <c r="E7" s="11">
        <v>1210.2342799999999</v>
      </c>
      <c r="F7" s="22">
        <v>2.5263157894736841</v>
      </c>
      <c r="G7">
        <v>6.1132075471698117</v>
      </c>
      <c r="M7" s="22"/>
      <c r="O7" s="11"/>
      <c r="P7" s="11"/>
      <c r="Q7" s="1"/>
      <c r="R7" s="1"/>
    </row>
    <row r="8" spans="1:18" x14ac:dyDescent="0.3">
      <c r="A8" s="7" t="s">
        <v>143</v>
      </c>
      <c r="B8" s="22">
        <v>0.40103416880719822</v>
      </c>
      <c r="C8" s="22">
        <v>0.42238673940346205</v>
      </c>
      <c r="D8" s="22">
        <v>1114.862275574189</v>
      </c>
      <c r="E8" s="11">
        <v>1168.0535299999999</v>
      </c>
      <c r="F8" s="22">
        <v>1.263157894736842</v>
      </c>
      <c r="G8">
        <v>4.9811320754716979</v>
      </c>
      <c r="M8" s="22"/>
      <c r="O8" s="11"/>
      <c r="P8" s="11"/>
      <c r="Q8" s="1"/>
      <c r="R8" s="1"/>
    </row>
    <row r="9" spans="1:18" x14ac:dyDescent="0.3">
      <c r="A9" s="7" t="s">
        <v>145</v>
      </c>
      <c r="B9" s="22">
        <v>0.4585693738548714</v>
      </c>
      <c r="C9" s="22">
        <v>0.73059457620433699</v>
      </c>
      <c r="D9" s="22">
        <v>958.22564101635771</v>
      </c>
      <c r="E9" s="11">
        <v>875.10892899999999</v>
      </c>
      <c r="F9" s="22">
        <v>5.0526315789473681</v>
      </c>
      <c r="G9">
        <v>3.1698113207547172</v>
      </c>
      <c r="M9" s="22"/>
      <c r="O9" s="11"/>
      <c r="P9" s="11"/>
      <c r="Q9" s="1"/>
      <c r="R9" s="1"/>
    </row>
    <row r="10" spans="1:18" x14ac:dyDescent="0.3">
      <c r="A10" s="7" t="s">
        <v>147</v>
      </c>
      <c r="B10" s="22">
        <v>0.28136668695029582</v>
      </c>
      <c r="C10" s="22">
        <v>0.43265464816996763</v>
      </c>
      <c r="D10" s="22">
        <v>1525.0926576184054</v>
      </c>
      <c r="E10" s="11">
        <v>974.32187499999998</v>
      </c>
      <c r="F10" s="22">
        <v>1.8947368421052631</v>
      </c>
      <c r="G10">
        <v>1.1320754716981132</v>
      </c>
      <c r="M10" s="22"/>
      <c r="O10" s="11"/>
      <c r="P10" s="11"/>
      <c r="Q10" s="1"/>
      <c r="R10" s="1"/>
    </row>
    <row r="11" spans="1:18" x14ac:dyDescent="0.3">
      <c r="A11" s="7" t="s">
        <v>149</v>
      </c>
      <c r="B11" s="22">
        <v>0.39910670748505256</v>
      </c>
      <c r="C11" s="22">
        <v>0.57730221556241346</v>
      </c>
      <c r="D11" s="22">
        <v>990.25652881076041</v>
      </c>
      <c r="E11" s="11">
        <v>842.62057800000002</v>
      </c>
      <c r="F11" s="22">
        <v>3.7894736842105261</v>
      </c>
      <c r="G11">
        <v>8.1509433962264151</v>
      </c>
      <c r="M11" s="22"/>
      <c r="O11" s="11"/>
      <c r="P11" s="11"/>
      <c r="Q11" s="1"/>
      <c r="R11" s="1"/>
    </row>
    <row r="12" spans="1:18" x14ac:dyDescent="0.3">
      <c r="A12" s="7" t="s">
        <v>151</v>
      </c>
      <c r="B12" s="22">
        <v>0.31777790904482051</v>
      </c>
      <c r="C12" s="22">
        <v>0.44934741294287994</v>
      </c>
      <c r="D12" s="22">
        <v>2140.3238527834328</v>
      </c>
      <c r="E12" s="11">
        <v>1028.67896</v>
      </c>
      <c r="F12" s="22">
        <v>0.63157894736842102</v>
      </c>
      <c r="G12">
        <v>1.8113207547169812</v>
      </c>
      <c r="M12" s="22"/>
      <c r="O12" s="11"/>
      <c r="P12" s="11"/>
      <c r="Q12" s="1"/>
      <c r="R12" s="1"/>
    </row>
    <row r="13" spans="1:18" x14ac:dyDescent="0.3">
      <c r="A13" s="7" t="s">
        <v>153</v>
      </c>
      <c r="B13" s="22">
        <v>0.28002862124031846</v>
      </c>
      <c r="C13" s="22">
        <v>0.39255407193860653</v>
      </c>
      <c r="D13" s="22">
        <v>2192.8327524160704</v>
      </c>
      <c r="E13" s="11">
        <v>900.19179499999996</v>
      </c>
      <c r="F13" s="22">
        <v>0.63157894736842102</v>
      </c>
      <c r="G13">
        <v>1.3584905660377358</v>
      </c>
      <c r="M13" s="22"/>
      <c r="O13" s="11"/>
      <c r="P13" s="11"/>
      <c r="Q13" s="1"/>
      <c r="R13" s="1"/>
    </row>
    <row r="14" spans="1:18" x14ac:dyDescent="0.3">
      <c r="A14" s="7" t="s">
        <v>155</v>
      </c>
      <c r="B14" s="22">
        <v>7.447666E-2</v>
      </c>
      <c r="C14" s="22">
        <v>0.38150498199023947</v>
      </c>
      <c r="D14" s="22">
        <f>D13/1.2</f>
        <v>1827.3606270133921</v>
      </c>
      <c r="E14" s="11">
        <v>2115.11526</v>
      </c>
      <c r="F14" s="22">
        <v>0.12325546599999999</v>
      </c>
      <c r="G14">
        <v>0.22641509433962265</v>
      </c>
      <c r="M14" s="22"/>
      <c r="O14" s="11"/>
      <c r="P14" s="11"/>
      <c r="Q14" s="1"/>
      <c r="R14" s="1"/>
    </row>
    <row r="15" spans="1:18" x14ac:dyDescent="0.3">
      <c r="A15" s="7" t="s">
        <v>157</v>
      </c>
      <c r="B15" s="22">
        <v>0.3169592311940409</v>
      </c>
      <c r="C15" s="22">
        <v>0.37288578278646994</v>
      </c>
      <c r="D15" s="22">
        <v>1132.4810046062216</v>
      </c>
      <c r="E15" s="11">
        <v>1785.18543</v>
      </c>
      <c r="F15" s="22">
        <v>5.0526315789473681</v>
      </c>
      <c r="G15">
        <v>4.9811320754716979</v>
      </c>
      <c r="M15" s="22"/>
      <c r="O15" s="11"/>
      <c r="P15" s="11"/>
      <c r="Q15" s="1"/>
      <c r="R15" s="1"/>
    </row>
    <row r="16" spans="1:18" x14ac:dyDescent="0.3">
      <c r="A16" s="7" t="s">
        <v>159</v>
      </c>
      <c r="B16" s="22">
        <v>0.33494421271189345</v>
      </c>
      <c r="C16" s="22">
        <v>0.35487312988833153</v>
      </c>
      <c r="D16" s="22">
        <v>1082.988921549925</v>
      </c>
      <c r="E16" s="11">
        <v>1261.6017099999999</v>
      </c>
      <c r="F16" s="22">
        <v>3.1578947368421053</v>
      </c>
      <c r="G16">
        <v>3.1698113207547172</v>
      </c>
      <c r="M16" s="22"/>
      <c r="O16" s="11"/>
      <c r="P16" s="11"/>
      <c r="Q16" s="1"/>
      <c r="R16" s="1"/>
    </row>
    <row r="17" spans="1:18" x14ac:dyDescent="0.3">
      <c r="A17" s="7" t="s">
        <v>161</v>
      </c>
      <c r="B17" s="22">
        <v>8.9211059999999995E-2</v>
      </c>
      <c r="C17" s="22">
        <v>0.33730509910717515</v>
      </c>
      <c r="D17" s="22">
        <f>D16/1.2</f>
        <v>902.49076795827079</v>
      </c>
      <c r="E17" s="11">
        <v>1561.3413</v>
      </c>
      <c r="F17" s="22">
        <v>0.23155568000000001</v>
      </c>
      <c r="G17">
        <v>0.67924528301886788</v>
      </c>
      <c r="M17" s="22"/>
      <c r="O17" s="11"/>
      <c r="P17" s="11"/>
      <c r="Q17" s="1"/>
      <c r="R17" s="1"/>
    </row>
    <row r="18" spans="1:18" x14ac:dyDescent="0.3">
      <c r="A18" s="7" t="s">
        <v>163</v>
      </c>
      <c r="B18" s="22">
        <v>0.615200627567978</v>
      </c>
      <c r="C18" s="22">
        <v>1.807674963612484</v>
      </c>
      <c r="D18" s="22">
        <v>1845.3655102454359</v>
      </c>
      <c r="E18" s="11">
        <v>1020.9542300000001</v>
      </c>
      <c r="F18" s="22">
        <v>0.63157894736842102</v>
      </c>
      <c r="G18">
        <v>0.45283018867924529</v>
      </c>
      <c r="M18" s="22"/>
      <c r="O18" s="11"/>
      <c r="P18" s="11"/>
      <c r="Q18" s="1"/>
      <c r="R18" s="1"/>
    </row>
    <row r="19" spans="1:18" x14ac:dyDescent="0.3">
      <c r="A19" s="7" t="s">
        <v>165</v>
      </c>
      <c r="B19" s="22">
        <v>5.5612815000000003E-2</v>
      </c>
      <c r="C19" s="22">
        <v>0.52289632699257227</v>
      </c>
      <c r="D19" s="22">
        <f>D18/1.2</f>
        <v>1537.8045918711966</v>
      </c>
      <c r="E19" s="11">
        <v>1030.10214</v>
      </c>
      <c r="F19" s="22">
        <v>0.32115648000000002</v>
      </c>
      <c r="G19">
        <v>0.67924528301886788</v>
      </c>
      <c r="M19" s="22"/>
      <c r="O19" s="11"/>
      <c r="P19" s="11"/>
      <c r="Q19" s="1"/>
      <c r="R19" s="1"/>
    </row>
    <row r="20" spans="1:18" x14ac:dyDescent="0.3">
      <c r="A20" s="7" t="s">
        <v>167</v>
      </c>
      <c r="B20" s="22">
        <v>0.31223666785043674</v>
      </c>
      <c r="C20" s="22">
        <v>0.3712060543943127</v>
      </c>
      <c r="D20" s="22">
        <v>1233.0267355016013</v>
      </c>
      <c r="E20" s="11">
        <v>1237.36187</v>
      </c>
      <c r="F20" s="22">
        <v>7.5789473684210522</v>
      </c>
      <c r="G20">
        <v>7.9245283018867925</v>
      </c>
      <c r="M20" s="22"/>
      <c r="O20" s="11"/>
      <c r="P20" s="11"/>
      <c r="Q20" s="1"/>
      <c r="R20" s="1"/>
    </row>
    <row r="21" spans="1:18" x14ac:dyDescent="0.3">
      <c r="A21" s="7" t="s">
        <v>169</v>
      </c>
      <c r="B21" s="22">
        <v>0.55961481868019614</v>
      </c>
      <c r="C21" s="22">
        <v>0.62116980898894192</v>
      </c>
      <c r="D21" s="22">
        <v>904.81812539904161</v>
      </c>
      <c r="E21" s="11">
        <v>911.66040499999997</v>
      </c>
      <c r="F21" s="22">
        <v>4.4210526315789478</v>
      </c>
      <c r="G21">
        <v>5.8867924528301883</v>
      </c>
      <c r="M21" s="22"/>
      <c r="O21" s="11"/>
      <c r="P21" s="11"/>
    </row>
    <row r="22" spans="1:18" x14ac:dyDescent="0.3">
      <c r="A22" s="7" t="s">
        <v>171</v>
      </c>
      <c r="B22" s="22">
        <v>7.2892780000000004E-2</v>
      </c>
      <c r="C22" s="22">
        <v>0.33938273492993604</v>
      </c>
      <c r="D22" s="22">
        <f>D21/1.2</f>
        <v>754.01510449920136</v>
      </c>
      <c r="E22" s="11">
        <v>982.80827699999998</v>
      </c>
      <c r="F22" s="22">
        <v>0.51589984499999997</v>
      </c>
      <c r="G22">
        <v>1.1320754716981132</v>
      </c>
      <c r="M22" s="22"/>
      <c r="O22" s="11"/>
      <c r="P22" s="11"/>
    </row>
    <row r="23" spans="1:18" x14ac:dyDescent="0.3">
      <c r="A23" s="32" t="s">
        <v>134</v>
      </c>
      <c r="B23" s="22">
        <v>7.7784485E-2</v>
      </c>
      <c r="C23" s="22">
        <v>0.37461131247375901</v>
      </c>
      <c r="D23" s="22">
        <f>D22/0.8</f>
        <v>942.51888062400167</v>
      </c>
      <c r="E23" s="11">
        <v>1479.42109</v>
      </c>
      <c r="F23" s="22">
        <v>0.21315564000000001</v>
      </c>
      <c r="G23" s="22">
        <v>0.45283018867924502</v>
      </c>
      <c r="M23" s="22"/>
      <c r="O23" s="11"/>
      <c r="P23" s="11"/>
    </row>
    <row r="24" spans="1:18" x14ac:dyDescent="0.3">
      <c r="A24" s="32" t="s">
        <v>136</v>
      </c>
      <c r="B24" s="22">
        <v>0.27406784431679021</v>
      </c>
      <c r="C24" s="22">
        <v>0.35634435012045801</v>
      </c>
      <c r="D24" s="22">
        <v>1890.1383764243583</v>
      </c>
      <c r="E24" s="11">
        <v>1276.13832</v>
      </c>
      <c r="F24" s="22">
        <v>1.263157894736842</v>
      </c>
      <c r="G24" s="22">
        <v>3.1698113207547172</v>
      </c>
      <c r="M24" s="22"/>
      <c r="O24" s="11"/>
      <c r="P24" s="11"/>
    </row>
    <row r="25" spans="1:18" x14ac:dyDescent="0.3">
      <c r="A25" s="32" t="s">
        <v>138</v>
      </c>
      <c r="B25" s="22">
        <v>0.43977931575791712</v>
      </c>
      <c r="C25" s="22">
        <v>0.55315260475544514</v>
      </c>
      <c r="D25" s="22">
        <v>896.75635432019067</v>
      </c>
      <c r="E25" s="11">
        <v>1073.4093399999999</v>
      </c>
      <c r="F25" s="22">
        <v>13.263157894736842</v>
      </c>
      <c r="G25" s="22">
        <v>13.132075471698114</v>
      </c>
      <c r="M25" s="22"/>
      <c r="O25" s="11"/>
      <c r="P25" s="11"/>
    </row>
    <row r="26" spans="1:18" x14ac:dyDescent="0.3">
      <c r="A26" s="32" t="s">
        <v>140</v>
      </c>
      <c r="B26" s="22">
        <v>0.41325885676063789</v>
      </c>
      <c r="C26" s="22">
        <v>0.47112710087987919</v>
      </c>
      <c r="D26" s="22">
        <v>811.77820580134733</v>
      </c>
      <c r="E26" s="11">
        <v>794.32486900000004</v>
      </c>
      <c r="F26" s="22">
        <v>20.210526315789473</v>
      </c>
      <c r="G26" s="22">
        <v>25.584905660377359</v>
      </c>
      <c r="M26" s="22"/>
      <c r="O26" s="11"/>
      <c r="P26" s="11"/>
    </row>
    <row r="27" spans="1:18" x14ac:dyDescent="0.3">
      <c r="A27" s="32" t="s">
        <v>142</v>
      </c>
      <c r="B27" s="22">
        <v>5.7732945000000001E-2</v>
      </c>
      <c r="C27" s="22">
        <v>0.28298833488210501</v>
      </c>
      <c r="D27" s="22">
        <f>D26/0.7</f>
        <v>1159.683151144782</v>
      </c>
      <c r="E27" s="11">
        <v>782.097261</v>
      </c>
      <c r="F27" s="22">
        <v>0.11332554</v>
      </c>
      <c r="G27" s="22">
        <v>0.22641509433962265</v>
      </c>
      <c r="M27" s="22"/>
      <c r="O27" s="11"/>
      <c r="P27" s="11"/>
    </row>
    <row r="28" spans="1:18" x14ac:dyDescent="0.3">
      <c r="A28" s="32" t="s">
        <v>144</v>
      </c>
      <c r="B28" s="22">
        <v>0.30582343214889429</v>
      </c>
      <c r="C28" s="22">
        <v>0.39390750386640572</v>
      </c>
      <c r="D28" s="22">
        <v>1372.49917592578</v>
      </c>
      <c r="E28" s="11">
        <v>883.306468</v>
      </c>
      <c r="F28" s="22">
        <v>3.1578947368421053</v>
      </c>
      <c r="G28" s="22">
        <v>0.45283018867924529</v>
      </c>
      <c r="M28" s="22"/>
      <c r="O28" s="11"/>
      <c r="P28" s="11"/>
    </row>
    <row r="29" spans="1:18" x14ac:dyDescent="0.3">
      <c r="A29" s="32" t="s">
        <v>146</v>
      </c>
      <c r="B29" s="22">
        <v>0.34697996324239838</v>
      </c>
      <c r="C29" s="22">
        <v>0.34599411110756417</v>
      </c>
      <c r="D29" s="22">
        <v>946.69720308011324</v>
      </c>
      <c r="E29" s="11">
        <v>1302.61599</v>
      </c>
      <c r="F29" s="22">
        <v>5.0526315789473681</v>
      </c>
      <c r="G29" s="22">
        <v>10.867924528301886</v>
      </c>
      <c r="M29" s="22"/>
      <c r="O29" s="11"/>
      <c r="P29" s="11"/>
    </row>
    <row r="30" spans="1:18" x14ac:dyDescent="0.3">
      <c r="A30" s="32" t="s">
        <v>148</v>
      </c>
      <c r="B30" s="22">
        <v>0.51704940097161645</v>
      </c>
      <c r="C30" s="22">
        <v>0.33127042770474224</v>
      </c>
      <c r="D30" s="22">
        <v>831.98406820660421</v>
      </c>
      <c r="E30" s="11">
        <v>1010.6462</v>
      </c>
      <c r="F30" s="22">
        <v>1.263157894736842</v>
      </c>
      <c r="G30" s="22">
        <v>2.0377358490566038</v>
      </c>
      <c r="M30" s="22"/>
      <c r="O30" s="11"/>
      <c r="P30" s="11"/>
    </row>
    <row r="31" spans="1:18" x14ac:dyDescent="0.3">
      <c r="A31" s="32" t="s">
        <v>150</v>
      </c>
      <c r="B31" s="22">
        <v>0.4483989068155898</v>
      </c>
      <c r="C31" s="22">
        <v>0.57638719670826088</v>
      </c>
      <c r="D31" s="22">
        <v>783.50144609703705</v>
      </c>
      <c r="E31" s="11">
        <v>886.67015400000003</v>
      </c>
      <c r="F31" s="22">
        <v>18.94736842105263</v>
      </c>
      <c r="G31" s="22">
        <v>19.245283018867923</v>
      </c>
      <c r="M31" s="22"/>
      <c r="O31" s="11"/>
      <c r="P31" s="11"/>
    </row>
    <row r="32" spans="1:18" x14ac:dyDescent="0.3">
      <c r="A32" s="32" t="s">
        <v>152</v>
      </c>
      <c r="B32" s="22">
        <v>0.30970401158149014</v>
      </c>
      <c r="C32" s="22">
        <v>0.40184427508231391</v>
      </c>
      <c r="D32" s="22">
        <v>1008.5120757958637</v>
      </c>
      <c r="E32" s="11">
        <v>1534.6395500000001</v>
      </c>
      <c r="F32" s="22">
        <v>6.3157894736842106</v>
      </c>
      <c r="G32" s="22">
        <v>2.2641509433962264</v>
      </c>
      <c r="M32" s="22"/>
      <c r="O32" s="11"/>
      <c r="P32" s="11"/>
    </row>
    <row r="33" spans="1:18" x14ac:dyDescent="0.3">
      <c r="A33" s="32" t="s">
        <v>154</v>
      </c>
      <c r="B33" s="22">
        <v>0.39443346526728934</v>
      </c>
      <c r="C33" s="22">
        <v>0.64185723375643189</v>
      </c>
      <c r="D33" s="22">
        <v>970.57773074994657</v>
      </c>
      <c r="E33" s="11">
        <v>1005.96406</v>
      </c>
      <c r="F33" s="22">
        <v>1.8947368421052631</v>
      </c>
      <c r="G33" s="22">
        <v>0.90566037735849059</v>
      </c>
      <c r="M33" s="22"/>
      <c r="O33" s="11"/>
      <c r="P33" s="11"/>
    </row>
    <row r="34" spans="1:18" x14ac:dyDescent="0.3">
      <c r="A34" s="32" t="s">
        <v>156</v>
      </c>
      <c r="B34" s="22">
        <v>0.46070374791095631</v>
      </c>
      <c r="C34" s="22">
        <v>0.55250430839130427</v>
      </c>
      <c r="D34" s="22">
        <v>1130.5297017948424</v>
      </c>
      <c r="E34" s="11">
        <v>880.44618000000003</v>
      </c>
      <c r="F34" s="22">
        <v>13.894736842105264</v>
      </c>
      <c r="G34" s="22">
        <v>19.924528301886792</v>
      </c>
      <c r="M34" s="22"/>
      <c r="O34" s="11"/>
      <c r="P34" s="11"/>
      <c r="Q34" s="22"/>
      <c r="R34" s="22"/>
    </row>
    <row r="35" spans="1:18" x14ac:dyDescent="0.3">
      <c r="A35" s="32" t="s">
        <v>158</v>
      </c>
      <c r="B35" s="22">
        <v>0.37055487113392932</v>
      </c>
      <c r="C35" s="22">
        <v>0.42686038176405555</v>
      </c>
      <c r="D35" s="22">
        <v>1121.2187382895386</v>
      </c>
      <c r="E35" s="11">
        <v>965.06848100000002</v>
      </c>
      <c r="F35" s="22">
        <v>16.421052631578949</v>
      </c>
      <c r="G35" s="22">
        <v>19.245283018867923</v>
      </c>
      <c r="M35" s="22"/>
      <c r="O35" s="11"/>
      <c r="P35" s="11"/>
      <c r="Q35" s="22"/>
      <c r="R35" s="22"/>
    </row>
    <row r="36" spans="1:18" x14ac:dyDescent="0.3">
      <c r="A36" s="32" t="s">
        <v>160</v>
      </c>
      <c r="B36" s="22">
        <v>0.57531906155192547</v>
      </c>
      <c r="C36" s="22">
        <v>0.38211058067007936</v>
      </c>
      <c r="D36" s="22">
        <v>885.6715540167994</v>
      </c>
      <c r="E36" s="11">
        <v>1081.2457899999999</v>
      </c>
      <c r="F36" s="22">
        <v>9.473684210526315</v>
      </c>
      <c r="G36" s="22">
        <v>9.5094339622641506</v>
      </c>
      <c r="M36" s="22"/>
      <c r="O36" s="11"/>
      <c r="P36" s="11"/>
      <c r="Q36" s="22"/>
      <c r="R36" s="22"/>
    </row>
    <row r="37" spans="1:18" x14ac:dyDescent="0.3">
      <c r="A37" s="32" t="s">
        <v>162</v>
      </c>
      <c r="B37" s="22">
        <v>0.25530432420516375</v>
      </c>
      <c r="C37" s="22">
        <v>0.37952326079809451</v>
      </c>
      <c r="D37" s="22">
        <v>1104.9861332635192</v>
      </c>
      <c r="E37" s="11">
        <v>1308.4868899999999</v>
      </c>
      <c r="F37" s="22">
        <v>1.263157894736842</v>
      </c>
      <c r="G37" s="22">
        <v>0.67924528301886788</v>
      </c>
      <c r="M37" s="22"/>
      <c r="O37" s="11"/>
      <c r="P37" s="11"/>
      <c r="Q37" s="22"/>
      <c r="R37" s="22"/>
    </row>
    <row r="38" spans="1:18" x14ac:dyDescent="0.3">
      <c r="A38" s="32" t="s">
        <v>164</v>
      </c>
      <c r="B38" s="22">
        <v>0.36625037787557069</v>
      </c>
      <c r="C38" s="22">
        <v>0.42342443659427248</v>
      </c>
      <c r="D38" s="22">
        <v>1202.6343330711859</v>
      </c>
      <c r="E38" s="11">
        <v>1048.04531</v>
      </c>
      <c r="F38" s="22">
        <v>11.368421052631579</v>
      </c>
      <c r="G38" s="22">
        <v>12.226415094339623</v>
      </c>
      <c r="M38" s="22"/>
      <c r="O38" s="11"/>
      <c r="P38" s="11"/>
      <c r="Q38" s="22"/>
      <c r="R38" s="22"/>
    </row>
    <row r="39" spans="1:18" x14ac:dyDescent="0.3">
      <c r="A39" s="32" t="s">
        <v>166</v>
      </c>
      <c r="B39" s="22">
        <v>7.4399939999999998E-2</v>
      </c>
      <c r="C39" s="22">
        <v>1.4324430217004001</v>
      </c>
      <c r="D39" s="22">
        <f>D38/1.2</f>
        <v>1002.1952775593217</v>
      </c>
      <c r="E39" s="11">
        <v>1854.14582</v>
      </c>
      <c r="F39" s="22">
        <v>0.10325648</v>
      </c>
      <c r="G39" s="22">
        <v>0.22641509433962265</v>
      </c>
      <c r="M39" s="22"/>
      <c r="O39" s="11"/>
      <c r="P39" s="11"/>
      <c r="Q39" s="22"/>
      <c r="R39" s="22"/>
    </row>
    <row r="40" spans="1:18" x14ac:dyDescent="0.3">
      <c r="A40" s="32" t="s">
        <v>168</v>
      </c>
      <c r="B40" s="22">
        <v>0.28127725847967955</v>
      </c>
      <c r="C40" s="22">
        <v>0.40681437452076846</v>
      </c>
      <c r="D40" s="22">
        <v>1069.9083219902532</v>
      </c>
      <c r="E40" s="11">
        <v>966.90145399999994</v>
      </c>
      <c r="F40" s="22">
        <v>0.63157894736842102</v>
      </c>
      <c r="G40" s="22">
        <v>2.4905660377358489</v>
      </c>
      <c r="M40" s="22"/>
      <c r="O40" s="11"/>
      <c r="P40" s="11"/>
      <c r="Q40" s="22"/>
      <c r="R40" s="22"/>
    </row>
    <row r="41" spans="1:18" x14ac:dyDescent="0.3">
      <c r="A41" s="7" t="s">
        <v>173</v>
      </c>
      <c r="B41" s="22">
        <v>7.2993769999999999E-2</v>
      </c>
      <c r="C41" s="22">
        <v>0.48786092068067138</v>
      </c>
      <c r="D41" s="22">
        <f>D40/0.8</f>
        <v>1337.3854024878165</v>
      </c>
      <c r="E41" s="11">
        <v>835.88727100000006</v>
      </c>
      <c r="F41" s="22">
        <v>2.1315458399999998</v>
      </c>
      <c r="G41">
        <v>4</v>
      </c>
      <c r="M41" s="22"/>
      <c r="O41" s="11"/>
      <c r="P41" s="11"/>
      <c r="Q41" s="22"/>
      <c r="R41" s="22"/>
    </row>
    <row r="42" spans="1:18" x14ac:dyDescent="0.3">
      <c r="A42" s="7" t="s">
        <v>175</v>
      </c>
      <c r="B42" s="22">
        <v>0.40569486643464325</v>
      </c>
      <c r="C42" s="22">
        <v>0.44406513389856794</v>
      </c>
      <c r="D42" s="22">
        <v>847.6368744301617</v>
      </c>
      <c r="E42" s="11">
        <v>1006.83537</v>
      </c>
      <c r="F42" s="22">
        <v>1.3333333333333333</v>
      </c>
      <c r="G42">
        <v>2.2222222222222223</v>
      </c>
      <c r="M42" s="22"/>
      <c r="O42" s="11"/>
      <c r="P42" s="11"/>
      <c r="Q42" s="22"/>
      <c r="R42" s="22"/>
    </row>
    <row r="43" spans="1:18" x14ac:dyDescent="0.3">
      <c r="A43" s="7" t="s">
        <v>177</v>
      </c>
      <c r="B43" s="22">
        <v>0.45109733483930853</v>
      </c>
      <c r="C43" s="22">
        <v>0.52597453458359855</v>
      </c>
      <c r="D43" s="22">
        <v>1084.4527301284456</v>
      </c>
      <c r="E43" s="11">
        <v>962.29513999999995</v>
      </c>
      <c r="F43" s="22">
        <v>7.333333333333333</v>
      </c>
      <c r="G43">
        <v>6.666666666666667</v>
      </c>
      <c r="M43" s="22"/>
      <c r="N43" s="22"/>
      <c r="O43" s="11"/>
      <c r="P43" s="11"/>
      <c r="Q43" s="22"/>
      <c r="R43" s="22"/>
    </row>
    <row r="44" spans="1:18" x14ac:dyDescent="0.3">
      <c r="A44" s="7" t="s">
        <v>179</v>
      </c>
      <c r="B44" s="22">
        <v>7.2939939999999995E-2</v>
      </c>
      <c r="C44" s="22">
        <v>0.37176887484371951</v>
      </c>
      <c r="D44" s="22">
        <f>D43/0.8</f>
        <v>1355.5659126605569</v>
      </c>
      <c r="E44" s="11">
        <v>4146.6216999999997</v>
      </c>
      <c r="F44" s="22">
        <v>0.11232111</v>
      </c>
      <c r="G44">
        <v>0.22222222222222221</v>
      </c>
      <c r="M44" s="22"/>
      <c r="N44" s="22"/>
      <c r="O44" s="11"/>
      <c r="P44" s="11"/>
      <c r="Q44" s="22"/>
      <c r="R44" s="22"/>
    </row>
    <row r="45" spans="1:18" x14ac:dyDescent="0.3">
      <c r="A45" s="7" t="s">
        <v>181</v>
      </c>
      <c r="B45" s="22">
        <v>7.4399435E-2</v>
      </c>
      <c r="C45" s="22">
        <v>0.40700128425585569</v>
      </c>
      <c r="D45" s="22">
        <f>D44/1.2</f>
        <v>1129.6382605504641</v>
      </c>
      <c r="E45" s="11">
        <v>3473.63391</v>
      </c>
      <c r="F45" s="22">
        <v>0.11232111</v>
      </c>
      <c r="G45">
        <v>0.22222222222222221</v>
      </c>
      <c r="M45" s="22"/>
      <c r="N45" s="22"/>
      <c r="O45" s="11"/>
      <c r="P45" s="11"/>
      <c r="Q45" s="22"/>
      <c r="R45" s="22"/>
    </row>
    <row r="46" spans="1:18" x14ac:dyDescent="0.3">
      <c r="A46" s="7" t="s">
        <v>183</v>
      </c>
      <c r="B46" s="22">
        <v>9.3994225000000001E-2</v>
      </c>
      <c r="C46" s="22">
        <v>0.26140679374151449</v>
      </c>
      <c r="D46" s="22">
        <f>D45/1.2</f>
        <v>941.36521712538683</v>
      </c>
      <c r="E46" s="11">
        <v>4395.2816999999995</v>
      </c>
      <c r="F46" s="22">
        <v>0.11232111</v>
      </c>
      <c r="G46">
        <v>0.22222222222222221</v>
      </c>
      <c r="M46" s="22"/>
      <c r="N46" s="22"/>
      <c r="O46" s="11"/>
      <c r="P46" s="11"/>
      <c r="Q46" s="22"/>
      <c r="R46" s="22"/>
    </row>
    <row r="47" spans="1:18" x14ac:dyDescent="0.3">
      <c r="A47" s="7" t="s">
        <v>185</v>
      </c>
      <c r="B47" s="22">
        <v>0.26123364041260894</v>
      </c>
      <c r="C47" s="22">
        <v>0.85961544219770969</v>
      </c>
      <c r="D47" s="22">
        <v>2948.9338009320572</v>
      </c>
      <c r="E47" s="11">
        <v>3812.5682400000001</v>
      </c>
      <c r="F47" s="22">
        <v>0.66666666666666663</v>
      </c>
      <c r="G47">
        <v>0.66666666666666663</v>
      </c>
      <c r="M47" s="22"/>
      <c r="N47" s="22"/>
      <c r="O47" s="11"/>
      <c r="P47" s="11"/>
      <c r="Q47" s="22"/>
      <c r="R47" s="22"/>
    </row>
    <row r="48" spans="1:18" x14ac:dyDescent="0.3">
      <c r="A48" s="7" t="s">
        <v>187</v>
      </c>
      <c r="B48" s="22">
        <v>5.5561224999999999E-2</v>
      </c>
      <c r="C48" s="22">
        <v>0.3287402759937037</v>
      </c>
      <c r="D48" s="22">
        <f>D47/1.2</f>
        <v>2457.4448341100479</v>
      </c>
      <c r="E48" s="11">
        <v>1410.8882599999999</v>
      </c>
      <c r="F48" s="22">
        <v>0.33112468</v>
      </c>
      <c r="G48">
        <v>0.66666666666666663</v>
      </c>
      <c r="M48" s="22"/>
      <c r="N48" s="22"/>
      <c r="O48" s="11"/>
      <c r="P48" s="11"/>
      <c r="Q48" s="22"/>
      <c r="R48" s="22"/>
    </row>
    <row r="49" spans="1:18" x14ac:dyDescent="0.3">
      <c r="A49" s="7" t="s">
        <v>189</v>
      </c>
      <c r="B49" s="22">
        <v>7.4399414999999997E-2</v>
      </c>
      <c r="C49" s="22">
        <v>0.2556290599934315</v>
      </c>
      <c r="D49" s="22">
        <f>D48/1.2</f>
        <v>2047.8706950917067</v>
      </c>
      <c r="E49" s="11">
        <v>4606.2878600000004</v>
      </c>
      <c r="F49" s="22">
        <v>0.13454643999999999</v>
      </c>
      <c r="G49">
        <v>0.22222222222222221</v>
      </c>
      <c r="M49" s="22"/>
      <c r="N49" s="22"/>
      <c r="O49" s="11"/>
      <c r="P49" s="11"/>
      <c r="Q49" s="22"/>
      <c r="R49" s="22"/>
    </row>
    <row r="50" spans="1:18" x14ac:dyDescent="0.3">
      <c r="A50" s="7" t="s">
        <v>191</v>
      </c>
      <c r="B50" s="22">
        <v>7.2843989999999997E-2</v>
      </c>
      <c r="C50" s="22">
        <v>0.27788227494463397</v>
      </c>
      <c r="D50" s="22">
        <f>D49/1.2</f>
        <v>1706.5589125764222</v>
      </c>
      <c r="E50" s="11">
        <v>1375.16822</v>
      </c>
      <c r="F50" s="22">
        <v>0.21131546000000001</v>
      </c>
      <c r="G50">
        <v>0.44444444444444442</v>
      </c>
      <c r="M50" s="22"/>
      <c r="N50" s="22"/>
      <c r="O50" s="11"/>
      <c r="P50" s="11"/>
      <c r="Q50" s="22"/>
      <c r="R50" s="22"/>
    </row>
    <row r="51" spans="1:18" x14ac:dyDescent="0.3">
      <c r="A51" s="7" t="s">
        <v>193</v>
      </c>
      <c r="B51" s="22">
        <v>0.35441146669955803</v>
      </c>
      <c r="C51" s="22">
        <v>0.3701156669729862</v>
      </c>
      <c r="D51" s="22">
        <v>868.24841401041067</v>
      </c>
      <c r="E51" s="11">
        <v>1158.59475</v>
      </c>
      <c r="F51" s="22">
        <v>1.3333333333333333</v>
      </c>
      <c r="G51">
        <v>2</v>
      </c>
      <c r="M51" s="22"/>
      <c r="N51" s="22"/>
      <c r="O51" s="11"/>
      <c r="P51" s="11"/>
      <c r="Q51" s="22"/>
      <c r="R51" s="22"/>
    </row>
    <row r="52" spans="1:18" x14ac:dyDescent="0.3">
      <c r="A52" s="7" t="s">
        <v>195</v>
      </c>
      <c r="B52" s="22">
        <v>0.33415382488728773</v>
      </c>
      <c r="C52" s="22">
        <v>0.39473874925899854</v>
      </c>
      <c r="D52" s="22">
        <v>1140.3436903660627</v>
      </c>
      <c r="E52" s="11">
        <v>1143.26016</v>
      </c>
      <c r="F52" s="22">
        <v>10</v>
      </c>
      <c r="G52">
        <v>11.333333333333334</v>
      </c>
      <c r="M52" s="22"/>
      <c r="N52" s="22"/>
      <c r="O52" s="11"/>
      <c r="P52" s="11"/>
      <c r="Q52" s="22"/>
      <c r="R52" s="22"/>
    </row>
    <row r="53" spans="1:18" x14ac:dyDescent="0.3">
      <c r="A53" s="7" t="s">
        <v>196</v>
      </c>
      <c r="B53" s="22">
        <v>0.31701958276792042</v>
      </c>
      <c r="C53" s="22">
        <v>0.3484891598182483</v>
      </c>
      <c r="D53" s="22">
        <v>1251.5940868708474</v>
      </c>
      <c r="E53" s="11">
        <v>1075.3050499999999</v>
      </c>
      <c r="F53" s="22">
        <v>6.666666666666667</v>
      </c>
      <c r="G53">
        <v>10.666666666666666</v>
      </c>
      <c r="M53" s="22"/>
      <c r="N53" s="22"/>
      <c r="O53" s="11"/>
      <c r="P53" s="11"/>
      <c r="Q53" s="22"/>
      <c r="R53" s="22"/>
    </row>
    <row r="54" spans="1:18" x14ac:dyDescent="0.3">
      <c r="A54" s="7" t="s">
        <v>197</v>
      </c>
      <c r="B54" s="22">
        <v>8.8944935000000003E-2</v>
      </c>
      <c r="C54" s="22">
        <v>1.2473594685048277</v>
      </c>
      <c r="D54" s="22">
        <f>D53/1.2</f>
        <v>1042.9950723923728</v>
      </c>
      <c r="E54" s="11">
        <v>3107.8868900000002</v>
      </c>
      <c r="F54" s="22">
        <v>0.33154660000000002</v>
      </c>
      <c r="G54">
        <v>0.66666666666666663</v>
      </c>
      <c r="M54" s="22"/>
      <c r="N54" s="22"/>
      <c r="O54" s="11"/>
      <c r="P54" s="11"/>
      <c r="Q54" s="22"/>
      <c r="R54" s="22"/>
    </row>
    <row r="55" spans="1:18" x14ac:dyDescent="0.3">
      <c r="A55" s="7" t="s">
        <v>198</v>
      </c>
      <c r="B55" s="22">
        <v>0.33267122300873425</v>
      </c>
      <c r="C55" s="22">
        <v>0.33914093456702832</v>
      </c>
      <c r="D55" s="22">
        <v>1091.8185423500313</v>
      </c>
      <c r="E55" s="11">
        <v>1311.13087</v>
      </c>
      <c r="F55" s="22">
        <v>2.6666666666666665</v>
      </c>
      <c r="G55">
        <v>4.666666666666667</v>
      </c>
      <c r="M55" s="22"/>
      <c r="N55" s="22"/>
      <c r="O55" s="11"/>
      <c r="P55" s="11"/>
      <c r="Q55" s="22"/>
      <c r="R55" s="22"/>
    </row>
    <row r="56" spans="1:18" x14ac:dyDescent="0.3">
      <c r="A56" s="7" t="s">
        <v>199</v>
      </c>
      <c r="B56" s="22">
        <v>7.4493925000000003E-2</v>
      </c>
      <c r="C56" s="22">
        <v>0.37553752531320322</v>
      </c>
      <c r="D56" s="22">
        <f>D55/1.2</f>
        <v>909.84878529169282</v>
      </c>
      <c r="E56" s="11">
        <v>1450.52539</v>
      </c>
      <c r="F56" s="22">
        <v>0.21321560000000001</v>
      </c>
      <c r="G56">
        <v>0.44444444444444442</v>
      </c>
      <c r="M56" s="22"/>
      <c r="N56" s="22"/>
      <c r="O56" s="11"/>
      <c r="P56" s="11"/>
      <c r="Q56" s="22"/>
      <c r="R56" s="22"/>
    </row>
    <row r="57" spans="1:18" x14ac:dyDescent="0.3">
      <c r="A57" s="7" t="s">
        <v>200</v>
      </c>
      <c r="B57" s="22">
        <v>0.52655938764075227</v>
      </c>
      <c r="C57" s="22">
        <v>0.58681664108148757</v>
      </c>
      <c r="D57" s="22">
        <v>804.18265311027881</v>
      </c>
      <c r="E57" s="11">
        <v>939.24001499999997</v>
      </c>
      <c r="F57" s="22">
        <v>1</v>
      </c>
      <c r="G57">
        <v>1.1111111111111112</v>
      </c>
      <c r="M57" s="22"/>
      <c r="N57" s="22"/>
      <c r="O57" s="11"/>
      <c r="P57" s="11"/>
      <c r="Q57" s="22"/>
      <c r="R57" s="22"/>
    </row>
    <row r="58" spans="1:18" x14ac:dyDescent="0.3">
      <c r="A58" s="7" t="s">
        <v>201</v>
      </c>
      <c r="B58" s="22">
        <v>0.32063890932169459</v>
      </c>
      <c r="C58" s="22">
        <v>0.55982306311672769</v>
      </c>
      <c r="D58" s="22">
        <v>1670.4897437015206</v>
      </c>
      <c r="E58" s="11">
        <v>759.78644499999996</v>
      </c>
      <c r="F58" s="22">
        <v>2.6666666666666665</v>
      </c>
      <c r="G58">
        <v>3.3333333333333335</v>
      </c>
      <c r="M58" s="22"/>
      <c r="N58" s="22"/>
      <c r="O58" s="11"/>
      <c r="P58" s="11"/>
      <c r="Q58" s="22"/>
      <c r="R58" s="22"/>
    </row>
    <row r="59" spans="1:18" x14ac:dyDescent="0.3">
      <c r="A59" s="7" t="s">
        <v>202</v>
      </c>
      <c r="B59" s="22">
        <v>0.46943791620488795</v>
      </c>
      <c r="C59" s="22">
        <v>0.57545806051431747</v>
      </c>
      <c r="D59" s="22">
        <v>1477.8393364447472</v>
      </c>
      <c r="E59" s="11">
        <v>1279.8398</v>
      </c>
      <c r="F59" s="22">
        <v>4.666666666666667</v>
      </c>
      <c r="G59">
        <v>4.8888888888888893</v>
      </c>
      <c r="M59" s="22"/>
      <c r="N59" s="22"/>
      <c r="O59" s="11"/>
      <c r="P59" s="11"/>
      <c r="Q59" s="22"/>
      <c r="R59" s="22"/>
    </row>
    <row r="60" spans="1:18" x14ac:dyDescent="0.3">
      <c r="A60" s="7" t="s">
        <v>203</v>
      </c>
      <c r="B60" s="22">
        <v>0.45818195668054468</v>
      </c>
      <c r="C60" s="22">
        <v>0.55578972044846098</v>
      </c>
      <c r="D60" s="22">
        <v>1503.7344554542262</v>
      </c>
      <c r="E60" s="11">
        <v>1893.0773799999999</v>
      </c>
      <c r="F60" s="22">
        <v>2</v>
      </c>
      <c r="G60">
        <v>2.4444444444444446</v>
      </c>
      <c r="M60" s="22"/>
      <c r="N60" s="22"/>
      <c r="O60" s="11"/>
      <c r="P60" s="11"/>
      <c r="Q60" s="22"/>
      <c r="R60" s="22"/>
    </row>
    <row r="61" spans="1:18" x14ac:dyDescent="0.3">
      <c r="A61" s="7" t="s">
        <v>204</v>
      </c>
      <c r="B61" s="22">
        <v>0.29222647767003057</v>
      </c>
      <c r="C61" s="22">
        <v>0.38883587999081798</v>
      </c>
      <c r="D61" s="22">
        <v>1385.229270824341</v>
      </c>
      <c r="E61" s="11">
        <v>1574.27154</v>
      </c>
      <c r="F61" s="22">
        <v>4</v>
      </c>
      <c r="G61">
        <v>2.6666666666666665</v>
      </c>
      <c r="M61" s="22"/>
      <c r="N61" s="22"/>
      <c r="O61" s="11"/>
      <c r="P61" s="11"/>
      <c r="Q61" s="22"/>
      <c r="R61" s="22"/>
    </row>
    <row r="62" spans="1:18" x14ac:dyDescent="0.3">
      <c r="A62" s="7" t="s">
        <v>205</v>
      </c>
      <c r="B62" s="22">
        <v>0.3377065987272207</v>
      </c>
      <c r="C62" s="22">
        <v>0.44202155333881926</v>
      </c>
      <c r="D62" s="22">
        <v>751.50777377361885</v>
      </c>
      <c r="E62" s="11">
        <v>990.33959800000002</v>
      </c>
      <c r="F62" s="22">
        <v>3.3333333333333335</v>
      </c>
      <c r="G62">
        <v>9.1111111111111107</v>
      </c>
      <c r="M62" s="22"/>
      <c r="N62" s="22"/>
      <c r="O62" s="11"/>
      <c r="P62" s="11"/>
      <c r="Q62" s="22"/>
      <c r="R62" s="22"/>
    </row>
    <row r="63" spans="1:18" x14ac:dyDescent="0.3">
      <c r="A63" s="7" t="s">
        <v>206</v>
      </c>
      <c r="B63" s="22">
        <v>0.42126274017846549</v>
      </c>
      <c r="C63" s="22">
        <v>0.46586998794858703</v>
      </c>
      <c r="D63" s="22">
        <v>1263.0127449364372</v>
      </c>
      <c r="E63" s="11">
        <v>1345.6232199999999</v>
      </c>
      <c r="F63" s="22">
        <v>10</v>
      </c>
      <c r="G63">
        <v>10.666666666666666</v>
      </c>
      <c r="M63" s="22"/>
      <c r="N63" s="22"/>
      <c r="O63" s="11"/>
      <c r="P63" s="11"/>
    </row>
    <row r="64" spans="1:18" x14ac:dyDescent="0.3">
      <c r="A64" s="7" t="s">
        <v>207</v>
      </c>
      <c r="B64" s="22">
        <v>0.38765888682463073</v>
      </c>
      <c r="C64" s="22">
        <v>0.62485369442948002</v>
      </c>
      <c r="D64" s="22">
        <v>1166.71370793756</v>
      </c>
      <c r="E64" s="11">
        <v>1182.40942</v>
      </c>
      <c r="F64" s="22">
        <v>7.333333333333333</v>
      </c>
      <c r="G64">
        <v>7.333333333333333</v>
      </c>
      <c r="M64" s="22"/>
      <c r="N64" s="22"/>
      <c r="O64" s="11"/>
      <c r="P64" s="11"/>
    </row>
    <row r="65" spans="1:16" x14ac:dyDescent="0.3">
      <c r="A65" s="7" t="s">
        <v>208</v>
      </c>
      <c r="B65" s="22">
        <v>0.34440247757999443</v>
      </c>
      <c r="C65" s="22">
        <v>0.39190267484818925</v>
      </c>
      <c r="D65" s="22">
        <v>1212.7609239119051</v>
      </c>
      <c r="E65" s="11">
        <v>1270.4254699999999</v>
      </c>
      <c r="F65" s="22">
        <v>6.666666666666667</v>
      </c>
      <c r="G65">
        <v>6.666666666666667</v>
      </c>
      <c r="M65" s="22"/>
      <c r="N65" s="22"/>
      <c r="O65" s="11"/>
      <c r="P65" s="11"/>
    </row>
    <row r="66" spans="1:16" x14ac:dyDescent="0.3">
      <c r="A66" s="7" t="s">
        <v>209</v>
      </c>
      <c r="B66" s="22">
        <v>7.2744934999999997E-2</v>
      </c>
      <c r="C66" s="22">
        <v>0.31334418181544627</v>
      </c>
      <c r="D66" s="22">
        <f>D65/1.2</f>
        <v>1010.6341032599209</v>
      </c>
      <c r="E66" s="11">
        <v>1057.5826099999999</v>
      </c>
      <c r="F66" s="22">
        <v>0.22311333</v>
      </c>
      <c r="G66">
        <v>0.44444444444444442</v>
      </c>
      <c r="M66" s="22"/>
      <c r="N66" s="22"/>
      <c r="O66" s="11"/>
      <c r="P66" s="11"/>
    </row>
    <row r="67" spans="1:16" x14ac:dyDescent="0.3">
      <c r="A67" s="7" t="s">
        <v>210</v>
      </c>
      <c r="B67" s="22">
        <v>0.31743800271209849</v>
      </c>
      <c r="C67" s="22">
        <v>0.43986722985128135</v>
      </c>
      <c r="D67" s="22">
        <v>2106.7379752897832</v>
      </c>
      <c r="E67" s="11">
        <v>2463.4745200000002</v>
      </c>
      <c r="F67" s="22">
        <v>0.66666666666666663</v>
      </c>
      <c r="G67">
        <v>0.66666666666666663</v>
      </c>
      <c r="M67" s="22"/>
      <c r="N67" s="22"/>
      <c r="O67" s="11"/>
      <c r="P67" s="11"/>
    </row>
    <row r="68" spans="1:16" x14ac:dyDescent="0.3">
      <c r="A68" s="7" t="s">
        <v>211</v>
      </c>
      <c r="B68" s="22">
        <v>0.37749062638590392</v>
      </c>
      <c r="C68" s="22">
        <v>0.3881758776611805</v>
      </c>
      <c r="D68" s="22">
        <v>1095.559191536767</v>
      </c>
      <c r="E68" s="11">
        <v>1095.9736800000001</v>
      </c>
      <c r="F68" s="22">
        <v>3.3333333333333335</v>
      </c>
      <c r="G68">
        <v>3.7777777777777777</v>
      </c>
      <c r="M68" s="22"/>
      <c r="N68" s="22"/>
      <c r="O68" s="11"/>
      <c r="P68" s="11"/>
    </row>
    <row r="69" spans="1:16" x14ac:dyDescent="0.3">
      <c r="A69" s="7" t="s">
        <v>212</v>
      </c>
      <c r="B69" s="22">
        <v>0.39239267527797261</v>
      </c>
      <c r="C69" s="22">
        <v>0.37951275002513946</v>
      </c>
      <c r="D69" s="22">
        <v>1104.5317198716473</v>
      </c>
      <c r="E69" s="11">
        <v>1200.68797</v>
      </c>
      <c r="F69" s="22">
        <v>7.333333333333333</v>
      </c>
      <c r="G69">
        <v>8.4444444444444446</v>
      </c>
      <c r="M69" s="22"/>
      <c r="N69" s="22"/>
      <c r="O69" s="11"/>
      <c r="P69" s="11"/>
    </row>
    <row r="70" spans="1:16" x14ac:dyDescent="0.3">
      <c r="A70" s="7" t="s">
        <v>213</v>
      </c>
      <c r="B70" s="22">
        <v>0.43467190629727021</v>
      </c>
      <c r="C70" s="22">
        <v>0.43449571329520625</v>
      </c>
      <c r="D70" s="22">
        <v>928.14472263017399</v>
      </c>
      <c r="E70" s="11">
        <v>1681.2695900000001</v>
      </c>
      <c r="F70" s="22">
        <v>6.666666666666667</v>
      </c>
      <c r="G70">
        <v>3.7777777777777777</v>
      </c>
      <c r="M70" s="22"/>
      <c r="N70" s="22"/>
      <c r="O70" s="11"/>
      <c r="P70" s="11"/>
    </row>
    <row r="71" spans="1:16" x14ac:dyDescent="0.3">
      <c r="A71" s="7" t="s">
        <v>214</v>
      </c>
      <c r="B71" s="22">
        <v>0.59472443722345758</v>
      </c>
      <c r="C71" s="22">
        <v>0.61145173880918058</v>
      </c>
      <c r="D71" s="22">
        <v>940.40230550023273</v>
      </c>
      <c r="E71" s="11">
        <v>1015.6105</v>
      </c>
      <c r="F71" s="22">
        <v>18.666666666666668</v>
      </c>
      <c r="G71">
        <v>21.777777777777779</v>
      </c>
      <c r="M71" s="22"/>
      <c r="N71" s="22"/>
      <c r="O71" s="11"/>
      <c r="P71" s="11"/>
    </row>
    <row r="72" spans="1:16" x14ac:dyDescent="0.3">
      <c r="A72" s="7" t="s">
        <v>215</v>
      </c>
      <c r="B72" s="22">
        <v>0.45439541026677255</v>
      </c>
      <c r="C72" s="22">
        <v>0.35933431629906232</v>
      </c>
      <c r="D72" s="22">
        <v>1050.4246573477583</v>
      </c>
      <c r="E72" s="11">
        <v>1025.4566600000001</v>
      </c>
      <c r="F72" s="22">
        <v>13.333333333333334</v>
      </c>
      <c r="G72">
        <v>15.333333333333334</v>
      </c>
      <c r="M72" s="22"/>
      <c r="N72" s="22"/>
      <c r="O72" s="11"/>
      <c r="P72" s="11"/>
    </row>
    <row r="73" spans="1:16" x14ac:dyDescent="0.3">
      <c r="A73" s="7" t="s">
        <v>216</v>
      </c>
      <c r="B73" s="22">
        <v>0.35206057441887889</v>
      </c>
      <c r="C73" s="22">
        <v>0.39843371688201107</v>
      </c>
      <c r="D73" s="22">
        <v>1069.8523607127456</v>
      </c>
      <c r="E73" s="11">
        <v>1052.5507600000001</v>
      </c>
      <c r="F73" s="22">
        <v>7.333333333333333</v>
      </c>
      <c r="G73">
        <v>10</v>
      </c>
      <c r="M73" s="22"/>
      <c r="N73" s="22"/>
      <c r="O73" s="11"/>
      <c r="P73" s="11"/>
    </row>
    <row r="74" spans="1:16" x14ac:dyDescent="0.3">
      <c r="A74" s="7" t="s">
        <v>217</v>
      </c>
      <c r="B74" s="22">
        <v>0.27586303043025634</v>
      </c>
      <c r="C74" s="22">
        <v>0.6533633706033225</v>
      </c>
      <c r="D74" s="22">
        <v>977.82488419797301</v>
      </c>
      <c r="E74" s="11">
        <v>1219.0542399999999</v>
      </c>
      <c r="F74" s="22">
        <v>2</v>
      </c>
      <c r="G74">
        <v>3.3333333333333335</v>
      </c>
      <c r="M74" s="22"/>
      <c r="N74" s="22"/>
      <c r="O74" s="11"/>
      <c r="P74" s="11"/>
    </row>
    <row r="75" spans="1:16" x14ac:dyDescent="0.3">
      <c r="A75" s="7" t="s">
        <v>218</v>
      </c>
      <c r="B75" s="22">
        <v>0.35748722687086726</v>
      </c>
      <c r="C75" s="22">
        <v>0.39050220734489499</v>
      </c>
      <c r="D75" s="22">
        <v>1443.8365395115029</v>
      </c>
      <c r="E75" s="11">
        <v>1427.06531</v>
      </c>
      <c r="F75" s="22">
        <v>6.666666666666667</v>
      </c>
      <c r="G75">
        <v>8.2222222222222214</v>
      </c>
      <c r="M75" s="22"/>
      <c r="N75" s="22"/>
      <c r="O75" s="11"/>
      <c r="P75" s="11"/>
    </row>
    <row r="76" spans="1:16" x14ac:dyDescent="0.3">
      <c r="A76" s="32" t="s">
        <v>170</v>
      </c>
      <c r="B76" s="22">
        <v>0.37907996335086891</v>
      </c>
      <c r="C76" s="22">
        <v>0.55368612960042851</v>
      </c>
      <c r="D76" s="22">
        <v>1034.2176924499017</v>
      </c>
      <c r="E76" s="11">
        <v>1042.7428199999999</v>
      </c>
      <c r="F76" s="22">
        <v>5.333333333333333</v>
      </c>
      <c r="G76" s="22">
        <v>4.8888888888888893</v>
      </c>
      <c r="M76" s="22"/>
      <c r="O76" s="11"/>
      <c r="P76" s="11"/>
    </row>
    <row r="77" spans="1:16" x14ac:dyDescent="0.3">
      <c r="A77" s="32" t="s">
        <v>172</v>
      </c>
      <c r="B77" s="22">
        <v>0.35489000080012634</v>
      </c>
      <c r="C77" s="22">
        <v>0.34737970566094178</v>
      </c>
      <c r="D77" s="22">
        <v>1329.0544040916486</v>
      </c>
      <c r="E77" s="11">
        <v>1152.09601</v>
      </c>
      <c r="F77" s="22">
        <v>9.3333333333333339</v>
      </c>
      <c r="G77" s="22">
        <v>10.444444444444445</v>
      </c>
      <c r="M77" s="22"/>
      <c r="O77" s="11"/>
      <c r="P77" s="11"/>
    </row>
    <row r="78" spans="1:16" x14ac:dyDescent="0.3">
      <c r="A78" s="32" t="s">
        <v>174</v>
      </c>
      <c r="B78" s="22">
        <v>0.48735184525349806</v>
      </c>
      <c r="C78" s="22">
        <v>0.92180911298143497</v>
      </c>
      <c r="D78" s="22">
        <v>962.09358799241159</v>
      </c>
      <c r="E78" s="11">
        <v>1279.91722</v>
      </c>
      <c r="F78" s="22">
        <v>20</v>
      </c>
      <c r="G78" s="22">
        <v>20.666666666666668</v>
      </c>
      <c r="M78" s="22"/>
      <c r="N78" s="22"/>
      <c r="O78" s="11"/>
      <c r="P78" s="11"/>
    </row>
    <row r="79" spans="1:16" x14ac:dyDescent="0.3">
      <c r="A79" s="32" t="s">
        <v>176</v>
      </c>
      <c r="B79" s="22">
        <v>0.34493219871112252</v>
      </c>
      <c r="C79" s="22">
        <v>0.54362840833029058</v>
      </c>
      <c r="D79" s="22">
        <v>994.0764371304947</v>
      </c>
      <c r="E79" s="11">
        <v>876.09950300000003</v>
      </c>
      <c r="F79" s="22">
        <v>14</v>
      </c>
      <c r="G79" s="22">
        <v>16.666666666666668</v>
      </c>
      <c r="M79" s="22"/>
      <c r="N79" s="22"/>
      <c r="O79" s="11"/>
      <c r="P79" s="11"/>
    </row>
    <row r="80" spans="1:16" x14ac:dyDescent="0.3">
      <c r="A80" s="32" t="s">
        <v>178</v>
      </c>
      <c r="B80" s="22">
        <v>7.2243874999999999E-2</v>
      </c>
      <c r="C80" s="22">
        <v>0.35695006626755599</v>
      </c>
      <c r="D80" s="22">
        <f>D79/1.2</f>
        <v>828.39703094207891</v>
      </c>
      <c r="E80" s="11">
        <v>3487.01478</v>
      </c>
      <c r="F80" s="22">
        <v>0.1131215</v>
      </c>
      <c r="G80" s="22">
        <v>0.22222222222222221</v>
      </c>
      <c r="M80" s="22"/>
      <c r="N80" s="22"/>
      <c r="O80" s="11"/>
      <c r="P80" s="11"/>
    </row>
    <row r="81" spans="1:16" x14ac:dyDescent="0.3">
      <c r="A81" s="32" t="s">
        <v>180</v>
      </c>
      <c r="B81" s="22">
        <v>0.45195777316140651</v>
      </c>
      <c r="C81" s="22">
        <v>0.49665649393530847</v>
      </c>
      <c r="D81" s="22">
        <v>1042.2488505811907</v>
      </c>
      <c r="E81" s="11">
        <v>1497.16741</v>
      </c>
      <c r="F81" s="22">
        <v>2.6666666666666665</v>
      </c>
      <c r="G81" s="22">
        <v>3.3333333333333335</v>
      </c>
      <c r="M81" s="22"/>
      <c r="N81" s="22"/>
      <c r="O81" s="11"/>
      <c r="P81" s="11"/>
    </row>
    <row r="82" spans="1:16" x14ac:dyDescent="0.3">
      <c r="A82" s="33" t="s">
        <v>182</v>
      </c>
      <c r="B82" s="22">
        <v>0.67200370724530045</v>
      </c>
      <c r="C82" s="22">
        <v>0.97372339689594001</v>
      </c>
      <c r="D82" s="22">
        <v>942.832254188604</v>
      </c>
      <c r="E82" s="11">
        <v>1142.1051399999999</v>
      </c>
      <c r="F82" s="22">
        <v>8.6666666666666661</v>
      </c>
      <c r="G82" s="22">
        <v>6</v>
      </c>
      <c r="M82" s="22"/>
      <c r="N82" s="22"/>
      <c r="O82" s="11"/>
      <c r="P82" s="11"/>
    </row>
    <row r="83" spans="1:16" x14ac:dyDescent="0.3">
      <c r="A83" s="32" t="s">
        <v>184</v>
      </c>
      <c r="B83" s="22">
        <v>0.34181606957542965</v>
      </c>
      <c r="C83" s="22">
        <v>0.36353626297811026</v>
      </c>
      <c r="D83" s="22">
        <v>916.57128150442259</v>
      </c>
      <c r="E83" s="11">
        <v>1246.66632</v>
      </c>
      <c r="F83" s="22">
        <v>4.666666666666667</v>
      </c>
      <c r="G83" s="22">
        <v>3.5555555555555554</v>
      </c>
      <c r="M83" s="22"/>
      <c r="N83" s="22"/>
      <c r="O83" s="11"/>
      <c r="P83" s="11"/>
    </row>
    <row r="84" spans="1:16" x14ac:dyDescent="0.3">
      <c r="A84" s="32" t="s">
        <v>186</v>
      </c>
      <c r="B84" s="22">
        <v>0.56894777420508968</v>
      </c>
      <c r="C84" s="22">
        <v>0.95926298106594499</v>
      </c>
      <c r="D84" s="22">
        <v>2326.0740427191604</v>
      </c>
      <c r="E84" s="11">
        <v>2479.6464599999999</v>
      </c>
      <c r="F84" s="22">
        <v>3.3333333333333335</v>
      </c>
      <c r="G84" s="22">
        <v>4.8888888888888893</v>
      </c>
      <c r="M84" s="22"/>
      <c r="N84" s="22"/>
      <c r="O84" s="11"/>
      <c r="P84" s="11"/>
    </row>
    <row r="85" spans="1:16" x14ac:dyDescent="0.3">
      <c r="A85" s="32" t="s">
        <v>188</v>
      </c>
      <c r="B85" s="22">
        <v>0.43285759435562676</v>
      </c>
      <c r="C85" s="22">
        <v>0.53657410490047419</v>
      </c>
      <c r="D85" s="22">
        <v>948.5059188386831</v>
      </c>
      <c r="E85" s="11">
        <v>916.82687099999998</v>
      </c>
      <c r="F85" s="22">
        <v>6.666666666666667</v>
      </c>
      <c r="G85" s="22">
        <v>4.666666666666667</v>
      </c>
      <c r="M85" s="22"/>
      <c r="N85" s="22"/>
      <c r="O85" s="11"/>
      <c r="P85" s="11"/>
    </row>
    <row r="86" spans="1:16" x14ac:dyDescent="0.3">
      <c r="A86" s="32" t="s">
        <v>190</v>
      </c>
      <c r="B86" s="22">
        <v>0.31059399475156335</v>
      </c>
      <c r="C86" s="22">
        <v>0.3612358093887334</v>
      </c>
      <c r="D86" s="22">
        <v>969.64870211109951</v>
      </c>
      <c r="E86" s="11">
        <v>1099.84593</v>
      </c>
      <c r="F86" s="22">
        <v>13.333333333333334</v>
      </c>
      <c r="G86" s="22">
        <v>10.444444444444445</v>
      </c>
      <c r="M86" s="22"/>
      <c r="N86" s="22"/>
      <c r="O86" s="11"/>
      <c r="P86" s="11"/>
    </row>
    <row r="87" spans="1:16" x14ac:dyDescent="0.3">
      <c r="A87" s="32" t="s">
        <v>192</v>
      </c>
      <c r="B87" s="22">
        <v>0.28163918227579604</v>
      </c>
      <c r="C87" s="22">
        <v>0.30108654870506835</v>
      </c>
      <c r="D87" s="22">
        <v>1288.3992857913545</v>
      </c>
      <c r="E87" s="11">
        <v>1417.9166399999999</v>
      </c>
      <c r="F87" s="22">
        <v>2</v>
      </c>
      <c r="G87" s="22">
        <v>2.2222222222222223</v>
      </c>
      <c r="M87" s="22"/>
      <c r="N87" s="22"/>
      <c r="O87" s="11"/>
      <c r="P87" s="11"/>
    </row>
    <row r="88" spans="1:16" x14ac:dyDescent="0.3">
      <c r="A88" s="32" t="s">
        <v>194</v>
      </c>
      <c r="B88" s="22">
        <v>0.35975698982134785</v>
      </c>
      <c r="C88" s="22">
        <v>0.38566492877316599</v>
      </c>
      <c r="D88" s="22">
        <v>757.96436728772642</v>
      </c>
      <c r="E88" s="11">
        <v>926.35781199999997</v>
      </c>
      <c r="F88" s="22">
        <v>2.6666666666666665</v>
      </c>
      <c r="G88" s="22">
        <v>4.4444444444444446</v>
      </c>
      <c r="M88" s="22"/>
      <c r="N88" s="22"/>
      <c r="O88" s="11"/>
      <c r="P88" s="11"/>
    </row>
    <row r="89" spans="1:16" x14ac:dyDescent="0.3">
      <c r="O89" s="11"/>
      <c r="P89" s="11"/>
    </row>
    <row r="90" spans="1:16" x14ac:dyDescent="0.3">
      <c r="O90" s="11"/>
      <c r="P90" s="11"/>
    </row>
    <row r="91" spans="1:16" x14ac:dyDescent="0.3">
      <c r="O91" s="11"/>
      <c r="P91" s="11"/>
    </row>
    <row r="92" spans="1:16" x14ac:dyDescent="0.3">
      <c r="A92" t="s">
        <v>15</v>
      </c>
      <c r="B92" s="11">
        <v>0.318</v>
      </c>
      <c r="C92" s="11">
        <v>0.48870000000000002</v>
      </c>
      <c r="D92" s="11">
        <v>1214</v>
      </c>
      <c r="E92" s="11">
        <v>1431</v>
      </c>
      <c r="F92" s="11">
        <v>4.78</v>
      </c>
      <c r="G92" s="11">
        <v>5.4610000000000003</v>
      </c>
      <c r="O92" s="11"/>
      <c r="P92" s="11"/>
    </row>
    <row r="93" spans="1:16" x14ac:dyDescent="0.3">
      <c r="A93" t="s">
        <v>380</v>
      </c>
      <c r="B93" s="11">
        <v>1.677E-2</v>
      </c>
      <c r="C93" s="11">
        <v>2.639E-2</v>
      </c>
      <c r="D93" s="11">
        <v>45.69</v>
      </c>
      <c r="E93" s="11">
        <v>87.96</v>
      </c>
      <c r="F93" s="11">
        <v>0.55679999999999996</v>
      </c>
      <c r="G93" s="11">
        <v>0.63029999999999997</v>
      </c>
      <c r="O93" s="11"/>
      <c r="P93" s="11"/>
    </row>
    <row r="94" spans="1:16" x14ac:dyDescent="0.3">
      <c r="O94" s="11"/>
      <c r="P94" s="11"/>
    </row>
    <row r="95" spans="1:16" x14ac:dyDescent="0.3">
      <c r="A95" s="31" t="s">
        <v>392</v>
      </c>
      <c r="B95" s="11"/>
      <c r="C95" s="22"/>
      <c r="D95" s="22" t="s">
        <v>449</v>
      </c>
      <c r="E95" s="22"/>
      <c r="O95" s="11"/>
      <c r="P95" s="11"/>
    </row>
    <row r="96" spans="1:16" x14ac:dyDescent="0.3">
      <c r="A96" t="s">
        <v>365</v>
      </c>
      <c r="B96" s="22" t="s">
        <v>444</v>
      </c>
      <c r="C96" s="22" t="s">
        <v>445</v>
      </c>
      <c r="D96" s="22" t="s">
        <v>446</v>
      </c>
      <c r="O96" s="11"/>
      <c r="P96" s="11"/>
    </row>
    <row r="97" spans="1:55" x14ac:dyDescent="0.3">
      <c r="A97" s="24" t="s">
        <v>393</v>
      </c>
      <c r="B97" s="11" t="s">
        <v>386</v>
      </c>
      <c r="C97" s="11">
        <v>9.7000000000000003E-3</v>
      </c>
      <c r="D97" s="11">
        <v>1E-4</v>
      </c>
      <c r="O97" s="11"/>
      <c r="P97" s="11"/>
    </row>
    <row r="98" spans="1:55" x14ac:dyDescent="0.3">
      <c r="O98" s="11"/>
      <c r="P98" s="11"/>
    </row>
    <row r="99" spans="1:55" x14ac:dyDescent="0.3">
      <c r="O99" s="11"/>
      <c r="P99" s="11"/>
    </row>
    <row r="100" spans="1:55" x14ac:dyDescent="0.3">
      <c r="O100" s="11"/>
      <c r="P100" s="11"/>
    </row>
    <row r="101" spans="1:55" x14ac:dyDescent="0.3">
      <c r="O101" s="11"/>
      <c r="P101" s="11"/>
    </row>
    <row r="102" spans="1:55" x14ac:dyDescent="0.3">
      <c r="A102" s="22"/>
      <c r="B102" s="22" t="s">
        <v>40</v>
      </c>
      <c r="C102" s="22" t="s">
        <v>34</v>
      </c>
      <c r="D102" s="22" t="s">
        <v>40</v>
      </c>
      <c r="E102" s="22" t="s">
        <v>34</v>
      </c>
      <c r="F102" s="22" t="s">
        <v>40</v>
      </c>
      <c r="G102" s="22" t="s">
        <v>34</v>
      </c>
      <c r="N102" s="22"/>
      <c r="O102" s="11"/>
      <c r="P102" s="11"/>
      <c r="Q102" s="22"/>
      <c r="R102" s="22"/>
    </row>
    <row r="103" spans="1:55" x14ac:dyDescent="0.3">
      <c r="A103" s="22"/>
      <c r="B103" s="22" t="s">
        <v>444</v>
      </c>
      <c r="C103" s="22" t="s">
        <v>444</v>
      </c>
      <c r="D103" s="22" t="s">
        <v>445</v>
      </c>
      <c r="E103" s="22" t="s">
        <v>445</v>
      </c>
      <c r="F103" s="22" t="s">
        <v>446</v>
      </c>
      <c r="G103" s="22" t="s">
        <v>446</v>
      </c>
      <c r="N103" s="22"/>
      <c r="O103" s="11"/>
      <c r="P103" s="11"/>
      <c r="Q103" s="22"/>
      <c r="R103" s="22"/>
      <c r="U103" s="35"/>
      <c r="AA103" s="35"/>
      <c r="AI103" s="35"/>
      <c r="AO103" s="35"/>
      <c r="AW103" s="35"/>
      <c r="BC103" s="35"/>
    </row>
    <row r="104" spans="1:55" x14ac:dyDescent="0.3">
      <c r="A104" s="7" t="s">
        <v>219</v>
      </c>
      <c r="B104" s="22">
        <v>0.33195078100043324</v>
      </c>
      <c r="C104" s="22">
        <v>0.44112282097488448</v>
      </c>
      <c r="D104" s="22">
        <v>1361.8163259600874</v>
      </c>
      <c r="E104" s="22">
        <v>1781.1118880702916</v>
      </c>
      <c r="F104" s="22">
        <v>2.5263157894736841</v>
      </c>
      <c r="G104" s="22">
        <v>3.7241379310344827</v>
      </c>
      <c r="M104" s="22"/>
      <c r="N104" s="22"/>
      <c r="O104" s="11"/>
      <c r="P104" s="11"/>
    </row>
    <row r="105" spans="1:55" x14ac:dyDescent="0.3">
      <c r="A105" s="7" t="s">
        <v>221</v>
      </c>
      <c r="B105" s="22">
        <v>0.49245571395755061</v>
      </c>
      <c r="C105" s="22">
        <v>0.4135444567991966</v>
      </c>
      <c r="D105" s="22">
        <v>892.99716943833175</v>
      </c>
      <c r="E105" s="22">
        <v>1227.4181709140403</v>
      </c>
      <c r="F105" s="22">
        <v>4.4210526315789478</v>
      </c>
      <c r="G105" s="22">
        <v>6.6206896551724137</v>
      </c>
      <c r="M105" s="22"/>
      <c r="N105" s="22"/>
      <c r="O105" s="11"/>
      <c r="P105" s="11"/>
    </row>
    <row r="106" spans="1:55" x14ac:dyDescent="0.3">
      <c r="A106" s="7" t="s">
        <v>223</v>
      </c>
      <c r="B106" s="22">
        <v>0.89212560043111622</v>
      </c>
      <c r="C106" s="22">
        <v>0.50284012259386612</v>
      </c>
      <c r="D106" s="22">
        <v>1143.1412143948573</v>
      </c>
      <c r="E106" s="22">
        <v>997.86822826314358</v>
      </c>
      <c r="F106" s="22">
        <v>5.0526315789473681</v>
      </c>
      <c r="G106" s="22">
        <v>4.5517241379310347</v>
      </c>
      <c r="M106" s="22"/>
      <c r="N106" s="22"/>
      <c r="O106" s="11"/>
      <c r="P106" s="11"/>
    </row>
    <row r="107" spans="1:55" x14ac:dyDescent="0.3">
      <c r="A107" s="7" t="s">
        <v>225</v>
      </c>
      <c r="B107" s="22">
        <v>0.34835155421455272</v>
      </c>
      <c r="C107" s="22">
        <v>0.38528172302775032</v>
      </c>
      <c r="D107" s="22">
        <v>1112.3801836239727</v>
      </c>
      <c r="E107" s="22">
        <v>1028.452176767126</v>
      </c>
      <c r="F107" s="22">
        <v>6.9473684210526319</v>
      </c>
      <c r="G107" s="22">
        <v>5.3793103448275863</v>
      </c>
      <c r="M107" s="22"/>
      <c r="N107" s="22"/>
      <c r="O107" s="11"/>
      <c r="P107" s="11"/>
    </row>
    <row r="108" spans="1:55" x14ac:dyDescent="0.3">
      <c r="A108" s="7" t="s">
        <v>227</v>
      </c>
      <c r="B108" s="22">
        <v>0.46359073108790455</v>
      </c>
      <c r="C108" s="22">
        <v>0.54131678911495584</v>
      </c>
      <c r="D108" s="22">
        <v>1057.8647677258305</v>
      </c>
      <c r="E108" s="22">
        <v>1559.9968915811717</v>
      </c>
      <c r="F108" s="22">
        <v>9.473684210526315</v>
      </c>
      <c r="G108" s="22">
        <v>4.5517241379310347</v>
      </c>
      <c r="M108" s="22"/>
      <c r="N108" s="22"/>
      <c r="O108" s="11"/>
      <c r="P108" s="11"/>
    </row>
    <row r="109" spans="1:55" x14ac:dyDescent="0.3">
      <c r="A109" s="7" t="s">
        <v>229</v>
      </c>
      <c r="B109" s="22">
        <v>0.31984262230912563</v>
      </c>
      <c r="C109" s="22">
        <v>0.34127548726137902</v>
      </c>
      <c r="D109" s="22">
        <v>884.65150413377035</v>
      </c>
      <c r="E109" s="22">
        <v>1278.2656050552137</v>
      </c>
      <c r="F109" s="22">
        <v>10.736842105263158</v>
      </c>
      <c r="G109" s="22">
        <v>10.344827586206897</v>
      </c>
      <c r="M109" s="22"/>
      <c r="N109" s="22"/>
      <c r="O109" s="11"/>
      <c r="P109" s="11"/>
      <c r="AD109" s="36"/>
    </row>
    <row r="110" spans="1:55" x14ac:dyDescent="0.3">
      <c r="A110" s="7" t="s">
        <v>231</v>
      </c>
      <c r="B110" s="22">
        <v>0.28251339155073374</v>
      </c>
      <c r="C110" s="22">
        <v>0.33368444081719001</v>
      </c>
      <c r="D110" s="22">
        <v>932.53740362954909</v>
      </c>
      <c r="E110" s="22">
        <v>973.64725083185328</v>
      </c>
      <c r="F110" s="22">
        <v>13.263157894736842</v>
      </c>
      <c r="G110" s="22">
        <v>12.413793103448276</v>
      </c>
      <c r="M110" s="22"/>
      <c r="N110" s="22"/>
      <c r="O110" s="11"/>
      <c r="P110" s="11"/>
      <c r="AD110" s="36"/>
    </row>
    <row r="111" spans="1:55" x14ac:dyDescent="0.3">
      <c r="A111" s="7" t="s">
        <v>233</v>
      </c>
      <c r="B111" s="22">
        <v>0.28512764760308695</v>
      </c>
      <c r="C111" s="22">
        <v>0.36930662633953665</v>
      </c>
      <c r="D111" s="22">
        <v>1499.034048135557</v>
      </c>
      <c r="E111" s="22">
        <v>1365.1600437743607</v>
      </c>
      <c r="F111" s="22">
        <v>6.3157894736842106</v>
      </c>
      <c r="G111" s="22">
        <v>4.9655172413793105</v>
      </c>
      <c r="M111" s="22"/>
      <c r="N111" s="22"/>
      <c r="O111" s="11"/>
      <c r="P111" s="11"/>
    </row>
    <row r="112" spans="1:55" x14ac:dyDescent="0.3">
      <c r="A112" s="7" t="s">
        <v>235</v>
      </c>
      <c r="B112" s="22">
        <v>0.31406982149934354</v>
      </c>
      <c r="C112" s="22">
        <v>0.33043512505131906</v>
      </c>
      <c r="D112" s="22">
        <v>1161.7736161204762</v>
      </c>
      <c r="E112" s="22">
        <v>1948.1948829696266</v>
      </c>
      <c r="F112" s="22">
        <v>4.4210526315789478</v>
      </c>
      <c r="G112" s="22">
        <v>3.3103448275862069</v>
      </c>
      <c r="M112" s="22"/>
      <c r="N112" s="22"/>
      <c r="O112" s="11"/>
      <c r="P112" s="11"/>
    </row>
    <row r="113" spans="1:16" x14ac:dyDescent="0.3">
      <c r="A113" s="7" t="s">
        <v>238</v>
      </c>
      <c r="B113" s="22">
        <v>0.68194323477996244</v>
      </c>
      <c r="C113" s="22">
        <v>0.48556817092020754</v>
      </c>
      <c r="D113" s="22">
        <v>4201.4018781301056</v>
      </c>
      <c r="E113" s="22">
        <v>1603.969811737278</v>
      </c>
      <c r="F113" s="22">
        <v>3.7894736842105261</v>
      </c>
      <c r="G113" s="22">
        <v>2.4827586206896552</v>
      </c>
      <c r="M113" s="22"/>
      <c r="N113" s="22"/>
      <c r="O113" s="11"/>
      <c r="P113" s="11"/>
    </row>
    <row r="114" spans="1:16" x14ac:dyDescent="0.3">
      <c r="A114" s="7" t="s">
        <v>240</v>
      </c>
      <c r="B114" s="22">
        <v>0.296247283141236</v>
      </c>
      <c r="C114" s="22">
        <v>0.33656189371514722</v>
      </c>
      <c r="D114" s="22">
        <v>3820.0412759574101</v>
      </c>
      <c r="E114" s="22">
        <v>2048.0648410039139</v>
      </c>
      <c r="F114" s="22">
        <v>0.63157894736842102</v>
      </c>
      <c r="G114" s="22">
        <v>0.82758620689655171</v>
      </c>
      <c r="M114" s="22"/>
      <c r="N114" s="22"/>
      <c r="O114" s="11"/>
      <c r="P114" s="11"/>
    </row>
    <row r="115" spans="1:16" x14ac:dyDescent="0.3">
      <c r="A115" s="7" t="s">
        <v>242</v>
      </c>
      <c r="B115" s="22">
        <v>0.35491431837026383</v>
      </c>
      <c r="C115" s="22">
        <v>0.40390547204647986</v>
      </c>
      <c r="D115" s="22">
        <v>891.31140821046404</v>
      </c>
      <c r="E115" s="22">
        <v>1087.9951799338512</v>
      </c>
      <c r="F115" s="22">
        <v>15.789473684210526</v>
      </c>
      <c r="G115" s="22">
        <v>14.896551724137931</v>
      </c>
      <c r="M115" s="22"/>
      <c r="N115" s="22"/>
      <c r="O115" s="11"/>
      <c r="P115" s="11"/>
    </row>
    <row r="116" spans="1:16" x14ac:dyDescent="0.3">
      <c r="A116" s="7" t="s">
        <v>244</v>
      </c>
      <c r="B116" s="22">
        <v>0.28655975842757986</v>
      </c>
      <c r="C116" s="22">
        <v>0.31349468388139673</v>
      </c>
      <c r="D116" s="22">
        <v>1129.8670153715934</v>
      </c>
      <c r="E116" s="22">
        <v>1550.6956495232421</v>
      </c>
      <c r="F116" s="22">
        <v>4.4210526315789478</v>
      </c>
      <c r="G116" s="22">
        <v>5.3793103448275863</v>
      </c>
      <c r="M116" s="22"/>
      <c r="N116" s="22"/>
      <c r="O116" s="11"/>
      <c r="P116" s="11"/>
    </row>
    <row r="117" spans="1:16" x14ac:dyDescent="0.3">
      <c r="A117" s="7" t="s">
        <v>246</v>
      </c>
      <c r="B117" s="22">
        <v>0.2735743120417049</v>
      </c>
      <c r="C117" s="22">
        <v>0.36241304709819649</v>
      </c>
      <c r="D117" s="22">
        <v>1260.6697919645649</v>
      </c>
      <c r="E117" s="22">
        <v>1367.0016643438819</v>
      </c>
      <c r="F117" s="22">
        <v>3.7894736842105261</v>
      </c>
      <c r="G117" s="22">
        <v>8.6896551724137936</v>
      </c>
      <c r="M117" s="22"/>
      <c r="N117" s="22"/>
      <c r="O117" s="11"/>
      <c r="P117" s="11"/>
    </row>
    <row r="118" spans="1:16" x14ac:dyDescent="0.3">
      <c r="A118" s="7" t="s">
        <v>248</v>
      </c>
      <c r="B118" s="22">
        <v>0.30039333184889855</v>
      </c>
      <c r="C118" s="22">
        <v>0.44669145457099058</v>
      </c>
      <c r="D118" s="22">
        <v>1322.4047988091656</v>
      </c>
      <c r="E118" s="22">
        <v>1103.1616337637643</v>
      </c>
      <c r="F118" s="22">
        <v>4.4210526315789478</v>
      </c>
      <c r="G118" s="22">
        <v>3.3103448275862069</v>
      </c>
      <c r="M118" s="22"/>
      <c r="N118" s="22"/>
      <c r="O118" s="11"/>
      <c r="P118" s="11"/>
    </row>
    <row r="119" spans="1:16" x14ac:dyDescent="0.3">
      <c r="A119" s="7" t="s">
        <v>250</v>
      </c>
      <c r="B119" s="22">
        <v>0.25760414162422357</v>
      </c>
      <c r="C119" s="22">
        <v>0.34602177676630574</v>
      </c>
      <c r="D119" s="22">
        <v>1170.6285461912848</v>
      </c>
      <c r="E119" s="22">
        <v>1189.7110651130358</v>
      </c>
      <c r="F119" s="22">
        <v>4.4210526315789478</v>
      </c>
      <c r="G119" s="22">
        <v>8.2758620689655178</v>
      </c>
      <c r="M119" s="22"/>
      <c r="N119" s="22"/>
      <c r="O119" s="11"/>
      <c r="P119" s="11"/>
    </row>
    <row r="120" spans="1:16" x14ac:dyDescent="0.3">
      <c r="A120" s="7" t="s">
        <v>251</v>
      </c>
      <c r="B120" s="22">
        <v>0.25966037759182148</v>
      </c>
      <c r="C120" s="22">
        <v>0.34212029492484403</v>
      </c>
      <c r="D120" s="22">
        <v>1041.0427774778145</v>
      </c>
      <c r="E120" s="22">
        <v>1268.368367212548</v>
      </c>
      <c r="F120" s="22">
        <v>0.63157894736842102</v>
      </c>
      <c r="G120" s="22">
        <v>2.4827586206896552</v>
      </c>
      <c r="M120" s="22"/>
      <c r="N120" s="22"/>
      <c r="O120" s="11"/>
      <c r="P120" s="11"/>
    </row>
    <row r="121" spans="1:16" x14ac:dyDescent="0.3">
      <c r="A121" s="7" t="s">
        <v>253</v>
      </c>
      <c r="B121" s="22">
        <v>0.26565727757119539</v>
      </c>
      <c r="C121" s="22">
        <v>0.31694742165214007</v>
      </c>
      <c r="D121" s="22">
        <v>1066.4562572315349</v>
      </c>
      <c r="E121" s="22">
        <v>1240.1701937688272</v>
      </c>
      <c r="F121" s="22">
        <v>2.5263157894736841</v>
      </c>
      <c r="G121" s="22">
        <v>5.3793103448275863</v>
      </c>
      <c r="M121" s="22"/>
      <c r="N121" s="22"/>
      <c r="O121" s="11"/>
      <c r="P121" s="11"/>
    </row>
    <row r="122" spans="1:16" x14ac:dyDescent="0.3">
      <c r="A122" s="13" t="s">
        <v>254</v>
      </c>
      <c r="B122" s="22">
        <v>0.4505915490854055</v>
      </c>
      <c r="C122" s="22">
        <v>0.45759703296694548</v>
      </c>
      <c r="D122" s="22">
        <v>915.08215704751592</v>
      </c>
      <c r="E122" s="22">
        <v>1170.4191236101906</v>
      </c>
      <c r="F122" s="22">
        <v>11.368421052631579</v>
      </c>
      <c r="G122" s="22">
        <v>12.827586206896552</v>
      </c>
      <c r="M122" s="22"/>
      <c r="N122" s="22"/>
      <c r="O122" s="11"/>
      <c r="P122" s="11"/>
    </row>
    <row r="123" spans="1:16" x14ac:dyDescent="0.3">
      <c r="A123" s="13" t="s">
        <v>255</v>
      </c>
      <c r="B123" s="22">
        <v>0.2988903402565935</v>
      </c>
      <c r="C123" s="22">
        <v>0.35618373234740919</v>
      </c>
      <c r="D123" s="22">
        <v>1292.258377764221</v>
      </c>
      <c r="E123" s="22">
        <v>1261.2227576453138</v>
      </c>
      <c r="F123" s="22">
        <v>7.5789473684210522</v>
      </c>
      <c r="G123" s="22">
        <v>8.2758620689655178</v>
      </c>
      <c r="M123" s="22"/>
      <c r="N123" s="22"/>
      <c r="O123" s="11"/>
      <c r="P123" s="11"/>
    </row>
    <row r="124" spans="1:16" x14ac:dyDescent="0.3">
      <c r="A124" s="13" t="s">
        <v>257</v>
      </c>
      <c r="B124" s="22">
        <v>0.53680933550914667</v>
      </c>
      <c r="C124" s="22">
        <v>0.43736278096515802</v>
      </c>
      <c r="D124" s="22">
        <v>1090.1597713170006</v>
      </c>
      <c r="E124" s="22">
        <v>956.64563425342499</v>
      </c>
      <c r="F124" s="22">
        <v>15.789473684210526</v>
      </c>
      <c r="G124" s="22">
        <v>16.137931034482758</v>
      </c>
      <c r="M124" s="22"/>
      <c r="N124" s="22"/>
      <c r="O124" s="11"/>
      <c r="P124" s="11"/>
    </row>
    <row r="125" spans="1:16" x14ac:dyDescent="0.3">
      <c r="A125" s="7" t="s">
        <v>259</v>
      </c>
      <c r="B125" s="22">
        <v>0.52976257575078523</v>
      </c>
      <c r="C125" s="22">
        <v>0.59291903572411919</v>
      </c>
      <c r="D125" s="22">
        <v>1393.8607396641269</v>
      </c>
      <c r="E125" s="22">
        <v>1213.4470547474857</v>
      </c>
      <c r="F125" s="22">
        <v>5.882352941176471</v>
      </c>
      <c r="G125" s="22">
        <v>6.9565217391304346</v>
      </c>
      <c r="M125" s="22"/>
      <c r="N125" s="22"/>
      <c r="O125" s="11"/>
      <c r="P125" s="11"/>
    </row>
    <row r="126" spans="1:16" x14ac:dyDescent="0.3">
      <c r="A126" s="7" t="s">
        <v>261</v>
      </c>
      <c r="B126" s="22">
        <v>1.2524086216483792</v>
      </c>
      <c r="C126" s="22">
        <v>0.76927128308625059</v>
      </c>
      <c r="D126" s="22">
        <v>1066.2002500997053</v>
      </c>
      <c r="E126" s="22">
        <v>1036.9109755193012</v>
      </c>
      <c r="F126" s="22">
        <v>10.588235294117647</v>
      </c>
      <c r="G126" s="22">
        <v>10.869565217391305</v>
      </c>
      <c r="M126" s="22"/>
      <c r="N126" s="22"/>
      <c r="O126" s="11"/>
      <c r="P126" s="11"/>
    </row>
    <row r="127" spans="1:16" x14ac:dyDescent="0.3">
      <c r="A127" s="7" t="s">
        <v>262</v>
      </c>
      <c r="B127" s="22">
        <v>0.51110727183947435</v>
      </c>
      <c r="C127" s="22">
        <v>0.97697580169832809</v>
      </c>
      <c r="D127" s="22">
        <v>1361.6838922276586</v>
      </c>
      <c r="E127" s="22">
        <v>1055.2318213866761</v>
      </c>
      <c r="F127" s="22">
        <v>6.4705882352941178</v>
      </c>
      <c r="G127" s="22">
        <v>6.5217391304347823</v>
      </c>
      <c r="M127" s="22"/>
      <c r="N127" s="22"/>
      <c r="O127" s="11"/>
      <c r="P127" s="11"/>
    </row>
    <row r="128" spans="1:16" x14ac:dyDescent="0.3">
      <c r="A128" s="7" t="s">
        <v>263</v>
      </c>
      <c r="B128" s="22">
        <v>0.48396181962859014</v>
      </c>
      <c r="C128" s="22">
        <v>0.61511474535608457</v>
      </c>
      <c r="D128" s="22">
        <v>1591.8242429689742</v>
      </c>
      <c r="E128" s="22">
        <v>1213.1326754338861</v>
      </c>
      <c r="F128" s="22">
        <v>5.2941176470588234</v>
      </c>
      <c r="G128" s="22">
        <v>8.2608695652173907</v>
      </c>
      <c r="M128" s="22"/>
      <c r="N128" s="22"/>
      <c r="O128" s="11"/>
      <c r="P128" s="11"/>
    </row>
    <row r="129" spans="1:16" x14ac:dyDescent="0.3">
      <c r="A129" s="7" t="s">
        <v>264</v>
      </c>
      <c r="B129" s="22">
        <v>0.4833349439398601</v>
      </c>
      <c r="C129" s="22">
        <v>0.63787855986038799</v>
      </c>
      <c r="D129" s="22">
        <v>1461.6898066669817</v>
      </c>
      <c r="E129" s="22">
        <v>1246.4813352946403</v>
      </c>
      <c r="F129" s="22">
        <v>4.117647058823529</v>
      </c>
      <c r="G129" s="22">
        <v>3.4782608695652173</v>
      </c>
      <c r="M129" s="22"/>
      <c r="N129" s="22"/>
      <c r="O129" s="11"/>
      <c r="P129" s="11"/>
    </row>
    <row r="130" spans="1:16" x14ac:dyDescent="0.3">
      <c r="A130" s="7" t="s">
        <v>266</v>
      </c>
      <c r="B130" s="22">
        <v>1.018725798791656</v>
      </c>
      <c r="C130" s="22">
        <v>0.83650268581186038</v>
      </c>
      <c r="D130" s="22">
        <v>767.57400584914956</v>
      </c>
      <c r="E130" s="22">
        <v>821.36705542500499</v>
      </c>
      <c r="F130" s="22">
        <v>31.764705882352942</v>
      </c>
      <c r="G130" s="22">
        <v>28.695652173913043</v>
      </c>
      <c r="M130" s="22"/>
      <c r="N130" s="22"/>
      <c r="O130" s="11"/>
      <c r="P130" s="11"/>
    </row>
    <row r="131" spans="1:16" x14ac:dyDescent="0.3">
      <c r="A131" s="7" t="s">
        <v>268</v>
      </c>
      <c r="B131" s="22">
        <v>0.5779319059395982</v>
      </c>
      <c r="C131" s="22">
        <v>0.84099645841554904</v>
      </c>
      <c r="D131" s="22">
        <v>1202.1140637980211</v>
      </c>
      <c r="E131" s="22">
        <v>1028.4250129416721</v>
      </c>
      <c r="F131" s="22">
        <v>11.764705882352942</v>
      </c>
      <c r="G131" s="22">
        <v>11.739130434782609</v>
      </c>
      <c r="M131" s="22"/>
      <c r="N131" s="22"/>
      <c r="O131" s="11"/>
      <c r="P131" s="11"/>
    </row>
    <row r="132" spans="1:16" x14ac:dyDescent="0.3">
      <c r="A132" s="32" t="s">
        <v>220</v>
      </c>
      <c r="B132" s="22">
        <v>0.31107480284539324</v>
      </c>
      <c r="C132" s="22">
        <v>0.35144676710165779</v>
      </c>
      <c r="D132" s="22">
        <v>1691.6685335180666</v>
      </c>
      <c r="E132" s="22">
        <v>1275.6971861847478</v>
      </c>
      <c r="F132" s="22">
        <v>3.7894736842105261</v>
      </c>
      <c r="G132" s="22">
        <v>7.4482758620689653</v>
      </c>
      <c r="M132" s="22"/>
      <c r="N132" s="22"/>
      <c r="O132" s="11"/>
      <c r="P132" s="11"/>
    </row>
    <row r="133" spans="1:16" x14ac:dyDescent="0.3">
      <c r="A133" s="32" t="s">
        <v>222</v>
      </c>
      <c r="B133" s="22">
        <v>0.28900912805404699</v>
      </c>
      <c r="C133" s="22">
        <v>0.40604184897155687</v>
      </c>
      <c r="D133" s="22">
        <v>783.83705614552309</v>
      </c>
      <c r="E133" s="22">
        <v>1024.0380039196946</v>
      </c>
      <c r="F133" s="22">
        <v>0.63157894736842102</v>
      </c>
      <c r="G133" s="22">
        <v>2.4827586206896552</v>
      </c>
      <c r="M133" s="22"/>
      <c r="N133" s="22"/>
      <c r="O133" s="11"/>
      <c r="P133" s="11"/>
    </row>
    <row r="134" spans="1:16" x14ac:dyDescent="0.3">
      <c r="A134" s="34" t="s">
        <v>224</v>
      </c>
      <c r="B134" s="22">
        <v>0.24019795606378749</v>
      </c>
      <c r="C134" s="22">
        <v>0.29115116951563424</v>
      </c>
      <c r="D134" s="22">
        <v>2231.4501869311634</v>
      </c>
      <c r="E134" s="22">
        <v>1244.9050756002359</v>
      </c>
      <c r="F134" s="22">
        <v>1.263157894736842</v>
      </c>
      <c r="G134" s="22">
        <v>4.5517241379310347</v>
      </c>
      <c r="M134" s="22"/>
      <c r="N134" s="22"/>
      <c r="O134" s="11"/>
      <c r="P134" s="11"/>
    </row>
    <row r="135" spans="1:16" x14ac:dyDescent="0.3">
      <c r="A135" s="32" t="s">
        <v>226</v>
      </c>
      <c r="B135" s="22">
        <v>6.1772775000000002E-2</v>
      </c>
      <c r="C135" s="22">
        <v>0.41014510371946244</v>
      </c>
      <c r="D135" s="22">
        <f>D134/1.8</f>
        <v>1239.6945482950907</v>
      </c>
      <c r="E135" s="22">
        <v>1467.9275836700792</v>
      </c>
      <c r="F135" s="22">
        <v>2.0215556399999999</v>
      </c>
      <c r="G135" s="22">
        <v>4.1379310344827589</v>
      </c>
      <c r="M135" s="22"/>
      <c r="N135" s="22"/>
      <c r="O135" s="11"/>
      <c r="P135" s="11"/>
    </row>
    <row r="136" spans="1:16" x14ac:dyDescent="0.3">
      <c r="A136" s="32" t="s">
        <v>228</v>
      </c>
      <c r="B136" s="22">
        <v>6.6273289999999999E-2</v>
      </c>
      <c r="C136" s="22">
        <v>0.32032301250894057</v>
      </c>
      <c r="D136" s="22">
        <f>D135/1.2</f>
        <v>1033.078790245909</v>
      </c>
      <c r="E136" s="22">
        <v>2013.1442851350391</v>
      </c>
      <c r="F136" s="22">
        <v>1.21234555</v>
      </c>
      <c r="G136" s="22">
        <v>2.4827586206896552</v>
      </c>
      <c r="M136" s="22"/>
      <c r="N136" s="22"/>
      <c r="O136" s="11"/>
      <c r="P136" s="11"/>
    </row>
    <row r="137" spans="1:16" x14ac:dyDescent="0.3">
      <c r="A137" s="32" t="s">
        <v>230</v>
      </c>
      <c r="B137" s="22">
        <v>6.3274490000000003E-2</v>
      </c>
      <c r="C137" s="22">
        <v>0.47043430422272614</v>
      </c>
      <c r="D137" s="22">
        <f>D136/1.2</f>
        <v>860.89899187159085</v>
      </c>
      <c r="E137" s="22">
        <v>981.00667501765804</v>
      </c>
      <c r="F137" s="22">
        <v>1.02315556</v>
      </c>
      <c r="G137" s="22">
        <v>1.2413793103448276</v>
      </c>
      <c r="M137" s="22"/>
      <c r="N137" s="22"/>
      <c r="O137" s="11"/>
      <c r="P137" s="11"/>
    </row>
    <row r="138" spans="1:16" x14ac:dyDescent="0.3">
      <c r="A138" s="32" t="s">
        <v>232</v>
      </c>
      <c r="B138" s="22">
        <v>7.3289469999999995E-2</v>
      </c>
      <c r="C138" s="22">
        <v>0.39253892136110868</v>
      </c>
      <c r="D138" s="22">
        <f>D137/1.2</f>
        <v>717.41582655965908</v>
      </c>
      <c r="E138" s="22">
        <v>937.62591414999338</v>
      </c>
      <c r="F138" s="22">
        <v>1.2354588799999999</v>
      </c>
      <c r="G138" s="22">
        <v>2.0689655172413794</v>
      </c>
      <c r="M138" s="22"/>
      <c r="N138" s="22"/>
      <c r="O138" s="11"/>
      <c r="P138" s="11"/>
    </row>
    <row r="139" spans="1:16" x14ac:dyDescent="0.3">
      <c r="A139" s="32" t="s">
        <v>234</v>
      </c>
      <c r="B139" s="22">
        <v>8.4273239999999999E-2</v>
      </c>
      <c r="C139" s="22">
        <v>0.32281644836594214</v>
      </c>
      <c r="D139" s="22">
        <f>D138/1.2</f>
        <v>597.84652213304923</v>
      </c>
      <c r="E139" s="22">
        <v>946.92501615961078</v>
      </c>
      <c r="F139" s="22">
        <v>1.0212333300000001</v>
      </c>
      <c r="G139" s="22">
        <v>2.0689655172413794</v>
      </c>
      <c r="M139" s="22"/>
      <c r="N139" s="22"/>
      <c r="O139" s="11"/>
      <c r="P139" s="11"/>
    </row>
    <row r="140" spans="1:16" x14ac:dyDescent="0.3">
      <c r="A140" s="34" t="s">
        <v>236</v>
      </c>
      <c r="B140" s="22">
        <v>0.38153929848023382</v>
      </c>
      <c r="C140" s="22">
        <v>0.55941821487131271</v>
      </c>
      <c r="D140" s="22">
        <v>1435.8139657871202</v>
      </c>
      <c r="E140" s="22">
        <v>1275.3229060904639</v>
      </c>
      <c r="F140" s="22">
        <v>3.1578947368421053</v>
      </c>
      <c r="G140" s="22">
        <v>4.5517241379310347</v>
      </c>
      <c r="M140" s="22"/>
      <c r="N140" s="22"/>
      <c r="O140" s="11"/>
      <c r="P140" s="11"/>
    </row>
    <row r="141" spans="1:16" x14ac:dyDescent="0.3">
      <c r="A141" s="34" t="s">
        <v>239</v>
      </c>
      <c r="B141" s="22">
        <v>0.27516943340669053</v>
      </c>
      <c r="C141" s="22">
        <v>0.35297029916846079</v>
      </c>
      <c r="D141" s="22">
        <v>923.3305011108896</v>
      </c>
      <c r="E141" s="22">
        <v>1180.5030672524479</v>
      </c>
      <c r="F141" s="22">
        <v>1.263157894736842</v>
      </c>
      <c r="G141" s="22">
        <v>5.3793103448275863</v>
      </c>
      <c r="M141" s="22"/>
      <c r="N141" s="22"/>
      <c r="O141" s="11"/>
      <c r="P141" s="11"/>
    </row>
    <row r="142" spans="1:16" x14ac:dyDescent="0.3">
      <c r="A142" s="32" t="s">
        <v>241</v>
      </c>
      <c r="B142" s="22">
        <v>0.62107306400755335</v>
      </c>
      <c r="C142" s="22">
        <v>0.67972083724217069</v>
      </c>
      <c r="D142" s="22">
        <v>1045.2191044344822</v>
      </c>
      <c r="E142" s="22">
        <v>952.61194485089925</v>
      </c>
      <c r="F142" s="22">
        <v>12.352941176470589</v>
      </c>
      <c r="G142" s="22">
        <v>15.652173913043478</v>
      </c>
      <c r="M142" s="22"/>
      <c r="N142" s="22"/>
      <c r="O142" s="11"/>
      <c r="P142" s="11"/>
    </row>
    <row r="143" spans="1:16" x14ac:dyDescent="0.3">
      <c r="A143" s="32" t="s">
        <v>243</v>
      </c>
      <c r="B143" s="22">
        <v>0.52237230978132887</v>
      </c>
      <c r="C143" s="22">
        <v>0.52951409933314908</v>
      </c>
      <c r="D143" s="22">
        <v>974.53437065925687</v>
      </c>
      <c r="E143" s="22">
        <v>1056.8762163076058</v>
      </c>
      <c r="F143" s="22">
        <v>8.8235294117647065</v>
      </c>
      <c r="G143" s="22">
        <v>11.739130434782609</v>
      </c>
      <c r="M143" s="22"/>
      <c r="N143" s="22"/>
      <c r="O143" s="11"/>
      <c r="P143" s="11"/>
    </row>
    <row r="144" spans="1:16" x14ac:dyDescent="0.3">
      <c r="A144" s="32" t="s">
        <v>245</v>
      </c>
      <c r="B144" s="22">
        <v>0.44028652417387054</v>
      </c>
      <c r="C144" s="22">
        <v>0.55162940552689788</v>
      </c>
      <c r="D144" s="22">
        <v>1179.0520991622102</v>
      </c>
      <c r="E144" s="22">
        <v>908.0507967696409</v>
      </c>
      <c r="F144" s="22">
        <v>0.58823529411764708</v>
      </c>
      <c r="G144" s="22">
        <v>2.1739130434782608</v>
      </c>
      <c r="M144" s="22"/>
      <c r="N144" s="22"/>
      <c r="O144" s="11"/>
      <c r="P144" s="11"/>
    </row>
    <row r="145" spans="1:18" x14ac:dyDescent="0.3">
      <c r="A145" s="32" t="s">
        <v>247</v>
      </c>
      <c r="B145" s="22">
        <v>0.5771119523770063</v>
      </c>
      <c r="C145" s="22">
        <v>0.65915123816562515</v>
      </c>
      <c r="D145" s="22">
        <v>1372.7655833317203</v>
      </c>
      <c r="E145" s="22">
        <v>1437.4242246547828</v>
      </c>
      <c r="F145" s="22">
        <v>7.0588235294117645</v>
      </c>
      <c r="G145" s="22">
        <v>6.9565217391304346</v>
      </c>
      <c r="M145" s="22"/>
      <c r="N145" s="22"/>
      <c r="O145" s="11"/>
      <c r="P145" s="11"/>
    </row>
    <row r="146" spans="1:18" x14ac:dyDescent="0.3">
      <c r="A146" s="32" t="s">
        <v>249</v>
      </c>
      <c r="B146" s="22">
        <v>6.6282289999999994E-2</v>
      </c>
      <c r="C146" s="22">
        <v>1.131311173984296</v>
      </c>
      <c r="D146" s="22">
        <f>D145/1.4</f>
        <v>980.54684523694311</v>
      </c>
      <c r="E146" s="22">
        <v>1473.7396302509878</v>
      </c>
      <c r="F146" s="22">
        <v>0.21315487999999999</v>
      </c>
      <c r="G146" s="22">
        <v>0.43478260869565216</v>
      </c>
      <c r="M146" s="22"/>
      <c r="N146" s="22"/>
      <c r="O146" s="11"/>
      <c r="P146" s="11"/>
    </row>
    <row r="147" spans="1:18" x14ac:dyDescent="0.3">
      <c r="A147" s="7" t="s">
        <v>44</v>
      </c>
      <c r="B147" s="22">
        <v>0.92741843032302929</v>
      </c>
      <c r="C147" s="22">
        <v>0.90615343090580702</v>
      </c>
      <c r="D147" s="22">
        <v>2066.6084232955554</v>
      </c>
      <c r="E147" s="22">
        <v>1423.0248363908286</v>
      </c>
      <c r="F147" s="22">
        <v>2.9411764705882355</v>
      </c>
      <c r="G147" s="22">
        <v>1.1214953271028036</v>
      </c>
      <c r="M147" s="22"/>
      <c r="N147" s="22"/>
      <c r="O147" s="11"/>
      <c r="P147" s="11"/>
    </row>
    <row r="148" spans="1:18" x14ac:dyDescent="0.3">
      <c r="A148" s="7" t="s">
        <v>270</v>
      </c>
      <c r="B148" s="22">
        <v>1.1908268336121499</v>
      </c>
      <c r="C148" s="22">
        <v>0.8142095450282657</v>
      </c>
      <c r="D148" s="22">
        <v>1170.6779327497304</v>
      </c>
      <c r="E148" s="22">
        <v>1431.3495680828928</v>
      </c>
      <c r="F148" s="22">
        <v>3.5294117647058822</v>
      </c>
      <c r="G148" s="22">
        <v>2.8037383177570092</v>
      </c>
      <c r="M148" s="22"/>
      <c r="N148" s="22"/>
      <c r="O148" s="11"/>
      <c r="P148" s="11"/>
    </row>
    <row r="149" spans="1:18" x14ac:dyDescent="0.3">
      <c r="A149" s="7" t="s">
        <v>46</v>
      </c>
      <c r="B149" s="22">
        <v>0.83052664636456675</v>
      </c>
      <c r="C149" s="22">
        <v>1.175126621537417</v>
      </c>
      <c r="D149" s="22">
        <v>1205.9127874646488</v>
      </c>
      <c r="E149" s="22">
        <v>1217.024467668572</v>
      </c>
      <c r="F149" s="22">
        <v>2.9411764705882355</v>
      </c>
      <c r="G149" s="22">
        <v>2.5233644859813085</v>
      </c>
      <c r="M149" s="22"/>
      <c r="N149" s="22"/>
      <c r="O149" s="11"/>
      <c r="P149" s="11"/>
    </row>
    <row r="150" spans="1:18" x14ac:dyDescent="0.3">
      <c r="A150" s="7" t="s">
        <v>48</v>
      </c>
      <c r="B150" s="22">
        <v>0.8971302717063212</v>
      </c>
      <c r="C150" s="22">
        <v>0.95073291167048402</v>
      </c>
      <c r="D150" s="22">
        <v>1188.9996902369551</v>
      </c>
      <c r="E150" s="22">
        <v>1127.2022831995505</v>
      </c>
      <c r="F150" s="22">
        <v>7.0588235294117645</v>
      </c>
      <c r="G150" s="22">
        <v>4.7663551401869162</v>
      </c>
      <c r="M150" s="22"/>
      <c r="N150" s="22"/>
      <c r="O150" s="11"/>
      <c r="P150" s="11"/>
    </row>
    <row r="151" spans="1:18" x14ac:dyDescent="0.3">
      <c r="A151" s="7" t="s">
        <v>50</v>
      </c>
      <c r="B151" s="22">
        <v>6.6277774999999997E-2</v>
      </c>
      <c r="C151" s="22">
        <v>0.78627116141647446</v>
      </c>
      <c r="D151" s="22">
        <f>D150/1.4</f>
        <v>849.28549302639658</v>
      </c>
      <c r="E151" s="22">
        <v>944.58431513002267</v>
      </c>
      <c r="F151" s="22">
        <v>1.2135488800000001</v>
      </c>
      <c r="G151" s="22">
        <v>3.3644859813084111</v>
      </c>
      <c r="M151" s="22"/>
      <c r="N151" s="22"/>
      <c r="O151" s="11"/>
      <c r="P151" s="11"/>
    </row>
    <row r="152" spans="1:18" x14ac:dyDescent="0.3">
      <c r="A152" s="7" t="s">
        <v>271</v>
      </c>
      <c r="B152" s="22">
        <v>0.66905372123257778</v>
      </c>
      <c r="C152" s="22">
        <v>0.78482951182018101</v>
      </c>
      <c r="D152" s="22">
        <v>1081.1669010709645</v>
      </c>
      <c r="E152" s="22">
        <v>1059.2067683417743</v>
      </c>
      <c r="F152" s="22">
        <v>12.352941176470589</v>
      </c>
      <c r="G152" s="22">
        <v>9.5327102803738324</v>
      </c>
      <c r="M152" s="22"/>
      <c r="N152" s="22"/>
      <c r="O152" s="11"/>
      <c r="P152" s="11"/>
    </row>
    <row r="153" spans="1:18" x14ac:dyDescent="0.3">
      <c r="A153" s="7" t="s">
        <v>272</v>
      </c>
      <c r="B153" s="22">
        <v>0.6811500720706426</v>
      </c>
      <c r="C153" s="22">
        <v>0.89064147965910168</v>
      </c>
      <c r="D153" s="22">
        <v>1211.2410511248577</v>
      </c>
      <c r="E153" s="22">
        <v>1324.1686276629887</v>
      </c>
      <c r="F153" s="22">
        <v>6.4705882352941178</v>
      </c>
      <c r="G153" s="22">
        <v>5.6074766355140184</v>
      </c>
      <c r="M153" s="22"/>
      <c r="N153" s="22"/>
      <c r="O153" s="11"/>
      <c r="P153" s="11"/>
    </row>
    <row r="154" spans="1:18" x14ac:dyDescent="0.3">
      <c r="A154" s="7" t="s">
        <v>52</v>
      </c>
      <c r="B154" s="22">
        <v>8.3294444999999995E-2</v>
      </c>
      <c r="C154" s="22">
        <v>1.560186300881383</v>
      </c>
      <c r="D154" s="22">
        <f>D153/1.6</f>
        <v>757.02565695303599</v>
      </c>
      <c r="E154" s="22">
        <v>803.10533184378869</v>
      </c>
      <c r="F154" s="22">
        <v>0.78987887999999995</v>
      </c>
      <c r="G154" s="22">
        <v>1.4018691588785046</v>
      </c>
      <c r="M154" s="22"/>
      <c r="N154" s="22"/>
      <c r="O154" s="11"/>
      <c r="P154" s="11"/>
    </row>
    <row r="155" spans="1:18" x14ac:dyDescent="0.3">
      <c r="A155" s="7" t="s">
        <v>54</v>
      </c>
      <c r="B155" s="22">
        <v>0.68294158498678126</v>
      </c>
      <c r="C155" s="22">
        <v>0.76337117784030173</v>
      </c>
      <c r="D155" s="22">
        <v>1030.3503905052107</v>
      </c>
      <c r="E155" s="22">
        <v>1052.0134335246526</v>
      </c>
      <c r="F155" s="22">
        <v>11.176470588235293</v>
      </c>
      <c r="G155" s="22">
        <v>9.2523364485981308</v>
      </c>
      <c r="M155" s="22"/>
      <c r="N155" s="22"/>
      <c r="O155" s="11"/>
      <c r="P155" s="11"/>
    </row>
    <row r="156" spans="1:18" x14ac:dyDescent="0.3">
      <c r="A156" s="7" t="s">
        <v>273</v>
      </c>
      <c r="B156" s="22">
        <v>0.94819229697421725</v>
      </c>
      <c r="C156" s="22">
        <v>0.95735514005083078</v>
      </c>
      <c r="D156" s="22">
        <v>922.65813580496842</v>
      </c>
      <c r="E156" s="22">
        <v>990.4728967104171</v>
      </c>
      <c r="F156" s="22">
        <v>17.058823529411764</v>
      </c>
      <c r="G156" s="22">
        <v>14.859813084112149</v>
      </c>
      <c r="M156" s="22"/>
      <c r="N156" s="22"/>
      <c r="O156" s="11"/>
      <c r="P156" s="11"/>
    </row>
    <row r="157" spans="1:18" x14ac:dyDescent="0.3">
      <c r="A157" s="7" t="s">
        <v>56</v>
      </c>
      <c r="B157" s="22">
        <v>0.91530188209300489</v>
      </c>
      <c r="C157" s="22">
        <v>1.192216397734893</v>
      </c>
      <c r="D157" s="22">
        <v>1122.7118713605732</v>
      </c>
      <c r="E157" s="22">
        <v>1388.673879471382</v>
      </c>
      <c r="F157" s="22">
        <v>9.4117647058823533</v>
      </c>
      <c r="G157" s="22">
        <v>5.6074766355140184</v>
      </c>
      <c r="M157" s="22"/>
      <c r="N157" s="22"/>
      <c r="O157" s="11"/>
      <c r="P157" s="11"/>
    </row>
    <row r="158" spans="1:18" x14ac:dyDescent="0.3">
      <c r="A158" s="7" t="s">
        <v>274</v>
      </c>
      <c r="B158" s="22">
        <v>0.75749143754942494</v>
      </c>
      <c r="C158" s="22">
        <v>0.77544500788651816</v>
      </c>
      <c r="D158" s="22">
        <v>1148.135866820287</v>
      </c>
      <c r="E158" s="22">
        <v>1088.7035637268236</v>
      </c>
      <c r="F158" s="22">
        <v>14.705882352941176</v>
      </c>
      <c r="G158" s="22">
        <v>10.093457943925234</v>
      </c>
      <c r="M158" s="22"/>
      <c r="N158" s="22"/>
      <c r="O158" s="11"/>
      <c r="P158" s="11"/>
      <c r="Q158" s="22"/>
      <c r="R158" s="22"/>
    </row>
    <row r="159" spans="1:18" x14ac:dyDescent="0.3">
      <c r="A159" s="7" t="s">
        <v>275</v>
      </c>
      <c r="B159" s="22">
        <v>0.77962685714130864</v>
      </c>
      <c r="C159" s="22">
        <v>0.73752206068802872</v>
      </c>
      <c r="D159" s="22">
        <v>1132.5969647664233</v>
      </c>
      <c r="E159" s="22">
        <v>1266.4294340013294</v>
      </c>
      <c r="F159" s="22">
        <v>10.588235294117647</v>
      </c>
      <c r="G159" s="22">
        <v>8.9719626168224291</v>
      </c>
      <c r="M159" s="22"/>
      <c r="N159" s="22"/>
      <c r="O159" s="11"/>
      <c r="P159" s="11"/>
      <c r="Q159" s="22"/>
      <c r="R159" s="22"/>
    </row>
    <row r="160" spans="1:18" x14ac:dyDescent="0.3">
      <c r="A160" s="7" t="s">
        <v>58</v>
      </c>
      <c r="B160" s="22">
        <v>0.90472684537445291</v>
      </c>
      <c r="C160" s="22">
        <v>0.96466479249212533</v>
      </c>
      <c r="D160" s="22">
        <v>869.82341079540458</v>
      </c>
      <c r="E160" s="22">
        <v>961.58818956524112</v>
      </c>
      <c r="F160" s="22">
        <v>22.352941176470587</v>
      </c>
      <c r="G160" s="22">
        <v>19.345794392523363</v>
      </c>
      <c r="M160" s="22"/>
      <c r="N160" s="22"/>
      <c r="O160" s="11"/>
      <c r="P160" s="11"/>
      <c r="Q160" s="22"/>
      <c r="R160" s="22"/>
    </row>
    <row r="161" spans="1:18" x14ac:dyDescent="0.3">
      <c r="A161" s="7" t="s">
        <v>277</v>
      </c>
      <c r="B161" s="22">
        <v>0.71830048885939002</v>
      </c>
      <c r="C161" s="22">
        <v>0.75492852016704226</v>
      </c>
      <c r="D161" s="22">
        <v>926.09477620198413</v>
      </c>
      <c r="E161" s="22">
        <v>1209.4211374330598</v>
      </c>
      <c r="F161" s="22">
        <v>10.588235294117647</v>
      </c>
      <c r="G161" s="22">
        <v>11.77570093457944</v>
      </c>
      <c r="M161" s="22"/>
      <c r="N161" s="22"/>
      <c r="O161" s="11"/>
      <c r="P161" s="11"/>
      <c r="Q161" s="22"/>
      <c r="R161" s="22"/>
    </row>
    <row r="162" spans="1:18" x14ac:dyDescent="0.3">
      <c r="A162" s="7" t="s">
        <v>278</v>
      </c>
      <c r="B162" s="22">
        <v>0.80044463064526128</v>
      </c>
      <c r="C162" s="22">
        <v>0.89470692822736775</v>
      </c>
      <c r="D162" s="22">
        <v>1010.4733463879315</v>
      </c>
      <c r="E162" s="22">
        <v>1032.2829609528967</v>
      </c>
      <c r="F162" s="22">
        <v>15.882352941176471</v>
      </c>
      <c r="G162" s="22">
        <v>8.9719626168224291</v>
      </c>
      <c r="M162" s="22"/>
      <c r="N162" s="22"/>
      <c r="O162" s="11"/>
      <c r="P162" s="11"/>
      <c r="Q162" s="22"/>
      <c r="R162" s="22"/>
    </row>
    <row r="163" spans="1:18" x14ac:dyDescent="0.3">
      <c r="A163" s="7" t="s">
        <v>60</v>
      </c>
      <c r="B163" s="22">
        <v>0.75198861434656672</v>
      </c>
      <c r="C163" s="22">
        <v>0.75870607164461745</v>
      </c>
      <c r="D163" s="22">
        <v>967.53212585973336</v>
      </c>
      <c r="E163" s="22">
        <v>970.77423943496251</v>
      </c>
      <c r="F163" s="22">
        <v>16.470588235294116</v>
      </c>
      <c r="G163" s="22">
        <v>13.457943925233645</v>
      </c>
      <c r="M163" s="22"/>
      <c r="N163" s="22"/>
      <c r="O163" s="11"/>
      <c r="P163" s="11"/>
      <c r="Q163" s="22"/>
      <c r="R163" s="22"/>
    </row>
    <row r="164" spans="1:18" x14ac:dyDescent="0.3">
      <c r="A164" s="7" t="s">
        <v>279</v>
      </c>
      <c r="B164" s="22">
        <v>0.96448826999741233</v>
      </c>
      <c r="C164" s="22">
        <v>0.92285169964301883</v>
      </c>
      <c r="D164" s="22">
        <v>1185.3234575209042</v>
      </c>
      <c r="E164" s="22">
        <v>1134.1192745741664</v>
      </c>
      <c r="F164" s="22">
        <v>4.117647058823529</v>
      </c>
      <c r="G164" s="22">
        <v>4.4859813084112146</v>
      </c>
      <c r="M164" s="22"/>
      <c r="N164" s="22"/>
      <c r="O164" s="11"/>
      <c r="P164" s="11"/>
      <c r="Q164" s="22"/>
      <c r="R164" s="22"/>
    </row>
    <row r="165" spans="1:18" x14ac:dyDescent="0.3">
      <c r="A165" s="7" t="s">
        <v>62</v>
      </c>
      <c r="B165" s="22">
        <v>0.80351025482169991</v>
      </c>
      <c r="C165" s="22">
        <v>0.68435810708015365</v>
      </c>
      <c r="D165" s="22">
        <v>1654.6399761466091</v>
      </c>
      <c r="E165" s="22">
        <v>2012.2167801308206</v>
      </c>
      <c r="F165" s="22">
        <v>1.1764705882352942</v>
      </c>
      <c r="G165" s="22">
        <v>1.1214953271028036</v>
      </c>
      <c r="M165" s="22"/>
      <c r="N165" s="22"/>
      <c r="O165" s="11"/>
      <c r="P165" s="11"/>
      <c r="Q165" s="22"/>
      <c r="R165" s="22"/>
    </row>
    <row r="166" spans="1:18" x14ac:dyDescent="0.3">
      <c r="A166" s="7" t="s">
        <v>280</v>
      </c>
      <c r="B166" s="22">
        <v>0.61049727723925185</v>
      </c>
      <c r="C166" s="22">
        <v>0.86585167733902657</v>
      </c>
      <c r="D166" s="22">
        <v>1449.194916880801</v>
      </c>
      <c r="E166" s="22">
        <v>1275.9248256911035</v>
      </c>
      <c r="F166" s="22">
        <v>5.882352941176471</v>
      </c>
      <c r="G166" s="22">
        <v>3.9252336448598131</v>
      </c>
      <c r="M166" s="22"/>
      <c r="N166" s="22"/>
      <c r="O166" s="11"/>
      <c r="P166" s="11"/>
      <c r="Q166" s="22"/>
      <c r="R166" s="22"/>
    </row>
    <row r="167" spans="1:18" x14ac:dyDescent="0.3">
      <c r="A167" s="7" t="s">
        <v>64</v>
      </c>
      <c r="B167" s="22">
        <v>1.0274225788866682</v>
      </c>
      <c r="C167" s="22">
        <v>1.0308194767758341</v>
      </c>
      <c r="D167" s="22">
        <v>967.31735212327715</v>
      </c>
      <c r="E167" s="22">
        <v>941.92988774829132</v>
      </c>
      <c r="F167" s="22">
        <v>21.764705882352942</v>
      </c>
      <c r="G167" s="22">
        <v>23.55140186915888</v>
      </c>
      <c r="M167" s="22"/>
      <c r="N167" s="22"/>
      <c r="O167" s="11"/>
      <c r="P167" s="11"/>
      <c r="Q167" s="22"/>
      <c r="R167" s="22"/>
    </row>
    <row r="168" spans="1:18" x14ac:dyDescent="0.3">
      <c r="A168" s="32" t="s">
        <v>45</v>
      </c>
      <c r="B168" s="22">
        <v>1.3032919023486895</v>
      </c>
      <c r="C168" s="22">
        <v>0.83935711518615197</v>
      </c>
      <c r="D168" s="22">
        <v>969.88161203036759</v>
      </c>
      <c r="E168" s="22">
        <v>1162.6335336864047</v>
      </c>
      <c r="F168" s="22">
        <v>8.235294117647058</v>
      </c>
      <c r="G168" s="22">
        <v>8.6915887850467293</v>
      </c>
      <c r="M168" s="22"/>
      <c r="N168" s="22"/>
      <c r="O168" s="11"/>
      <c r="P168" s="11"/>
      <c r="Q168" s="22"/>
      <c r="R168" s="22"/>
    </row>
    <row r="169" spans="1:18" x14ac:dyDescent="0.3">
      <c r="A169" s="32" t="s">
        <v>252</v>
      </c>
      <c r="B169" s="22">
        <v>0.94985966112559594</v>
      </c>
      <c r="C169" s="22">
        <v>1.0184086815760012</v>
      </c>
      <c r="D169" s="22">
        <v>816.14131528500127</v>
      </c>
      <c r="E169" s="22">
        <v>968.98548902083917</v>
      </c>
      <c r="F169" s="22">
        <v>21.176470588235293</v>
      </c>
      <c r="G169" s="22">
        <v>19.626168224299064</v>
      </c>
      <c r="M169" s="22"/>
      <c r="N169" s="22"/>
      <c r="O169" s="11"/>
      <c r="P169" s="11"/>
      <c r="Q169" s="22"/>
      <c r="R169" s="22"/>
    </row>
    <row r="170" spans="1:18" x14ac:dyDescent="0.3">
      <c r="A170" s="32" t="s">
        <v>47</v>
      </c>
      <c r="B170" s="22">
        <v>0.6086214074091727</v>
      </c>
      <c r="C170" s="22">
        <v>1.0819988824079607</v>
      </c>
      <c r="D170" s="22">
        <v>1142.4042265237731</v>
      </c>
      <c r="E170" s="22">
        <v>1221.0819155507052</v>
      </c>
      <c r="F170" s="22">
        <v>2.3529411764705883</v>
      </c>
      <c r="G170" s="22">
        <v>2.5233644859813085</v>
      </c>
      <c r="M170" s="22"/>
      <c r="N170" s="22"/>
      <c r="O170" s="11"/>
      <c r="P170" s="11"/>
      <c r="Q170" s="22"/>
      <c r="R170" s="22"/>
    </row>
    <row r="171" spans="1:18" x14ac:dyDescent="0.3">
      <c r="A171" s="32" t="s">
        <v>49</v>
      </c>
      <c r="B171" s="22">
        <v>0.85466859652365401</v>
      </c>
      <c r="C171" s="22">
        <v>0.84267211695496325</v>
      </c>
      <c r="D171" s="22">
        <v>943.22219350418015</v>
      </c>
      <c r="E171" s="22">
        <v>1093.7328992750408</v>
      </c>
      <c r="F171" s="22">
        <v>2.9411764705882355</v>
      </c>
      <c r="G171" s="22">
        <v>6.1682242990654208</v>
      </c>
      <c r="M171" s="22"/>
      <c r="N171" s="22"/>
      <c r="O171" s="11"/>
      <c r="P171" s="11"/>
      <c r="Q171" s="22"/>
      <c r="R171" s="22"/>
    </row>
    <row r="172" spans="1:18" x14ac:dyDescent="0.3">
      <c r="A172" s="32" t="s">
        <v>256</v>
      </c>
      <c r="B172" s="22">
        <v>0.96144564528631249</v>
      </c>
      <c r="C172" s="22">
        <v>0.91034203226466737</v>
      </c>
      <c r="D172" s="22">
        <v>1421.6605094193037</v>
      </c>
      <c r="E172" s="22">
        <v>1160.3405640231642</v>
      </c>
      <c r="F172" s="22">
        <v>8.235294117647058</v>
      </c>
      <c r="G172" s="22">
        <v>11.214953271028037</v>
      </c>
      <c r="M172" s="22"/>
      <c r="N172" s="22"/>
      <c r="O172" s="11"/>
      <c r="P172" s="11"/>
      <c r="Q172" s="22"/>
      <c r="R172" s="22"/>
    </row>
    <row r="173" spans="1:18" x14ac:dyDescent="0.3">
      <c r="A173" s="32" t="s">
        <v>258</v>
      </c>
      <c r="B173" s="22">
        <v>1.2643521869151231</v>
      </c>
      <c r="C173" s="22">
        <v>1.51256149636028</v>
      </c>
      <c r="D173" s="22">
        <v>683.97750423588229</v>
      </c>
      <c r="E173" s="22">
        <v>798.09991784676117</v>
      </c>
      <c r="F173" s="22">
        <v>38.823529411764703</v>
      </c>
      <c r="G173" s="22">
        <v>35.32710280373832</v>
      </c>
      <c r="M173" s="22"/>
      <c r="N173" s="22"/>
      <c r="O173" s="11"/>
      <c r="P173" s="11"/>
      <c r="Q173" s="22"/>
      <c r="R173" s="22"/>
    </row>
    <row r="174" spans="1:18" x14ac:dyDescent="0.3">
      <c r="A174" s="32" t="s">
        <v>260</v>
      </c>
      <c r="B174" s="22">
        <v>6.6106164999999995E-2</v>
      </c>
      <c r="C174" s="22">
        <v>1.3917865393389466</v>
      </c>
      <c r="D174" s="22">
        <f>D173/0.8</f>
        <v>854.97188029485278</v>
      </c>
      <c r="E174" s="22">
        <v>1173.5770857401367</v>
      </c>
      <c r="F174" s="22">
        <v>0.12322221999999999</v>
      </c>
      <c r="G174" s="22">
        <v>0.28037383177570091</v>
      </c>
      <c r="M174" s="22"/>
      <c r="N174" s="22"/>
      <c r="O174" s="11"/>
      <c r="P174" s="11"/>
      <c r="Q174" s="22"/>
      <c r="R174" s="22"/>
    </row>
    <row r="175" spans="1:18" x14ac:dyDescent="0.3">
      <c r="A175" s="32" t="s">
        <v>51</v>
      </c>
      <c r="B175" s="22">
        <v>9.2327065E-2</v>
      </c>
      <c r="C175" s="22">
        <v>1.5592187831370397</v>
      </c>
      <c r="D175" s="22">
        <f>D174/1.2</f>
        <v>712.47656691237739</v>
      </c>
      <c r="E175" s="22">
        <v>844.35070624138461</v>
      </c>
      <c r="F175" s="22">
        <v>0.12322221999999999</v>
      </c>
      <c r="G175" s="22">
        <v>0.28037383177570091</v>
      </c>
      <c r="M175" s="22"/>
      <c r="N175" s="22"/>
      <c r="O175" s="11"/>
      <c r="P175" s="11"/>
      <c r="Q175" s="22"/>
      <c r="R175" s="22"/>
    </row>
    <row r="176" spans="1:18" x14ac:dyDescent="0.3">
      <c r="A176" s="32" t="s">
        <v>53</v>
      </c>
      <c r="B176" s="22">
        <v>0.67343103187377729</v>
      </c>
      <c r="C176" s="22">
        <v>1.0253888695073792</v>
      </c>
      <c r="D176" s="22">
        <v>1091.3086788162723</v>
      </c>
      <c r="E176" s="22">
        <v>1171.4978079383145</v>
      </c>
      <c r="F176" s="22">
        <v>2.3529411764705883</v>
      </c>
      <c r="G176" s="22">
        <v>2.8037383177570092</v>
      </c>
      <c r="M176" s="22"/>
      <c r="N176" s="22"/>
      <c r="O176" s="11"/>
      <c r="P176" s="11"/>
      <c r="Q176" s="22"/>
      <c r="R176" s="22"/>
    </row>
    <row r="177" spans="1:18" x14ac:dyDescent="0.3">
      <c r="A177" s="32" t="s">
        <v>55</v>
      </c>
      <c r="B177" s="22">
        <v>0.75602190138809222</v>
      </c>
      <c r="C177" s="22">
        <v>1.2258641056183774</v>
      </c>
      <c r="D177" s="22">
        <v>1365.7873012807686</v>
      </c>
      <c r="E177" s="22">
        <v>1383.6800648913293</v>
      </c>
      <c r="F177" s="22">
        <v>1.1764705882352942</v>
      </c>
      <c r="G177" s="22">
        <v>0.84112149532710279</v>
      </c>
      <c r="M177" s="22"/>
      <c r="N177" s="22"/>
      <c r="O177" s="11"/>
      <c r="P177" s="11"/>
      <c r="Q177" s="22"/>
      <c r="R177" s="22"/>
    </row>
    <row r="178" spans="1:18" x14ac:dyDescent="0.3">
      <c r="A178" s="32" t="s">
        <v>265</v>
      </c>
      <c r="B178" s="22">
        <v>0.81625807237792536</v>
      </c>
      <c r="C178" s="22">
        <v>0.86988761392458758</v>
      </c>
      <c r="D178" s="22">
        <v>844.32385248237813</v>
      </c>
      <c r="E178" s="22">
        <v>902.55842614072913</v>
      </c>
      <c r="F178" s="22">
        <v>22.941176470588236</v>
      </c>
      <c r="G178" s="22">
        <v>18.504672897196262</v>
      </c>
      <c r="M178" s="22"/>
      <c r="N178" s="22"/>
      <c r="O178" s="11"/>
      <c r="P178" s="11"/>
      <c r="Q178" s="22"/>
      <c r="R178" s="22"/>
    </row>
    <row r="179" spans="1:18" x14ac:dyDescent="0.3">
      <c r="A179" s="32" t="s">
        <v>267</v>
      </c>
      <c r="B179" s="22">
        <v>0.86165457233127196</v>
      </c>
      <c r="C179" s="22">
        <v>0.95548483636550141</v>
      </c>
      <c r="D179" s="22">
        <v>900.81450521199338</v>
      </c>
      <c r="E179" s="22">
        <v>862.39237719561265</v>
      </c>
      <c r="F179" s="22">
        <v>24.117647058823529</v>
      </c>
      <c r="G179" s="22">
        <v>19.626168224299064</v>
      </c>
      <c r="M179" s="22"/>
      <c r="N179" s="22"/>
      <c r="O179" s="11"/>
      <c r="P179" s="11"/>
      <c r="Q179" s="22"/>
      <c r="R179" s="22"/>
    </row>
    <row r="180" spans="1:18" x14ac:dyDescent="0.3">
      <c r="A180" s="32" t="s">
        <v>57</v>
      </c>
      <c r="B180" s="22">
        <v>0.54993495672159942</v>
      </c>
      <c r="C180" s="22">
        <v>1.066791000935386</v>
      </c>
      <c r="D180" s="22">
        <v>1121.9354432274095</v>
      </c>
      <c r="E180" s="22">
        <v>1012.8935211995112</v>
      </c>
      <c r="F180" s="22">
        <v>1.1764705882352942</v>
      </c>
      <c r="G180" s="22">
        <v>4.2056074766355138</v>
      </c>
      <c r="M180" s="22"/>
      <c r="N180" s="22"/>
      <c r="O180" s="11"/>
      <c r="P180" s="11"/>
      <c r="Q180" s="22"/>
      <c r="R180" s="22"/>
    </row>
    <row r="181" spans="1:18" x14ac:dyDescent="0.3">
      <c r="A181" s="32" t="s">
        <v>269</v>
      </c>
      <c r="B181" s="22">
        <v>6.606078E-2</v>
      </c>
      <c r="C181" s="22">
        <v>1.5324999621899935</v>
      </c>
      <c r="D181" s="22">
        <f>D180/1.2</f>
        <v>934.94620268950791</v>
      </c>
      <c r="E181" s="22">
        <v>1421.7329163880786</v>
      </c>
      <c r="F181" s="22">
        <v>0.12322221999999999</v>
      </c>
      <c r="G181" s="22">
        <v>0.28037383177570091</v>
      </c>
      <c r="M181" s="22"/>
      <c r="N181" s="22"/>
      <c r="O181" s="11"/>
      <c r="P181" s="11"/>
      <c r="Q181" s="22"/>
      <c r="R181" s="22"/>
    </row>
    <row r="182" spans="1:18" x14ac:dyDescent="0.3">
      <c r="A182" s="32" t="s">
        <v>59</v>
      </c>
      <c r="B182" s="22">
        <v>0.75234784751070283</v>
      </c>
      <c r="C182" s="22">
        <v>1.3191086160377525</v>
      </c>
      <c r="D182" s="22">
        <v>1031.497785114437</v>
      </c>
      <c r="E182" s="22">
        <v>1969.8717114531901</v>
      </c>
      <c r="F182" s="22">
        <v>1.7647058823529411</v>
      </c>
      <c r="G182" s="22">
        <v>0.84112149532710279</v>
      </c>
      <c r="M182" s="22"/>
      <c r="N182" s="22"/>
      <c r="O182" s="11"/>
      <c r="P182" s="11"/>
      <c r="Q182" s="22"/>
      <c r="R182" s="22"/>
    </row>
    <row r="183" spans="1:18" x14ac:dyDescent="0.3">
      <c r="A183" s="32" t="s">
        <v>61</v>
      </c>
      <c r="B183" s="22">
        <v>6.7779439999999996E-2</v>
      </c>
      <c r="C183" s="22">
        <v>0.68312099758644096</v>
      </c>
      <c r="D183" s="22">
        <f>D182/1.2</f>
        <v>859.58148759536414</v>
      </c>
      <c r="E183" s="22">
        <v>936.37206428241916</v>
      </c>
      <c r="F183" s="22">
        <v>0.12322221999999999</v>
      </c>
      <c r="G183" s="22">
        <v>0.28037383177570091</v>
      </c>
      <c r="M183" s="22"/>
      <c r="N183" s="22"/>
      <c r="O183" s="11"/>
      <c r="P183" s="11"/>
      <c r="Q183" s="22"/>
      <c r="R183" s="22"/>
    </row>
    <row r="184" spans="1:18" x14ac:dyDescent="0.3">
      <c r="A184" s="32" t="s">
        <v>63</v>
      </c>
      <c r="B184" s="22">
        <v>0.73330352783621355</v>
      </c>
      <c r="C184" s="22">
        <v>0.73738611501986562</v>
      </c>
      <c r="D184" s="22">
        <v>1394.838588997997</v>
      </c>
      <c r="E184" s="22">
        <v>1342.2624232601811</v>
      </c>
      <c r="F184" s="22">
        <v>2.9411764705882355</v>
      </c>
      <c r="G184" s="22">
        <v>3.6448598130841123</v>
      </c>
      <c r="M184" s="22"/>
      <c r="N184" s="22"/>
      <c r="O184" s="11"/>
      <c r="P184" s="11"/>
      <c r="Q184" s="22"/>
      <c r="R184" s="22"/>
    </row>
    <row r="185" spans="1:18" x14ac:dyDescent="0.3">
      <c r="A185" s="32" t="s">
        <v>65</v>
      </c>
      <c r="B185" s="22">
        <v>6.6278219999999999E-2</v>
      </c>
      <c r="C185" s="22">
        <v>0.53142440204254293</v>
      </c>
      <c r="D185" s="22">
        <f>D184/1.6</f>
        <v>871.77411812374805</v>
      </c>
      <c r="E185" s="22">
        <v>769.05204963468714</v>
      </c>
      <c r="F185" s="22">
        <v>0.12322221999999999</v>
      </c>
      <c r="G185" s="22">
        <v>0.28037383177570091</v>
      </c>
      <c r="M185" s="22"/>
      <c r="N185" s="22"/>
      <c r="O185" s="11"/>
      <c r="P185" s="11"/>
      <c r="Q185" s="22"/>
      <c r="R185" s="22"/>
    </row>
    <row r="186" spans="1:18" x14ac:dyDescent="0.3">
      <c r="A186" s="7" t="s">
        <v>68</v>
      </c>
      <c r="B186" s="22">
        <v>0.39260420694441078</v>
      </c>
      <c r="C186" s="22">
        <v>0.45024869660648076</v>
      </c>
      <c r="D186" s="22">
        <v>873.22467370128561</v>
      </c>
      <c r="E186" s="22">
        <v>1095.1002308112629</v>
      </c>
      <c r="F186" s="22">
        <v>18.518518518518519</v>
      </c>
      <c r="G186" s="22">
        <v>15.483870967741936</v>
      </c>
      <c r="M186" s="22"/>
      <c r="N186" s="22"/>
      <c r="O186" s="11"/>
      <c r="P186" s="11"/>
      <c r="Q186" s="22"/>
      <c r="R186" s="22"/>
    </row>
    <row r="187" spans="1:18" x14ac:dyDescent="0.3">
      <c r="A187" s="7" t="s">
        <v>70</v>
      </c>
      <c r="B187" s="22">
        <v>5.6627825E-2</v>
      </c>
      <c r="C187" s="22">
        <v>0.3864912032554858</v>
      </c>
      <c r="D187" s="22">
        <f>D186/1.4</f>
        <v>623.73190978663263</v>
      </c>
      <c r="E187" s="22">
        <v>1191.4485965341257</v>
      </c>
      <c r="F187" s="22">
        <v>1.1122325399999999</v>
      </c>
      <c r="G187" s="22">
        <v>2.150537634408602</v>
      </c>
      <c r="M187" s="22"/>
      <c r="N187" s="22"/>
      <c r="O187" s="11"/>
      <c r="P187" s="11"/>
      <c r="Q187" s="22"/>
      <c r="R187" s="22"/>
    </row>
    <row r="188" spans="1:18" x14ac:dyDescent="0.3">
      <c r="A188" s="7" t="s">
        <v>72</v>
      </c>
      <c r="B188" s="22">
        <v>0.31737577017741159</v>
      </c>
      <c r="C188" s="22">
        <v>0.34269522972611816</v>
      </c>
      <c r="D188" s="22">
        <v>1138.7571546816159</v>
      </c>
      <c r="E188" s="22">
        <v>1352.2279099949938</v>
      </c>
      <c r="F188" s="22">
        <v>4.4444444444444446</v>
      </c>
      <c r="G188" s="22">
        <v>5.161290322580645</v>
      </c>
      <c r="M188" s="22"/>
      <c r="N188" s="22"/>
      <c r="O188" s="11"/>
      <c r="P188" s="11"/>
      <c r="Q188" s="22"/>
      <c r="R188" s="22"/>
    </row>
    <row r="189" spans="1:18" x14ac:dyDescent="0.3">
      <c r="A189" s="7" t="s">
        <v>74</v>
      </c>
      <c r="B189" s="22">
        <v>0.32490230481378918</v>
      </c>
      <c r="C189" s="22">
        <v>0.33136181711016932</v>
      </c>
      <c r="D189" s="22">
        <v>1167.6966620092126</v>
      </c>
      <c r="E189" s="22">
        <v>1320.9439423259178</v>
      </c>
      <c r="F189" s="22">
        <v>9.6296296296296298</v>
      </c>
      <c r="G189" s="22">
        <v>7.956989247311828</v>
      </c>
      <c r="M189" s="22"/>
      <c r="N189" s="22"/>
      <c r="O189" s="11"/>
      <c r="P189" s="11"/>
      <c r="Q189" s="22"/>
      <c r="R189" s="22"/>
    </row>
    <row r="190" spans="1:18" x14ac:dyDescent="0.3">
      <c r="A190" s="7" t="s">
        <v>281</v>
      </c>
      <c r="B190" s="22">
        <v>0.2919168951447027</v>
      </c>
      <c r="C190" s="22">
        <v>0.40724566763443848</v>
      </c>
      <c r="D190" s="22">
        <v>1750.8967301919693</v>
      </c>
      <c r="E190" s="22">
        <v>1360.8167363096047</v>
      </c>
      <c r="F190" s="22">
        <v>2.2222222222222223</v>
      </c>
      <c r="G190" s="22">
        <v>1.2903225806451613</v>
      </c>
      <c r="M190" s="22"/>
      <c r="N190" s="22"/>
      <c r="O190" s="11"/>
      <c r="P190" s="11"/>
      <c r="Q190" s="22"/>
      <c r="R190" s="22"/>
    </row>
    <row r="191" spans="1:18" x14ac:dyDescent="0.3">
      <c r="A191" s="7" t="s">
        <v>282</v>
      </c>
      <c r="B191" s="22">
        <v>5.662822E-2</v>
      </c>
      <c r="C191" s="22">
        <v>0.52704759406483448</v>
      </c>
      <c r="D191" s="22">
        <f>D190/1.4</f>
        <v>1250.6405215656923</v>
      </c>
      <c r="E191" s="22">
        <v>3921.6094407877972</v>
      </c>
      <c r="F191" s="22">
        <v>0.21325564</v>
      </c>
      <c r="G191" s="22">
        <v>0.43010752688172044</v>
      </c>
      <c r="M191" s="22"/>
      <c r="N191" s="22"/>
      <c r="O191" s="11"/>
      <c r="P191" s="11"/>
      <c r="Q191" s="22"/>
      <c r="R191" s="22"/>
    </row>
    <row r="192" spans="1:18" x14ac:dyDescent="0.3">
      <c r="A192" s="7" t="s">
        <v>283</v>
      </c>
      <c r="B192" s="22">
        <v>9.9266665000000004E-2</v>
      </c>
      <c r="C192" s="22">
        <v>0.38556854895286957</v>
      </c>
      <c r="D192" s="22">
        <f>D191/1.4</f>
        <v>893.31465826120882</v>
      </c>
      <c r="E192" s="22">
        <v>1184.6183238884159</v>
      </c>
      <c r="F192" s="22">
        <v>1.12123215</v>
      </c>
      <c r="G192" s="22">
        <v>2.795698924731183</v>
      </c>
      <c r="M192" s="22"/>
      <c r="N192" s="22"/>
      <c r="O192" s="11"/>
      <c r="P192" s="11"/>
      <c r="Q192" s="22"/>
      <c r="R192" s="22"/>
    </row>
    <row r="193" spans="1:18" x14ac:dyDescent="0.3">
      <c r="A193" s="7" t="s">
        <v>76</v>
      </c>
      <c r="B193" s="22">
        <v>0.32730500978049237</v>
      </c>
      <c r="C193" s="22">
        <v>0.41075677998057719</v>
      </c>
      <c r="D193" s="22">
        <v>1108.4136750675216</v>
      </c>
      <c r="E193" s="22">
        <v>1202.9965964396733</v>
      </c>
      <c r="F193" s="22">
        <v>13.333333333333334</v>
      </c>
      <c r="G193" s="22">
        <v>10.53763440860215</v>
      </c>
      <c r="M193" s="22"/>
      <c r="N193" s="22"/>
      <c r="O193" s="11"/>
      <c r="P193" s="11"/>
      <c r="Q193" s="22"/>
      <c r="R193" s="22"/>
    </row>
    <row r="194" spans="1:18" x14ac:dyDescent="0.3">
      <c r="A194" s="7" t="s">
        <v>78</v>
      </c>
      <c r="B194" s="22">
        <v>0.385338028272106</v>
      </c>
      <c r="C194" s="22">
        <v>0.44127234860007963</v>
      </c>
      <c r="D194" s="22">
        <v>1079.6913914070426</v>
      </c>
      <c r="E194" s="22">
        <v>1297.8290738622015</v>
      </c>
      <c r="F194" s="22">
        <v>10.37037037037037</v>
      </c>
      <c r="G194" s="22">
        <v>12.473118279569892</v>
      </c>
      <c r="M194" s="22"/>
      <c r="N194" s="22"/>
      <c r="O194" s="11"/>
      <c r="P194" s="11"/>
      <c r="Q194" s="22"/>
      <c r="R194" s="22"/>
    </row>
    <row r="195" spans="1:18" x14ac:dyDescent="0.3">
      <c r="A195" s="7" t="s">
        <v>80</v>
      </c>
      <c r="B195" s="22">
        <v>0.38922012406103085</v>
      </c>
      <c r="C195" s="22">
        <v>0.41922269877345669</v>
      </c>
      <c r="D195" s="22">
        <v>1056.2986285771467</v>
      </c>
      <c r="E195" s="22">
        <v>1156.8159810195202</v>
      </c>
      <c r="F195" s="22">
        <v>5.9259259259259256</v>
      </c>
      <c r="G195" s="22">
        <v>6.881720430107527</v>
      </c>
      <c r="M195" s="22"/>
      <c r="N195" s="22"/>
      <c r="O195" s="11"/>
      <c r="P195" s="11"/>
      <c r="Q195" s="22"/>
      <c r="R195" s="22"/>
    </row>
    <row r="196" spans="1:18" x14ac:dyDescent="0.3">
      <c r="A196" s="7" t="s">
        <v>82</v>
      </c>
      <c r="B196" s="22">
        <v>0.26119388645650804</v>
      </c>
      <c r="C196" s="22">
        <v>0.49487327064845077</v>
      </c>
      <c r="D196" s="22">
        <v>1140.4520415434247</v>
      </c>
      <c r="E196" s="22">
        <v>1576.3469614962378</v>
      </c>
      <c r="F196" s="22">
        <v>2.2222222222222223</v>
      </c>
      <c r="G196" s="22">
        <v>1.5053763440860215</v>
      </c>
      <c r="M196" s="22"/>
      <c r="N196" s="22"/>
      <c r="O196" s="11"/>
      <c r="P196" s="11"/>
      <c r="Q196" s="22"/>
      <c r="R196" s="22"/>
    </row>
    <row r="197" spans="1:18" x14ac:dyDescent="0.3">
      <c r="A197" s="7" t="s">
        <v>284</v>
      </c>
      <c r="B197" s="22">
        <v>0.457302509202409</v>
      </c>
      <c r="C197" s="22">
        <v>0.38935894175991848</v>
      </c>
      <c r="D197" s="22">
        <v>4296.3471844337037</v>
      </c>
      <c r="E197" s="22">
        <v>938.65003558416879</v>
      </c>
      <c r="F197" s="22">
        <v>0.7407407407407407</v>
      </c>
      <c r="G197" s="22">
        <v>1.5053763440860215</v>
      </c>
      <c r="M197" s="22"/>
      <c r="N197" s="22"/>
      <c r="O197" s="11"/>
      <c r="P197" s="11"/>
      <c r="Q197" s="22"/>
      <c r="R197" s="22"/>
    </row>
    <row r="198" spans="1:18" x14ac:dyDescent="0.3">
      <c r="A198" s="7" t="s">
        <v>285</v>
      </c>
      <c r="B198" s="22">
        <v>0.37634535123062685</v>
      </c>
      <c r="C198" s="22">
        <v>0.69900976267276038</v>
      </c>
      <c r="D198" s="22">
        <v>1077.9627968898494</v>
      </c>
      <c r="E198" s="22">
        <v>889.11895232723998</v>
      </c>
      <c r="F198" s="22">
        <v>1.4814814814814814</v>
      </c>
      <c r="G198" s="22">
        <v>5.161290322580645</v>
      </c>
      <c r="M198" s="22"/>
      <c r="N198" s="22"/>
      <c r="O198" s="11"/>
      <c r="P198" s="11"/>
      <c r="Q198" s="22"/>
      <c r="R198" s="22"/>
    </row>
    <row r="199" spans="1:18" x14ac:dyDescent="0.3">
      <c r="A199" s="7" t="s">
        <v>286</v>
      </c>
      <c r="B199" s="22">
        <v>6.7324385E-2</v>
      </c>
      <c r="C199" s="22">
        <v>0.49784474658542027</v>
      </c>
      <c r="D199" s="22">
        <f>D198/1.4</f>
        <v>769.97342634989252</v>
      </c>
      <c r="E199" s="22">
        <v>886.87167602912189</v>
      </c>
      <c r="F199" s="22">
        <v>0.78988844999999996</v>
      </c>
      <c r="G199" s="22">
        <v>1.5053763440860215</v>
      </c>
      <c r="M199" s="22"/>
      <c r="N199" s="22"/>
      <c r="O199" s="11"/>
      <c r="P199" s="11"/>
      <c r="Q199" s="22"/>
      <c r="R199" s="22"/>
    </row>
    <row r="200" spans="1:18" x14ac:dyDescent="0.3">
      <c r="A200" s="7" t="s">
        <v>84</v>
      </c>
      <c r="B200" s="22">
        <v>0.34144445231222148</v>
      </c>
      <c r="C200" s="22">
        <v>0.54177155073108774</v>
      </c>
      <c r="D200" s="22">
        <v>1172.3445120593278</v>
      </c>
      <c r="E200" s="22">
        <v>1500.6936785446248</v>
      </c>
      <c r="F200" s="22">
        <v>9.6296296296296298</v>
      </c>
      <c r="G200" s="22">
        <v>2.795698924731183</v>
      </c>
      <c r="M200" s="22"/>
      <c r="N200" s="22"/>
      <c r="O200" s="11"/>
      <c r="P200" s="11"/>
      <c r="Q200" s="22"/>
      <c r="R200" s="22"/>
    </row>
    <row r="201" spans="1:18" x14ac:dyDescent="0.3">
      <c r="A201" s="7" t="s">
        <v>86</v>
      </c>
      <c r="B201" s="22">
        <v>0.28975838149069377</v>
      </c>
      <c r="C201" s="22">
        <v>0.47927299333791523</v>
      </c>
      <c r="D201" s="22">
        <v>1983.0922852025305</v>
      </c>
      <c r="E201" s="22">
        <v>892.17568305381928</v>
      </c>
      <c r="F201" s="22">
        <v>3.7037037037037037</v>
      </c>
      <c r="G201" s="22">
        <v>5.591397849462366</v>
      </c>
      <c r="M201" s="22"/>
      <c r="N201" s="22"/>
      <c r="O201" s="11"/>
      <c r="P201" s="11"/>
      <c r="Q201" s="22"/>
      <c r="R201" s="22"/>
    </row>
    <row r="202" spans="1:18" x14ac:dyDescent="0.3">
      <c r="A202" s="7" t="s">
        <v>88</v>
      </c>
      <c r="B202" s="22">
        <v>0.29862735513671346</v>
      </c>
      <c r="C202" s="22">
        <v>0.40622062992518837</v>
      </c>
      <c r="D202" s="22">
        <v>881.73251375235679</v>
      </c>
      <c r="E202" s="22">
        <v>1287.4437091930979</v>
      </c>
      <c r="F202" s="22">
        <v>2.9629629629629628</v>
      </c>
      <c r="G202" s="22">
        <v>3.6559139784946235</v>
      </c>
      <c r="M202" s="22"/>
      <c r="N202" s="22"/>
      <c r="O202" s="11"/>
      <c r="P202" s="11"/>
      <c r="Q202" s="22"/>
      <c r="R202" s="22"/>
    </row>
    <row r="203" spans="1:18" x14ac:dyDescent="0.3">
      <c r="A203" s="7" t="s">
        <v>287</v>
      </c>
      <c r="B203" s="22">
        <v>0.337786278040419</v>
      </c>
      <c r="C203" s="22">
        <v>0.47743494331178354</v>
      </c>
      <c r="D203" s="22">
        <v>1236.6433861219164</v>
      </c>
      <c r="E203" s="22">
        <v>1131.8399478869869</v>
      </c>
      <c r="F203" s="22">
        <v>8.8888888888888893</v>
      </c>
      <c r="G203" s="22">
        <v>13.118279569892474</v>
      </c>
      <c r="M203" s="22"/>
      <c r="N203" s="22"/>
      <c r="O203" s="11"/>
      <c r="P203" s="11"/>
      <c r="Q203" s="22"/>
      <c r="R203" s="22"/>
    </row>
    <row r="204" spans="1:18" x14ac:dyDescent="0.3">
      <c r="A204" s="7" t="s">
        <v>90</v>
      </c>
      <c r="B204" s="22">
        <v>0.33531734704467969</v>
      </c>
      <c r="C204" s="22">
        <v>0.40472387710720803</v>
      </c>
      <c r="D204" s="22">
        <v>1196.7716898431354</v>
      </c>
      <c r="E204" s="22">
        <v>1295.7660348509451</v>
      </c>
      <c r="F204" s="22">
        <v>7.4074074074074074</v>
      </c>
      <c r="G204" s="22">
        <v>6.666666666666667</v>
      </c>
      <c r="M204" s="22"/>
      <c r="N204" s="22"/>
      <c r="O204" s="11"/>
      <c r="P204" s="11"/>
      <c r="Q204" s="22"/>
      <c r="R204" s="22"/>
    </row>
    <row r="205" spans="1:18" x14ac:dyDescent="0.3">
      <c r="A205" s="7" t="s">
        <v>288</v>
      </c>
      <c r="B205" s="22">
        <v>6.7232774999999995E-2</v>
      </c>
      <c r="C205" s="22">
        <v>0.43646927224487714</v>
      </c>
      <c r="D205" s="22">
        <f>D204/1.4</f>
        <v>854.83692131652538</v>
      </c>
      <c r="E205" s="22">
        <v>1002.2991903278473</v>
      </c>
      <c r="F205" s="22">
        <v>0.45658799</v>
      </c>
      <c r="G205" s="22">
        <v>1.5053763440860215</v>
      </c>
      <c r="M205" s="22"/>
      <c r="N205" s="22"/>
      <c r="O205" s="11"/>
      <c r="P205" s="11"/>
      <c r="Q205" s="22"/>
      <c r="R205" s="22"/>
    </row>
    <row r="206" spans="1:18" x14ac:dyDescent="0.3">
      <c r="A206" s="7" t="s">
        <v>289</v>
      </c>
      <c r="B206" s="22">
        <v>0.39764612654594211</v>
      </c>
      <c r="C206" s="22">
        <v>0.54785484198885748</v>
      </c>
      <c r="D206" s="22">
        <v>929.82853939302152</v>
      </c>
      <c r="E206" s="22">
        <v>967.78740971928471</v>
      </c>
      <c r="F206" s="22">
        <v>18.518518518518519</v>
      </c>
      <c r="G206" s="22">
        <v>22.580645161290324</v>
      </c>
      <c r="M206" s="22"/>
      <c r="N206" s="22"/>
      <c r="O206" s="11"/>
      <c r="P206" s="11"/>
      <c r="Q206" s="22"/>
      <c r="R206" s="22"/>
    </row>
    <row r="207" spans="1:18" x14ac:dyDescent="0.3">
      <c r="A207" s="7" t="s">
        <v>290</v>
      </c>
      <c r="B207" s="22">
        <v>7.3292769999999993E-2</v>
      </c>
      <c r="C207" s="22">
        <v>0.38325787464048167</v>
      </c>
      <c r="D207" s="22">
        <f>D206/1.4</f>
        <v>664.16324242358689</v>
      </c>
      <c r="E207" s="22">
        <v>1412.1543830050534</v>
      </c>
      <c r="F207" s="22">
        <v>0.52213564000000001</v>
      </c>
      <c r="G207" s="22">
        <v>1.075268817204301</v>
      </c>
      <c r="M207" s="22"/>
      <c r="N207" s="22"/>
      <c r="O207" s="11"/>
      <c r="P207" s="11"/>
      <c r="Q207" s="22"/>
      <c r="R207" s="22"/>
    </row>
    <row r="208" spans="1:18" x14ac:dyDescent="0.3">
      <c r="A208" s="7" t="s">
        <v>92</v>
      </c>
      <c r="B208" s="22">
        <v>0.274809093361434</v>
      </c>
      <c r="C208" s="22">
        <v>0.57051069935511656</v>
      </c>
      <c r="D208" s="22">
        <v>795.26818284179171</v>
      </c>
      <c r="E208" s="22">
        <v>1014.6927649675085</v>
      </c>
      <c r="F208" s="22">
        <v>0.7407407407407407</v>
      </c>
      <c r="G208" s="22">
        <v>6.881720430107527</v>
      </c>
      <c r="M208" s="22"/>
      <c r="N208" s="22"/>
      <c r="O208" s="11"/>
      <c r="P208" s="11"/>
      <c r="Q208" s="22"/>
      <c r="R208" s="22"/>
    </row>
    <row r="209" spans="1:18" x14ac:dyDescent="0.3">
      <c r="A209" s="7" t="s">
        <v>94</v>
      </c>
      <c r="B209" s="22">
        <v>0.45152665906731565</v>
      </c>
      <c r="C209" s="22">
        <v>0.45268280016754026</v>
      </c>
      <c r="D209" s="22">
        <v>895.87033514214602</v>
      </c>
      <c r="E209" s="22">
        <v>1015.6697140912717</v>
      </c>
      <c r="F209" s="22">
        <v>21.481481481481481</v>
      </c>
      <c r="G209" s="22">
        <v>17.419354838709676</v>
      </c>
      <c r="M209" s="22"/>
      <c r="N209" s="22"/>
      <c r="O209" s="11"/>
      <c r="P209" s="11"/>
      <c r="Q209" s="22"/>
      <c r="R209" s="22"/>
    </row>
    <row r="210" spans="1:18" x14ac:dyDescent="0.3">
      <c r="A210" s="7" t="s">
        <v>96</v>
      </c>
      <c r="B210" s="22">
        <v>0.25635802099998461</v>
      </c>
      <c r="C210" s="22">
        <v>0.68267071450875672</v>
      </c>
      <c r="D210" s="22">
        <v>813.28029840803902</v>
      </c>
      <c r="E210" s="22">
        <v>948.80173980111817</v>
      </c>
      <c r="F210" s="22">
        <v>0.7407407407407407</v>
      </c>
      <c r="G210" s="22">
        <v>4.086021505376344</v>
      </c>
      <c r="M210" s="22"/>
      <c r="N210" s="22"/>
      <c r="O210" s="11"/>
      <c r="P210" s="11"/>
      <c r="Q210" s="22"/>
      <c r="R210" s="22"/>
    </row>
    <row r="211" spans="1:18" x14ac:dyDescent="0.3">
      <c r="A211" s="7" t="s">
        <v>98</v>
      </c>
      <c r="B211" s="22">
        <v>0.34554486332133028</v>
      </c>
      <c r="C211" s="22">
        <v>0.38657690014046786</v>
      </c>
      <c r="D211" s="22">
        <v>1328.7285945399017</v>
      </c>
      <c r="E211" s="22">
        <v>1296.798439666803</v>
      </c>
      <c r="F211" s="22">
        <v>5.1851851851851851</v>
      </c>
      <c r="G211" s="22">
        <v>6.236559139784946</v>
      </c>
      <c r="M211" s="22"/>
      <c r="N211" s="22"/>
      <c r="O211" s="11"/>
      <c r="P211" s="11"/>
      <c r="Q211" s="22"/>
      <c r="R211" s="22"/>
    </row>
    <row r="212" spans="1:18" x14ac:dyDescent="0.3">
      <c r="A212" s="7" t="s">
        <v>100</v>
      </c>
      <c r="B212" s="22">
        <v>0.31057408163253941</v>
      </c>
      <c r="C212" s="22">
        <v>0.4238685035715708</v>
      </c>
      <c r="D212" s="22">
        <v>1008.0798066659972</v>
      </c>
      <c r="E212" s="22">
        <v>1112.7032029005302</v>
      </c>
      <c r="F212" s="22">
        <v>7.4074074074074074</v>
      </c>
      <c r="G212" s="22">
        <v>6.666666666666667</v>
      </c>
      <c r="M212" s="22"/>
      <c r="N212" s="22"/>
      <c r="O212" s="11"/>
      <c r="P212" s="11"/>
      <c r="Q212" s="22"/>
      <c r="R212" s="22"/>
    </row>
    <row r="213" spans="1:18" x14ac:dyDescent="0.3">
      <c r="A213" s="7" t="s">
        <v>102</v>
      </c>
      <c r="B213" s="22">
        <v>0.73904696084374422</v>
      </c>
      <c r="C213" s="22">
        <v>0.47429574821049564</v>
      </c>
      <c r="D213" s="22">
        <v>1325.1202137806067</v>
      </c>
      <c r="E213" s="22">
        <v>983.54756344673547</v>
      </c>
      <c r="F213" s="22">
        <v>1.4814814814814814</v>
      </c>
      <c r="G213" s="22">
        <v>4.086021505376344</v>
      </c>
      <c r="M213" s="22"/>
      <c r="N213" s="22"/>
      <c r="O213" s="11"/>
      <c r="P213" s="11"/>
      <c r="Q213" s="22"/>
      <c r="R213" s="22"/>
    </row>
    <row r="214" spans="1:18" x14ac:dyDescent="0.3">
      <c r="A214" s="7" t="s">
        <v>104</v>
      </c>
      <c r="B214" s="22">
        <v>0.26364400319917969</v>
      </c>
      <c r="C214" s="22">
        <v>0.38089302961488952</v>
      </c>
      <c r="D214" s="22">
        <v>1458.5991195234044</v>
      </c>
      <c r="E214" s="22">
        <v>1062.0824327370951</v>
      </c>
      <c r="F214" s="22">
        <v>2.2222222222222223</v>
      </c>
      <c r="G214" s="22">
        <v>4.731182795698925</v>
      </c>
      <c r="M214" s="22"/>
      <c r="N214" s="22"/>
      <c r="O214" s="11"/>
      <c r="P214" s="11"/>
      <c r="Q214" s="22"/>
      <c r="R214" s="22"/>
    </row>
    <row r="215" spans="1:18" x14ac:dyDescent="0.3">
      <c r="A215" s="7" t="s">
        <v>106</v>
      </c>
      <c r="B215" s="22">
        <v>0.31953125745111838</v>
      </c>
      <c r="C215" s="22">
        <v>0.42048095715982331</v>
      </c>
      <c r="D215" s="22">
        <v>4511.4760529815794</v>
      </c>
      <c r="E215" s="22">
        <v>1392.3394918196559</v>
      </c>
      <c r="F215" s="22">
        <v>2.2222222222222223</v>
      </c>
      <c r="G215" s="22">
        <v>6.4516129032258061</v>
      </c>
      <c r="M215" s="22"/>
      <c r="N215" s="22"/>
      <c r="O215" s="11"/>
      <c r="P215" s="11"/>
      <c r="Q215" s="22"/>
      <c r="R215" s="22"/>
    </row>
    <row r="216" spans="1:18" x14ac:dyDescent="0.3">
      <c r="A216" s="7" t="s">
        <v>107</v>
      </c>
      <c r="B216" s="22">
        <v>0.44516120994500519</v>
      </c>
      <c r="C216" s="22">
        <v>0.36860977983686871</v>
      </c>
      <c r="D216" s="22">
        <v>1427.1914544425754</v>
      </c>
      <c r="E216" s="22">
        <v>1217.8803193707299</v>
      </c>
      <c r="F216" s="22">
        <v>6.666666666666667</v>
      </c>
      <c r="G216" s="22">
        <v>7.096774193548387</v>
      </c>
      <c r="M216" s="22"/>
      <c r="N216" s="22"/>
      <c r="O216" s="11"/>
      <c r="P216" s="11"/>
      <c r="Q216" s="22"/>
      <c r="R216" s="22"/>
    </row>
    <row r="217" spans="1:18" x14ac:dyDescent="0.3">
      <c r="A217" s="7" t="s">
        <v>108</v>
      </c>
      <c r="B217" s="22">
        <v>0.28619617084545901</v>
      </c>
      <c r="C217" s="22">
        <v>0.42846088590330639</v>
      </c>
      <c r="D217" s="22">
        <v>1443.4445388905606</v>
      </c>
      <c r="E217" s="22">
        <v>1374.7174450481141</v>
      </c>
      <c r="F217" s="22">
        <v>1.4814814814814814</v>
      </c>
      <c r="G217" s="22">
        <v>3.6559139784946235</v>
      </c>
      <c r="M217" s="22"/>
      <c r="N217" s="22"/>
      <c r="O217" s="11"/>
      <c r="P217" s="11"/>
    </row>
    <row r="218" spans="1:18" x14ac:dyDescent="0.3">
      <c r="A218" s="7" t="s">
        <v>291</v>
      </c>
      <c r="B218" s="22">
        <v>0.49601205243374291</v>
      </c>
      <c r="C218" s="22">
        <v>0.3591812091113164</v>
      </c>
      <c r="D218" s="22">
        <v>4218.8291605240365</v>
      </c>
      <c r="E218" s="22">
        <v>1184.988696553102</v>
      </c>
      <c r="F218" s="22">
        <v>0.7407407407407407</v>
      </c>
      <c r="G218" s="22">
        <v>1.5053763440860215</v>
      </c>
      <c r="M218" s="22"/>
      <c r="N218" s="22"/>
      <c r="O218" s="11"/>
      <c r="P218" s="11"/>
    </row>
    <row r="219" spans="1:18" x14ac:dyDescent="0.3">
      <c r="A219" s="7" t="s">
        <v>109</v>
      </c>
      <c r="B219" s="22">
        <v>0.35904104601040804</v>
      </c>
      <c r="C219" s="22">
        <v>0.45931611523142474</v>
      </c>
      <c r="D219" s="22">
        <v>1246.3059091078724</v>
      </c>
      <c r="E219" s="22">
        <v>1089.3144317326255</v>
      </c>
      <c r="F219" s="22">
        <v>12.592592592592593</v>
      </c>
      <c r="G219" s="22">
        <v>11.612903225806452</v>
      </c>
      <c r="M219" s="22"/>
      <c r="N219" s="22"/>
      <c r="O219" s="11"/>
      <c r="P219" s="11"/>
    </row>
    <row r="220" spans="1:18" x14ac:dyDescent="0.3">
      <c r="A220" s="7" t="s">
        <v>110</v>
      </c>
      <c r="B220" s="22">
        <v>0.31824436722807503</v>
      </c>
      <c r="C220" s="22">
        <v>0.42304341824411346</v>
      </c>
      <c r="D220" s="22">
        <v>1108.4419317151733</v>
      </c>
      <c r="E220" s="22">
        <v>1162.2532774175656</v>
      </c>
      <c r="F220" s="22">
        <v>4.4444444444444446</v>
      </c>
      <c r="G220" s="22">
        <v>6.881720430107527</v>
      </c>
      <c r="M220" s="22"/>
      <c r="N220" s="22"/>
      <c r="O220" s="11"/>
      <c r="P220" s="11"/>
    </row>
    <row r="221" spans="1:18" x14ac:dyDescent="0.3">
      <c r="A221" s="7" t="s">
        <v>111</v>
      </c>
      <c r="B221" s="22">
        <v>0.44849009943535811</v>
      </c>
      <c r="C221" s="22">
        <v>0.3832294651573222</v>
      </c>
      <c r="D221" s="22">
        <v>1386.1813481988133</v>
      </c>
      <c r="E221" s="22">
        <v>1407.9938603252701</v>
      </c>
      <c r="F221" s="22">
        <v>5.1851851851851851</v>
      </c>
      <c r="G221" s="22">
        <v>5.376344086021505</v>
      </c>
      <c r="M221" s="22"/>
      <c r="N221" s="22"/>
      <c r="O221" s="11"/>
      <c r="P221" s="11"/>
    </row>
    <row r="222" spans="1:18" x14ac:dyDescent="0.3">
      <c r="A222" s="7" t="s">
        <v>112</v>
      </c>
      <c r="B222" s="22">
        <v>0.35549373258967248</v>
      </c>
      <c r="C222" s="22">
        <v>0.44549305546724438</v>
      </c>
      <c r="D222" s="22">
        <v>1436.479189867126</v>
      </c>
      <c r="E222" s="22">
        <v>1292.7105339987916</v>
      </c>
      <c r="F222" s="22">
        <v>2.9629629629629628</v>
      </c>
      <c r="G222" s="22">
        <v>2.3655913978494625</v>
      </c>
      <c r="M222" s="22"/>
      <c r="N222" s="22"/>
      <c r="O222" s="11"/>
      <c r="P222" s="11"/>
    </row>
    <row r="223" spans="1:18" x14ac:dyDescent="0.3">
      <c r="A223" s="7" t="s">
        <v>113</v>
      </c>
      <c r="B223" s="22">
        <v>0.32954332045378276</v>
      </c>
      <c r="C223" s="22">
        <v>0.52972441581249385</v>
      </c>
      <c r="D223" s="22">
        <v>1526.4242003198351</v>
      </c>
      <c r="E223" s="22">
        <v>1988.0322594671106</v>
      </c>
      <c r="F223" s="22">
        <v>1.4814814814814814</v>
      </c>
      <c r="G223" s="22">
        <v>1.7204301075268817</v>
      </c>
      <c r="M223" s="22"/>
      <c r="N223" s="22"/>
      <c r="O223" s="11"/>
      <c r="P223" s="11"/>
    </row>
    <row r="224" spans="1:18" x14ac:dyDescent="0.3">
      <c r="A224" s="7" t="s">
        <v>292</v>
      </c>
      <c r="B224" s="22">
        <v>0.31379217993770542</v>
      </c>
      <c r="C224" s="22">
        <v>0.36406232795824028</v>
      </c>
      <c r="D224" s="22">
        <v>1835.3604289770956</v>
      </c>
      <c r="E224" s="22">
        <v>1653.6559952959526</v>
      </c>
      <c r="F224" s="22">
        <v>0.7407407407407407</v>
      </c>
      <c r="G224" s="22">
        <v>1.5053763440860215</v>
      </c>
      <c r="M224" s="22"/>
      <c r="N224" s="22"/>
      <c r="O224" s="11"/>
      <c r="P224" s="11"/>
    </row>
    <row r="225" spans="1:16" x14ac:dyDescent="0.3">
      <c r="A225" s="7" t="s">
        <v>114</v>
      </c>
      <c r="B225" s="22">
        <v>0.34376896006010593</v>
      </c>
      <c r="C225" s="22">
        <v>0.37220273557593631</v>
      </c>
      <c r="D225" s="22">
        <v>766.19649954873239</v>
      </c>
      <c r="E225" s="22">
        <v>1153.68091131802</v>
      </c>
      <c r="F225" s="22">
        <v>1.4814814814814814</v>
      </c>
      <c r="G225" s="22">
        <v>4.086021505376344</v>
      </c>
      <c r="M225" s="22"/>
      <c r="N225" s="22"/>
      <c r="O225" s="11"/>
      <c r="P225" s="11"/>
    </row>
    <row r="226" spans="1:16" x14ac:dyDescent="0.3">
      <c r="A226" s="7" t="s">
        <v>115</v>
      </c>
      <c r="B226" s="22">
        <v>0.31292403802957958</v>
      </c>
      <c r="C226" s="22">
        <v>0.42208625856146215</v>
      </c>
      <c r="D226" s="22">
        <v>1090.2582005501351</v>
      </c>
      <c r="E226" s="22">
        <v>1241.0880699229033</v>
      </c>
      <c r="F226" s="22">
        <v>5.9259259259259256</v>
      </c>
      <c r="G226" s="22">
        <v>6.666666666666667</v>
      </c>
      <c r="M226" s="22"/>
      <c r="N226" s="22"/>
      <c r="O226" s="11"/>
      <c r="P226" s="11"/>
    </row>
    <row r="227" spans="1:16" x14ac:dyDescent="0.3">
      <c r="A227" s="7" t="s">
        <v>293</v>
      </c>
      <c r="B227" s="22">
        <v>0.35491169385112042</v>
      </c>
      <c r="C227" s="22">
        <v>0.35436118820287837</v>
      </c>
      <c r="D227" s="22">
        <v>870.63659430451207</v>
      </c>
      <c r="E227" s="22">
        <v>1434.3058931457745</v>
      </c>
      <c r="F227" s="22">
        <v>0.7407407407407407</v>
      </c>
      <c r="G227" s="22">
        <v>1.7204301075268817</v>
      </c>
      <c r="M227" s="22"/>
      <c r="N227" s="22"/>
      <c r="O227" s="11"/>
      <c r="P227" s="11"/>
    </row>
    <row r="228" spans="1:16" x14ac:dyDescent="0.3">
      <c r="A228" s="7" t="s">
        <v>116</v>
      </c>
      <c r="B228" s="22">
        <v>0.32794824684827795</v>
      </c>
      <c r="C228" s="22">
        <v>0.50633577586311773</v>
      </c>
      <c r="D228" s="22">
        <v>1332.1949365705648</v>
      </c>
      <c r="E228" s="22">
        <v>970.57305645179179</v>
      </c>
      <c r="F228" s="22">
        <v>8.8888888888888893</v>
      </c>
      <c r="G228" s="22">
        <v>9.4623655913978499</v>
      </c>
      <c r="M228" s="22"/>
      <c r="N228" s="22"/>
      <c r="O228" s="11"/>
      <c r="P228" s="11"/>
    </row>
    <row r="229" spans="1:16" x14ac:dyDescent="0.3">
      <c r="A229" s="7" t="s">
        <v>117</v>
      </c>
      <c r="B229" s="22">
        <v>0.39066172148707129</v>
      </c>
      <c r="C229" s="22">
        <v>0.38268810206036757</v>
      </c>
      <c r="D229" s="22">
        <v>901.81767776706693</v>
      </c>
      <c r="E229" s="22">
        <v>1232.2828379309549</v>
      </c>
      <c r="F229" s="22">
        <v>2.9629629629629628</v>
      </c>
      <c r="G229" s="22">
        <v>7.5268817204301079</v>
      </c>
      <c r="M229" s="22"/>
      <c r="N229" s="22"/>
      <c r="O229" s="11"/>
      <c r="P229" s="11"/>
    </row>
    <row r="230" spans="1:16" x14ac:dyDescent="0.3">
      <c r="A230" s="7" t="s">
        <v>294</v>
      </c>
      <c r="B230" s="22">
        <v>0.26689147361728321</v>
      </c>
      <c r="C230" s="22">
        <v>0.39235218052946697</v>
      </c>
      <c r="D230" s="22">
        <v>1021.7921237337256</v>
      </c>
      <c r="E230" s="22">
        <v>1224.5436270623977</v>
      </c>
      <c r="F230" s="22">
        <v>2.2222222222222223</v>
      </c>
      <c r="G230" s="22">
        <v>1.2903225806451613</v>
      </c>
      <c r="M230" s="22"/>
      <c r="N230" s="22"/>
      <c r="O230" s="11"/>
      <c r="P230" s="11"/>
    </row>
    <row r="231" spans="1:16" x14ac:dyDescent="0.3">
      <c r="A231" s="7" t="s">
        <v>118</v>
      </c>
      <c r="B231" s="22">
        <v>0.54056166536868777</v>
      </c>
      <c r="C231" s="22">
        <v>0.52097676261348125</v>
      </c>
      <c r="D231" s="22">
        <v>813.73041744592774</v>
      </c>
      <c r="E231" s="22">
        <v>958.73100675427577</v>
      </c>
      <c r="F231" s="22">
        <v>25.925925925925927</v>
      </c>
      <c r="G231" s="22">
        <v>21.50537634408602</v>
      </c>
      <c r="M231" s="22"/>
      <c r="N231" s="22"/>
      <c r="O231" s="11"/>
      <c r="P231" s="11"/>
    </row>
    <row r="232" spans="1:16" x14ac:dyDescent="0.3">
      <c r="A232" s="7" t="s">
        <v>119</v>
      </c>
      <c r="B232" s="22">
        <v>0.38690052855209395</v>
      </c>
      <c r="C232" s="22">
        <v>0.72248127165410703</v>
      </c>
      <c r="D232" s="22">
        <v>1560.296836942237</v>
      </c>
      <c r="E232" s="22">
        <v>1605.8676946544022</v>
      </c>
      <c r="F232" s="22">
        <v>4.4444444444444446</v>
      </c>
      <c r="G232" s="22">
        <v>3.010752688172043</v>
      </c>
      <c r="M232" s="22"/>
      <c r="N232" s="22"/>
      <c r="O232" s="11"/>
      <c r="P232" s="11"/>
    </row>
    <row r="233" spans="1:16" x14ac:dyDescent="0.3">
      <c r="A233" s="7" t="s">
        <v>120</v>
      </c>
      <c r="B233" s="22">
        <v>0.32779373682792462</v>
      </c>
      <c r="C233" s="22">
        <v>0.38004601383474712</v>
      </c>
      <c r="D233" s="22">
        <v>1281.580549238447</v>
      </c>
      <c r="E233" s="22">
        <v>972.29065633979383</v>
      </c>
      <c r="F233" s="22">
        <v>8.8888888888888893</v>
      </c>
      <c r="G233" s="22">
        <v>11.612903225806452</v>
      </c>
      <c r="M233" s="22"/>
      <c r="N233" s="22"/>
      <c r="O233" s="11"/>
      <c r="P233" s="11"/>
    </row>
    <row r="234" spans="1:16" x14ac:dyDescent="0.3">
      <c r="A234" s="7" t="s">
        <v>121</v>
      </c>
      <c r="B234" s="22">
        <v>0.32423605230791919</v>
      </c>
      <c r="C234" s="22">
        <v>0.50370480962780495</v>
      </c>
      <c r="D234" s="22">
        <v>1342.7407687357561</v>
      </c>
      <c r="E234" s="22">
        <v>1112.0791647425233</v>
      </c>
      <c r="F234" s="22">
        <v>3.7037037037037037</v>
      </c>
      <c r="G234" s="22">
        <v>9.67741935483871</v>
      </c>
      <c r="M234" s="22"/>
      <c r="N234" s="22"/>
      <c r="O234" s="11"/>
      <c r="P234" s="11"/>
    </row>
    <row r="235" spans="1:16" x14ac:dyDescent="0.3">
      <c r="A235" s="7" t="s">
        <v>122</v>
      </c>
      <c r="B235" s="22">
        <v>0.30718424276702155</v>
      </c>
      <c r="C235" s="22">
        <v>0.35983844091449613</v>
      </c>
      <c r="D235" s="22">
        <v>1297.1904315029053</v>
      </c>
      <c r="E235" s="22">
        <v>1206.6341670704883</v>
      </c>
      <c r="F235" s="22">
        <v>4.4444444444444446</v>
      </c>
      <c r="G235" s="22">
        <v>5.591397849462366</v>
      </c>
      <c r="M235" s="22"/>
      <c r="N235" s="22"/>
      <c r="O235" s="11"/>
      <c r="P235" s="11"/>
    </row>
    <row r="236" spans="1:16" x14ac:dyDescent="0.3">
      <c r="A236" s="7" t="s">
        <v>123</v>
      </c>
      <c r="B236" s="22">
        <v>0.53511688809727276</v>
      </c>
      <c r="C236" s="22">
        <v>0.37553867509301675</v>
      </c>
      <c r="D236" s="22">
        <v>2157.768498241709</v>
      </c>
      <c r="E236" s="22">
        <v>1136.7098718782825</v>
      </c>
      <c r="F236" s="22">
        <v>3.7037037037037037</v>
      </c>
      <c r="G236" s="22">
        <v>5.161290322580645</v>
      </c>
      <c r="M236" s="22"/>
      <c r="N236" s="22"/>
      <c r="O236" s="11"/>
      <c r="P236" s="11"/>
    </row>
    <row r="237" spans="1:16" x14ac:dyDescent="0.3">
      <c r="A237" s="7" t="s">
        <v>124</v>
      </c>
      <c r="B237" s="22">
        <v>0.34323684056654452</v>
      </c>
      <c r="C237" s="22">
        <v>0.38192616939858098</v>
      </c>
      <c r="D237" s="22">
        <v>1036.1331004370227</v>
      </c>
      <c r="E237" s="22">
        <v>1095.3623056265067</v>
      </c>
      <c r="F237" s="22">
        <v>13.333333333333334</v>
      </c>
      <c r="G237" s="22">
        <v>13.118279569892474</v>
      </c>
      <c r="M237" s="22"/>
      <c r="N237" s="22"/>
      <c r="O237" s="11"/>
      <c r="P237" s="11"/>
    </row>
    <row r="238" spans="1:16" x14ac:dyDescent="0.3">
      <c r="A238" s="7" t="s">
        <v>125</v>
      </c>
      <c r="B238" s="22">
        <v>0.45682843258379457</v>
      </c>
      <c r="C238" s="22">
        <v>0.41963154749612125</v>
      </c>
      <c r="D238" s="22">
        <v>959.86225925378494</v>
      </c>
      <c r="E238" s="22">
        <v>960.64842220353364</v>
      </c>
      <c r="F238" s="22">
        <v>17.777777777777779</v>
      </c>
      <c r="G238" s="22">
        <v>20</v>
      </c>
      <c r="M238" s="22"/>
      <c r="N238" s="22"/>
      <c r="O238" s="11"/>
      <c r="P238" s="11"/>
    </row>
    <row r="239" spans="1:16" x14ac:dyDescent="0.3">
      <c r="A239" s="7" t="s">
        <v>295</v>
      </c>
      <c r="B239" s="22">
        <v>0.38312836820471186</v>
      </c>
      <c r="C239" s="22">
        <v>0.41816466438040228</v>
      </c>
      <c r="D239" s="22">
        <v>1008.365904028658</v>
      </c>
      <c r="E239" s="22">
        <v>1087.3948696038278</v>
      </c>
      <c r="F239" s="22">
        <v>1.4814814814814814</v>
      </c>
      <c r="G239" s="22">
        <v>1.2903225806451613</v>
      </c>
      <c r="M239" s="22"/>
      <c r="N239" s="22"/>
      <c r="O239" s="11"/>
      <c r="P239" s="11"/>
    </row>
    <row r="240" spans="1:16" x14ac:dyDescent="0.3">
      <c r="A240" s="7" t="s">
        <v>126</v>
      </c>
      <c r="B240" s="22">
        <v>0.32347076998857671</v>
      </c>
      <c r="C240" s="22">
        <v>0.36642678124977324</v>
      </c>
      <c r="D240" s="22">
        <v>1128.5379292015136</v>
      </c>
      <c r="E240" s="22">
        <v>1413.847735068648</v>
      </c>
      <c r="F240" s="22">
        <v>5.1851851851851851</v>
      </c>
      <c r="G240" s="22">
        <v>6.881720430107527</v>
      </c>
      <c r="M240" s="22"/>
      <c r="N240" s="22"/>
      <c r="O240" s="11"/>
      <c r="P240" s="11"/>
    </row>
    <row r="241" spans="1:16" x14ac:dyDescent="0.3">
      <c r="A241" s="7" t="s">
        <v>296</v>
      </c>
      <c r="B241" s="22">
        <v>0.25396783994128902</v>
      </c>
      <c r="C241" s="22">
        <v>0.36997478604595208</v>
      </c>
      <c r="D241" s="22">
        <v>936.63403698761249</v>
      </c>
      <c r="E241" s="22">
        <v>1207.6050129017453</v>
      </c>
      <c r="F241" s="22">
        <v>0.7407407407407407</v>
      </c>
      <c r="G241" s="22">
        <v>4.086021505376344</v>
      </c>
      <c r="M241" s="22"/>
      <c r="N241" s="22"/>
      <c r="O241" s="11"/>
      <c r="P241" s="11"/>
    </row>
    <row r="242" spans="1:16" x14ac:dyDescent="0.3">
      <c r="A242" s="7" t="s">
        <v>127</v>
      </c>
      <c r="B242" s="22">
        <v>0.37500223540613431</v>
      </c>
      <c r="C242" s="22">
        <v>0.45370417973687349</v>
      </c>
      <c r="D242" s="22">
        <v>1325.1369636735892</v>
      </c>
      <c r="E242" s="22">
        <v>925.83428110046839</v>
      </c>
      <c r="F242" s="22">
        <v>6.666666666666667</v>
      </c>
      <c r="G242" s="22">
        <v>7.956989247311828</v>
      </c>
      <c r="M242" s="22"/>
      <c r="N242" s="22"/>
      <c r="O242" s="11"/>
      <c r="P242" s="11"/>
    </row>
    <row r="243" spans="1:16" x14ac:dyDescent="0.3">
      <c r="A243" s="7" t="s">
        <v>128</v>
      </c>
      <c r="B243" s="22">
        <v>0.32024458491758134</v>
      </c>
      <c r="C243" s="22">
        <v>0.3918639368072564</v>
      </c>
      <c r="D243" s="22">
        <v>1127.6942085010412</v>
      </c>
      <c r="E243" s="22">
        <v>1045.3632880236153</v>
      </c>
      <c r="F243" s="22">
        <v>3.7037037037037037</v>
      </c>
      <c r="G243" s="22">
        <v>2.150537634408602</v>
      </c>
      <c r="M243" s="22"/>
      <c r="N243" s="22"/>
      <c r="O243" s="11"/>
      <c r="P243" s="11"/>
    </row>
    <row r="244" spans="1:16" x14ac:dyDescent="0.3">
      <c r="A244" s="7" t="s">
        <v>297</v>
      </c>
      <c r="B244" s="22">
        <v>0.43040415149696015</v>
      </c>
      <c r="C244" s="22">
        <v>0.50735469490695528</v>
      </c>
      <c r="D244" s="22">
        <v>950.35157466024293</v>
      </c>
      <c r="E244" s="22">
        <v>1085.3155580363223</v>
      </c>
      <c r="F244" s="22">
        <v>22.222222222222221</v>
      </c>
      <c r="G244" s="22">
        <v>22.580645161290324</v>
      </c>
      <c r="M244" s="22"/>
      <c r="N244" s="22"/>
      <c r="O244" s="11"/>
      <c r="P244" s="11"/>
    </row>
    <row r="245" spans="1:16" x14ac:dyDescent="0.3">
      <c r="A245" s="7" t="s">
        <v>129</v>
      </c>
      <c r="B245" s="22">
        <v>0.26443077932069559</v>
      </c>
      <c r="C245" s="22">
        <v>0.43135831598500612</v>
      </c>
      <c r="D245" s="22">
        <v>793.33462021166201</v>
      </c>
      <c r="E245" s="22">
        <v>1494.136548767008</v>
      </c>
      <c r="F245" s="22">
        <v>1.4814814814814814</v>
      </c>
      <c r="G245" s="22">
        <v>6.4516129032258061</v>
      </c>
      <c r="M245" s="22"/>
      <c r="N245" s="22"/>
      <c r="O245" s="11"/>
      <c r="P245" s="11"/>
    </row>
    <row r="246" spans="1:16" x14ac:dyDescent="0.3">
      <c r="A246" s="7" t="s">
        <v>298</v>
      </c>
      <c r="B246" s="22">
        <v>0.32676446363447803</v>
      </c>
      <c r="C246" s="22">
        <v>0.52613434747581334</v>
      </c>
      <c r="D246" s="22">
        <v>1242.2515305902612</v>
      </c>
      <c r="E246" s="22">
        <v>1263.787550319716</v>
      </c>
      <c r="F246" s="22">
        <v>8.1481481481481488</v>
      </c>
      <c r="G246" s="22">
        <v>13.978494623655914</v>
      </c>
      <c r="M246" s="22"/>
      <c r="N246" s="22"/>
      <c r="O246" s="11"/>
      <c r="P246" s="11"/>
    </row>
    <row r="247" spans="1:16" x14ac:dyDescent="0.3">
      <c r="A247" s="7" t="s">
        <v>299</v>
      </c>
      <c r="B247" s="22">
        <v>0.32753986355998371</v>
      </c>
      <c r="C247" s="22">
        <v>0.31526956304536596</v>
      </c>
      <c r="D247" s="22">
        <v>810.63619162305986</v>
      </c>
      <c r="E247" s="22">
        <v>1217.1958298548998</v>
      </c>
      <c r="F247" s="22">
        <v>0.7407407407407407</v>
      </c>
      <c r="G247" s="22">
        <v>1.2903225806451613</v>
      </c>
      <c r="M247" s="22"/>
      <c r="N247" s="22"/>
      <c r="O247" s="11"/>
      <c r="P247" s="11"/>
    </row>
    <row r="248" spans="1:16" x14ac:dyDescent="0.3">
      <c r="A248" s="32" t="s">
        <v>67</v>
      </c>
      <c r="B248" s="22">
        <v>0.33468432020301797</v>
      </c>
      <c r="C248" s="22">
        <v>0.5456038322822524</v>
      </c>
      <c r="D248" s="22">
        <v>892.64818481495604</v>
      </c>
      <c r="E248" s="22">
        <v>2009.7906153955357</v>
      </c>
      <c r="F248" s="22">
        <v>0.7407407407407407</v>
      </c>
      <c r="G248" s="22">
        <v>2.3655913978494625</v>
      </c>
      <c r="M248" s="22"/>
      <c r="O248" s="11"/>
      <c r="P248" s="11"/>
    </row>
    <row r="249" spans="1:16" x14ac:dyDescent="0.3">
      <c r="A249" s="32" t="s">
        <v>69</v>
      </c>
      <c r="B249" s="22">
        <v>0.35897395680406219</v>
      </c>
      <c r="C249" s="22">
        <v>0.47022920353346997</v>
      </c>
      <c r="D249" s="22">
        <v>1110.6996925575004</v>
      </c>
      <c r="E249" s="22">
        <v>1165.4227616792764</v>
      </c>
      <c r="F249" s="22">
        <v>13.333333333333334</v>
      </c>
      <c r="G249" s="22">
        <v>15.913978494623656</v>
      </c>
      <c r="M249" s="22"/>
      <c r="O249" s="11"/>
      <c r="P249" s="11"/>
    </row>
    <row r="250" spans="1:16" x14ac:dyDescent="0.3">
      <c r="A250" s="32" t="s">
        <v>71</v>
      </c>
      <c r="B250" s="22">
        <v>0.29274744523575941</v>
      </c>
      <c r="C250" s="22">
        <v>0.3796655944971235</v>
      </c>
      <c r="D250" s="22">
        <v>975.7278488508573</v>
      </c>
      <c r="E250" s="22">
        <v>1095.3604807665431</v>
      </c>
      <c r="F250" s="22">
        <v>2.9629629629629628</v>
      </c>
      <c r="G250" s="22">
        <v>3.6559139784946235</v>
      </c>
      <c r="M250" s="22"/>
      <c r="N250" s="22"/>
      <c r="O250" s="11"/>
      <c r="P250" s="11"/>
    </row>
    <row r="251" spans="1:16" x14ac:dyDescent="0.3">
      <c r="A251" s="32" t="s">
        <v>73</v>
      </c>
      <c r="B251" s="22">
        <v>0.44547607632278646</v>
      </c>
      <c r="C251" s="22">
        <v>0.38765471427849901</v>
      </c>
      <c r="D251" s="22">
        <v>1001.0964197126434</v>
      </c>
      <c r="E251" s="22">
        <v>992.74656379114424</v>
      </c>
      <c r="F251" s="22">
        <v>19.25925925925926</v>
      </c>
      <c r="G251" s="22">
        <v>20</v>
      </c>
      <c r="M251" s="22"/>
      <c r="N251" s="22"/>
      <c r="O251" s="11"/>
      <c r="P251" s="11"/>
    </row>
    <row r="252" spans="1:16" x14ac:dyDescent="0.3">
      <c r="A252" s="32" t="s">
        <v>75</v>
      </c>
      <c r="B252" s="22">
        <v>0.36277321068640433</v>
      </c>
      <c r="C252" s="22">
        <v>0.53371977789221825</v>
      </c>
      <c r="D252" s="22">
        <v>1006.0078027469169</v>
      </c>
      <c r="E252" s="22">
        <v>1092.6565885543198</v>
      </c>
      <c r="F252" s="22">
        <v>5.9259259259259256</v>
      </c>
      <c r="G252" s="22">
        <v>3.6559139784946235</v>
      </c>
      <c r="M252" s="22"/>
      <c r="N252" s="22"/>
      <c r="O252" s="11"/>
      <c r="P252" s="11"/>
    </row>
    <row r="253" spans="1:16" x14ac:dyDescent="0.3">
      <c r="A253" s="32" t="s">
        <v>77</v>
      </c>
      <c r="B253" s="22">
        <v>0.3234275003815868</v>
      </c>
      <c r="C253" s="22">
        <v>0.43476435520660228</v>
      </c>
      <c r="D253" s="22">
        <v>1180.8703288633669</v>
      </c>
      <c r="E253" s="22">
        <v>1357.5511789774162</v>
      </c>
      <c r="F253" s="22">
        <v>11.851851851851851</v>
      </c>
      <c r="G253" s="22">
        <v>8.6021505376344081</v>
      </c>
      <c r="M253" s="22"/>
      <c r="N253" s="22"/>
      <c r="O253" s="11"/>
      <c r="P253" s="11"/>
    </row>
    <row r="254" spans="1:16" x14ac:dyDescent="0.3">
      <c r="A254" s="32" t="s">
        <v>79</v>
      </c>
      <c r="B254" s="22">
        <v>0.33070527066571598</v>
      </c>
      <c r="C254" s="22">
        <v>0.55551552933749104</v>
      </c>
      <c r="D254" s="22">
        <v>1249.5637521066806</v>
      </c>
      <c r="E254" s="22">
        <v>1951.1160747352478</v>
      </c>
      <c r="F254" s="22">
        <v>5.1851851851851851</v>
      </c>
      <c r="G254" s="22">
        <v>3.010752688172043</v>
      </c>
      <c r="M254" s="22"/>
      <c r="N254" s="22"/>
      <c r="O254" s="11"/>
      <c r="P254" s="11"/>
    </row>
    <row r="255" spans="1:16" x14ac:dyDescent="0.3">
      <c r="A255" s="32" t="s">
        <v>81</v>
      </c>
      <c r="B255" s="22">
        <v>0.33366118357906999</v>
      </c>
      <c r="C255" s="22">
        <v>0.407842314548787</v>
      </c>
      <c r="D255" s="22">
        <v>1071.9174241671126</v>
      </c>
      <c r="E255" s="22">
        <v>1130.6389715187865</v>
      </c>
      <c r="F255" s="22">
        <v>9.6296296296296298</v>
      </c>
      <c r="G255" s="22">
        <v>5.806451612903226</v>
      </c>
      <c r="M255" s="22"/>
      <c r="N255" s="22"/>
      <c r="O255" s="11"/>
      <c r="P255" s="11"/>
    </row>
    <row r="256" spans="1:16" x14ac:dyDescent="0.3">
      <c r="A256" s="32" t="s">
        <v>276</v>
      </c>
      <c r="B256" s="22">
        <v>6.6222824999999999E-2</v>
      </c>
      <c r="C256" s="22">
        <v>0.38869302463232525</v>
      </c>
      <c r="D256" s="22">
        <f>D255/0.8</f>
        <v>1339.8967802088907</v>
      </c>
      <c r="E256" s="22">
        <v>1714.1633976737114</v>
      </c>
      <c r="F256" s="22">
        <v>0.12324556</v>
      </c>
      <c r="G256" s="22">
        <v>1.935483870967742</v>
      </c>
      <c r="M256" s="22"/>
      <c r="N256" s="22"/>
      <c r="O256" s="11"/>
      <c r="P256" s="11"/>
    </row>
    <row r="257" spans="1:16" x14ac:dyDescent="0.3">
      <c r="A257" s="32" t="s">
        <v>83</v>
      </c>
      <c r="B257" s="22">
        <v>7.9449775E-2</v>
      </c>
      <c r="C257" s="22">
        <v>0.6356399482370223</v>
      </c>
      <c r="D257" s="22">
        <f>D256/1.2</f>
        <v>1116.5806501740756</v>
      </c>
      <c r="E257" s="22">
        <v>2340.0705537692702</v>
      </c>
      <c r="F257" s="22">
        <v>0.23156545000000001</v>
      </c>
      <c r="G257" s="22">
        <v>0.43010752688172044</v>
      </c>
      <c r="M257" s="22"/>
      <c r="N257" s="22"/>
      <c r="O257" s="11"/>
      <c r="P257" s="11"/>
    </row>
    <row r="258" spans="1:16" x14ac:dyDescent="0.3">
      <c r="A258" s="32" t="s">
        <v>85</v>
      </c>
      <c r="B258" s="22">
        <v>0.30275293905317674</v>
      </c>
      <c r="C258" s="22">
        <v>0.36015510913248189</v>
      </c>
      <c r="D258" s="22">
        <v>941.62713102531836</v>
      </c>
      <c r="E258" s="22">
        <v>1472.0535212674245</v>
      </c>
      <c r="F258" s="22">
        <v>9.6296296296296298</v>
      </c>
      <c r="G258" s="22">
        <v>5.591397849462366</v>
      </c>
      <c r="M258" s="22"/>
      <c r="N258" s="22"/>
      <c r="O258" s="11"/>
      <c r="P258" s="11"/>
    </row>
    <row r="259" spans="1:16" x14ac:dyDescent="0.3">
      <c r="A259" s="32" t="s">
        <v>87</v>
      </c>
      <c r="B259" s="22">
        <v>0.37466970946500011</v>
      </c>
      <c r="C259" s="22">
        <v>0.37896619538224641</v>
      </c>
      <c r="D259" s="22">
        <v>812.59477829273828</v>
      </c>
      <c r="E259" s="22">
        <v>1307.6754781609179</v>
      </c>
      <c r="F259" s="22">
        <v>2.9629629629629628</v>
      </c>
      <c r="G259" s="22">
        <v>3.6559139784946235</v>
      </c>
      <c r="M259" s="22"/>
      <c r="N259" s="22"/>
      <c r="O259" s="11"/>
      <c r="P259" s="11"/>
    </row>
    <row r="260" spans="1:16" x14ac:dyDescent="0.3">
      <c r="A260" s="32" t="s">
        <v>89</v>
      </c>
      <c r="B260" s="22">
        <v>6.1115559999999999E-2</v>
      </c>
      <c r="C260" s="22">
        <v>0.694521764149442</v>
      </c>
      <c r="D260" s="22">
        <f>D259/1.2</f>
        <v>677.16231524394857</v>
      </c>
      <c r="E260" s="22">
        <v>2411.0111606253581</v>
      </c>
      <c r="F260" s="22">
        <v>0.31564898000000002</v>
      </c>
      <c r="G260" s="22">
        <v>0.64516129032258063</v>
      </c>
      <c r="M260" s="22"/>
      <c r="N260" s="22"/>
      <c r="O260" s="11"/>
      <c r="P260" s="11"/>
    </row>
    <row r="261" spans="1:16" x14ac:dyDescent="0.3">
      <c r="A261" s="32" t="s">
        <v>91</v>
      </c>
      <c r="B261" s="22">
        <v>0.39398151547457061</v>
      </c>
      <c r="C261" s="22">
        <v>0.42375884986100576</v>
      </c>
      <c r="D261" s="22">
        <v>1264.6634739313179</v>
      </c>
      <c r="E261" s="22">
        <v>1346.0399264213331</v>
      </c>
      <c r="F261" s="22">
        <v>7.4074074074074074</v>
      </c>
      <c r="G261" s="22">
        <v>4.301075268817204</v>
      </c>
      <c r="M261" s="22"/>
      <c r="N261" s="22"/>
      <c r="O261" s="11"/>
      <c r="P261" s="11"/>
    </row>
    <row r="262" spans="1:16" x14ac:dyDescent="0.3">
      <c r="A262" s="32" t="s">
        <v>93</v>
      </c>
      <c r="B262" s="22">
        <v>0.2688696585767848</v>
      </c>
      <c r="C262" s="22">
        <v>0.37674834940488588</v>
      </c>
      <c r="D262" s="22">
        <v>1836.8075782347296</v>
      </c>
      <c r="E262" s="22">
        <v>2274.8728895155132</v>
      </c>
      <c r="F262" s="22">
        <v>1.4814814814814814</v>
      </c>
      <c r="G262" s="22">
        <v>1.075268817204301</v>
      </c>
      <c r="M262" s="22"/>
      <c r="N262" s="22"/>
      <c r="O262" s="11"/>
      <c r="P262" s="11"/>
    </row>
    <row r="263" spans="1:16" x14ac:dyDescent="0.3">
      <c r="A263" s="32" t="s">
        <v>95</v>
      </c>
      <c r="B263" s="22">
        <v>0.38641039237080449</v>
      </c>
      <c r="C263" s="22">
        <v>0.40525618645885569</v>
      </c>
      <c r="D263" s="22">
        <v>1467.9876222719047</v>
      </c>
      <c r="E263" s="22">
        <v>1188.9169918392231</v>
      </c>
      <c r="F263" s="22">
        <v>8.1481481481481488</v>
      </c>
      <c r="G263" s="22">
        <v>6.236559139784946</v>
      </c>
      <c r="M263" s="22"/>
      <c r="N263" s="22"/>
      <c r="O263" s="11"/>
      <c r="P263" s="11"/>
    </row>
    <row r="264" spans="1:16" x14ac:dyDescent="0.3">
      <c r="A264" s="32" t="s">
        <v>97</v>
      </c>
      <c r="B264" s="22">
        <v>0.32123103132201997</v>
      </c>
      <c r="C264" s="22">
        <v>0.60812318455642411</v>
      </c>
      <c r="D264" s="22">
        <v>1385.4207225559451</v>
      </c>
      <c r="E264" s="22">
        <v>1757.8359901002084</v>
      </c>
      <c r="F264" s="22">
        <v>2.2222222222222223</v>
      </c>
      <c r="G264" s="22">
        <v>2.150537634408602</v>
      </c>
      <c r="M264" s="22"/>
      <c r="N264" s="22"/>
      <c r="O264" s="11"/>
      <c r="P264" s="11"/>
    </row>
    <row r="265" spans="1:16" x14ac:dyDescent="0.3">
      <c r="A265" s="32" t="s">
        <v>99</v>
      </c>
      <c r="B265" s="22">
        <v>0.31212492418070498</v>
      </c>
      <c r="C265" s="22">
        <v>0.34025225067312809</v>
      </c>
      <c r="D265" s="22">
        <v>1354.5802859883006</v>
      </c>
      <c r="E265" s="22">
        <v>1112.1352057314689</v>
      </c>
      <c r="F265" s="22">
        <v>4.4444444444444446</v>
      </c>
      <c r="G265" s="22">
        <v>9.4623655913978499</v>
      </c>
      <c r="M265" s="22"/>
      <c r="N265" s="22"/>
      <c r="O265" s="11"/>
      <c r="P265" s="11"/>
    </row>
    <row r="266" spans="1:16" x14ac:dyDescent="0.3">
      <c r="A266" s="32" t="s">
        <v>101</v>
      </c>
      <c r="B266" s="22">
        <v>0.39260326828632408</v>
      </c>
      <c r="C266" s="22">
        <v>0.32192243735119219</v>
      </c>
      <c r="D266" s="22">
        <v>1266.4925657023271</v>
      </c>
      <c r="E266" s="22">
        <v>1223.4235745166577</v>
      </c>
      <c r="F266" s="22">
        <v>8.8888888888888893</v>
      </c>
      <c r="G266" s="22">
        <v>4.5161290322580649</v>
      </c>
      <c r="M266" s="22"/>
      <c r="N266" s="22"/>
      <c r="O266" s="11"/>
      <c r="P266" s="11"/>
    </row>
    <row r="267" spans="1:16" x14ac:dyDescent="0.3">
      <c r="A267" s="32" t="s">
        <v>103</v>
      </c>
      <c r="B267" s="22">
        <v>0.36785571597390065</v>
      </c>
      <c r="C267" s="22">
        <v>0.43801024419888684</v>
      </c>
      <c r="D267" s="22">
        <v>1019.1076117752139</v>
      </c>
      <c r="E267" s="22">
        <v>1037.873471316</v>
      </c>
      <c r="F267" s="22">
        <v>10.37037037037037</v>
      </c>
      <c r="G267" s="22">
        <v>12.903225806451612</v>
      </c>
      <c r="M267" s="22"/>
      <c r="N267" s="22"/>
      <c r="O267" s="11"/>
      <c r="P267" s="11"/>
    </row>
    <row r="268" spans="1:16" x14ac:dyDescent="0.3">
      <c r="A268" s="32" t="s">
        <v>105</v>
      </c>
      <c r="B268" s="22">
        <v>0.28994148449946672</v>
      </c>
      <c r="C268" s="22">
        <v>0.50833320781139213</v>
      </c>
      <c r="D268" s="22">
        <v>1204.1108592345379</v>
      </c>
      <c r="E268" s="22">
        <v>1195.226999729759</v>
      </c>
      <c r="F268" s="22">
        <v>4.4444444444444446</v>
      </c>
      <c r="G268" s="22">
        <v>6.881720430107527</v>
      </c>
      <c r="M268" s="22"/>
      <c r="N268" s="22"/>
      <c r="O268" s="11"/>
      <c r="P268" s="11"/>
    </row>
    <row r="270" spans="1:16" x14ac:dyDescent="0.3">
      <c r="A270" t="s">
        <v>15</v>
      </c>
      <c r="B270" s="11">
        <v>0.43190000000000001</v>
      </c>
      <c r="C270" s="11">
        <v>0.58250000000000002</v>
      </c>
      <c r="D270" s="11">
        <v>1224</v>
      </c>
      <c r="E270" s="11">
        <v>1254</v>
      </c>
      <c r="F270" s="11">
        <v>6.5670000000000002</v>
      </c>
      <c r="G270" s="11">
        <v>6.8890000000000002</v>
      </c>
    </row>
    <row r="271" spans="1:16" x14ac:dyDescent="0.3">
      <c r="A271" t="s">
        <v>380</v>
      </c>
      <c r="B271" s="11">
        <v>2.0979999999999999E-2</v>
      </c>
      <c r="C271" s="11">
        <v>2.188E-2</v>
      </c>
      <c r="D271" s="11">
        <v>46.95</v>
      </c>
      <c r="E271" s="11">
        <v>28.71</v>
      </c>
      <c r="F271" s="11">
        <v>0.52700000000000002</v>
      </c>
      <c r="G271" s="11">
        <v>0.47289999999999999</v>
      </c>
    </row>
    <row r="274" spans="1:5" x14ac:dyDescent="0.3">
      <c r="A274" s="31" t="s">
        <v>392</v>
      </c>
      <c r="B274" s="11"/>
      <c r="C274" s="22"/>
      <c r="D274" s="22" t="s">
        <v>450</v>
      </c>
      <c r="E274" s="22"/>
    </row>
    <row r="275" spans="1:5" x14ac:dyDescent="0.3">
      <c r="A275" s="22" t="s">
        <v>365</v>
      </c>
      <c r="B275" s="22" t="s">
        <v>444</v>
      </c>
      <c r="C275" s="22" t="s">
        <v>445</v>
      </c>
      <c r="D275" s="22" t="s">
        <v>446</v>
      </c>
    </row>
    <row r="276" spans="1:5" x14ac:dyDescent="0.3">
      <c r="A276" s="24" t="s">
        <v>393</v>
      </c>
      <c r="B276" s="11" t="s">
        <v>386</v>
      </c>
      <c r="C276" s="11">
        <v>8.9999999999999998E-4</v>
      </c>
      <c r="D276" s="11">
        <v>3.2000000000000001E-2</v>
      </c>
    </row>
    <row r="357" spans="1:13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/>
  </sheetViews>
  <sheetFormatPr baseColWidth="10" defaultRowHeight="14.4" x14ac:dyDescent="0.3"/>
  <cols>
    <col min="15" max="24" width="11.5546875" style="1"/>
  </cols>
  <sheetData>
    <row r="1" spans="1:17" x14ac:dyDescent="0.3">
      <c r="A1" s="70" t="s">
        <v>649</v>
      </c>
      <c r="K1" s="53"/>
      <c r="L1" s="53"/>
      <c r="M1" s="53"/>
      <c r="N1" s="54"/>
      <c r="O1" s="55"/>
      <c r="P1" s="53"/>
      <c r="Q1" s="53"/>
    </row>
    <row r="2" spans="1:17" x14ac:dyDescent="0.3">
      <c r="A2" s="2" t="s">
        <v>621</v>
      </c>
      <c r="B2" s="1" t="s">
        <v>303</v>
      </c>
      <c r="C2" s="1" t="s">
        <v>302</v>
      </c>
      <c r="D2" s="1" t="s">
        <v>35</v>
      </c>
      <c r="E2" s="22"/>
      <c r="K2" s="53"/>
      <c r="L2" s="53"/>
      <c r="M2" s="53"/>
      <c r="N2" s="54"/>
      <c r="O2" s="53"/>
      <c r="P2" s="53"/>
      <c r="Q2" s="53"/>
    </row>
    <row r="3" spans="1:17" x14ac:dyDescent="0.3">
      <c r="A3" s="1"/>
      <c r="B3" s="1" t="s">
        <v>36</v>
      </c>
      <c r="C3" s="1" t="s">
        <v>36</v>
      </c>
      <c r="D3" s="1" t="s">
        <v>36</v>
      </c>
      <c r="E3" s="1"/>
      <c r="K3" s="17"/>
      <c r="L3" s="53"/>
      <c r="M3" s="53"/>
      <c r="N3" s="54"/>
      <c r="O3" s="53"/>
      <c r="P3" s="53"/>
      <c r="Q3" s="53"/>
    </row>
    <row r="4" spans="1:17" x14ac:dyDescent="0.3">
      <c r="A4" s="1" t="s">
        <v>37</v>
      </c>
      <c r="B4" s="17">
        <v>20</v>
      </c>
      <c r="C4" s="17">
        <v>35</v>
      </c>
      <c r="D4" s="17">
        <f>SUM(B4:C4)</f>
        <v>55</v>
      </c>
      <c r="E4" s="40"/>
      <c r="K4" s="17"/>
      <c r="L4" s="53"/>
      <c r="M4" s="53"/>
      <c r="N4" s="54"/>
      <c r="O4" s="53"/>
      <c r="P4" s="53"/>
      <c r="Q4" s="53"/>
    </row>
    <row r="5" spans="1:17" x14ac:dyDescent="0.3">
      <c r="A5" s="1" t="s">
        <v>38</v>
      </c>
      <c r="B5" s="17">
        <v>18</v>
      </c>
      <c r="C5" s="17">
        <v>13</v>
      </c>
      <c r="D5" s="17">
        <f>SUM(B5:C5)</f>
        <v>31</v>
      </c>
      <c r="E5" s="40"/>
      <c r="F5" s="56"/>
      <c r="G5" s="56"/>
      <c r="H5" s="17"/>
      <c r="I5" s="40"/>
      <c r="J5" s="40"/>
      <c r="K5" s="17"/>
      <c r="L5" s="1"/>
      <c r="M5" s="1"/>
    </row>
    <row r="6" spans="1:17" x14ac:dyDescent="0.3">
      <c r="A6" s="1"/>
      <c r="B6" s="17"/>
      <c r="C6" s="17"/>
      <c r="D6" s="17"/>
      <c r="E6" s="17"/>
      <c r="F6" s="17"/>
      <c r="G6" s="17"/>
      <c r="H6" s="17"/>
      <c r="I6" s="40"/>
      <c r="J6" s="40"/>
      <c r="K6" s="17"/>
      <c r="L6" s="1"/>
      <c r="M6" s="1"/>
    </row>
    <row r="7" spans="1:17" x14ac:dyDescent="0.3">
      <c r="A7" s="2" t="s">
        <v>621</v>
      </c>
      <c r="B7" s="1" t="s">
        <v>303</v>
      </c>
      <c r="C7" s="1" t="s">
        <v>302</v>
      </c>
      <c r="D7" s="53" t="s">
        <v>15</v>
      </c>
      <c r="E7" s="17"/>
      <c r="F7" s="17"/>
      <c r="G7" s="17"/>
      <c r="H7" s="17"/>
      <c r="I7" s="40"/>
      <c r="J7" s="40"/>
      <c r="K7" s="17"/>
      <c r="L7" s="1"/>
      <c r="M7" s="1"/>
    </row>
    <row r="8" spans="1:17" x14ac:dyDescent="0.3">
      <c r="A8" s="1"/>
      <c r="B8" s="1" t="s">
        <v>28</v>
      </c>
      <c r="C8" s="1" t="s">
        <v>28</v>
      </c>
      <c r="D8" s="53" t="s">
        <v>28</v>
      </c>
      <c r="E8" s="17"/>
      <c r="F8" s="17"/>
      <c r="G8" s="17"/>
      <c r="H8" s="17"/>
      <c r="I8" s="17"/>
      <c r="J8" s="17"/>
      <c r="K8" s="17"/>
      <c r="L8" s="1"/>
      <c r="M8" s="1"/>
    </row>
    <row r="9" spans="1:17" x14ac:dyDescent="0.3">
      <c r="A9" s="1" t="s">
        <v>37</v>
      </c>
      <c r="B9" s="17">
        <f>(B4*100)/38</f>
        <v>52.631578947368418</v>
      </c>
      <c r="C9" s="17">
        <f>(C4*100)/48</f>
        <v>72.916666666666671</v>
      </c>
      <c r="D9" s="53">
        <f>(D4*100)/86</f>
        <v>63.953488372093027</v>
      </c>
      <c r="E9" s="17"/>
      <c r="F9" s="40"/>
      <c r="M9" s="1"/>
    </row>
    <row r="10" spans="1:17" x14ac:dyDescent="0.3">
      <c r="A10" s="1" t="s">
        <v>38</v>
      </c>
      <c r="B10" s="17">
        <f>(B5*100)/38</f>
        <v>47.368421052631582</v>
      </c>
      <c r="C10" s="17">
        <f>(C5*100)/48</f>
        <v>27.083333333333332</v>
      </c>
      <c r="D10" s="53">
        <f>(D5*100)/86</f>
        <v>36.046511627906973</v>
      </c>
      <c r="F10" s="40"/>
    </row>
    <row r="11" spans="1:17" x14ac:dyDescent="0.3">
      <c r="F11" s="40"/>
    </row>
    <row r="12" spans="1:17" x14ac:dyDescent="0.3">
      <c r="F12" s="40"/>
    </row>
    <row r="13" spans="1:17" x14ac:dyDescent="0.3">
      <c r="A13" s="2" t="s">
        <v>34</v>
      </c>
      <c r="B13" s="40" t="s">
        <v>303</v>
      </c>
      <c r="C13" s="40" t="s">
        <v>302</v>
      </c>
      <c r="D13" s="40" t="s">
        <v>304</v>
      </c>
      <c r="E13" s="40" t="s">
        <v>35</v>
      </c>
    </row>
    <row r="14" spans="1:17" x14ac:dyDescent="0.3">
      <c r="B14" s="40" t="s">
        <v>36</v>
      </c>
      <c r="C14" s="40" t="s">
        <v>36</v>
      </c>
      <c r="D14" s="40" t="s">
        <v>36</v>
      </c>
      <c r="E14" s="17" t="s">
        <v>36</v>
      </c>
      <c r="I14" s="1"/>
      <c r="J14" s="1"/>
      <c r="K14" s="6"/>
      <c r="L14" s="6"/>
    </row>
    <row r="15" spans="1:17" x14ac:dyDescent="0.3">
      <c r="A15" t="s">
        <v>37</v>
      </c>
      <c r="B15" s="40">
        <v>28</v>
      </c>
      <c r="C15" s="40">
        <v>21</v>
      </c>
      <c r="D15" s="40">
        <v>62</v>
      </c>
      <c r="E15" s="40">
        <f>SUM(B15:D15)</f>
        <v>111</v>
      </c>
      <c r="F15" s="54"/>
      <c r="G15" s="54"/>
      <c r="H15" s="54"/>
      <c r="I15" s="54"/>
      <c r="J15" s="53"/>
    </row>
    <row r="16" spans="1:17" x14ac:dyDescent="0.3">
      <c r="A16" t="s">
        <v>38</v>
      </c>
      <c r="B16" s="40">
        <v>15</v>
      </c>
      <c r="C16" s="40">
        <v>18</v>
      </c>
      <c r="D16" s="40">
        <v>21</v>
      </c>
      <c r="E16" s="40">
        <f>SUM(B16:D16)</f>
        <v>54</v>
      </c>
      <c r="F16" s="54"/>
      <c r="G16" s="53"/>
      <c r="H16" s="53"/>
      <c r="I16" s="53"/>
      <c r="J16" s="53"/>
    </row>
    <row r="17" spans="1:14" x14ac:dyDescent="0.3">
      <c r="B17" s="6"/>
      <c r="F17" s="54"/>
      <c r="G17" s="54"/>
      <c r="H17" s="54"/>
      <c r="I17" s="54"/>
      <c r="J17" s="54"/>
    </row>
    <row r="18" spans="1:14" x14ac:dyDescent="0.3">
      <c r="A18" s="2" t="s">
        <v>34</v>
      </c>
      <c r="B18" s="40" t="s">
        <v>303</v>
      </c>
      <c r="C18" s="40" t="s">
        <v>302</v>
      </c>
      <c r="D18" s="40" t="s">
        <v>304</v>
      </c>
      <c r="E18" s="53" t="s">
        <v>15</v>
      </c>
      <c r="F18" s="54"/>
      <c r="G18" s="54"/>
      <c r="H18" s="54"/>
      <c r="I18" s="54"/>
      <c r="J18" s="54"/>
    </row>
    <row r="19" spans="1:14" x14ac:dyDescent="0.3">
      <c r="B19" s="17" t="s">
        <v>28</v>
      </c>
      <c r="C19" s="17" t="s">
        <v>28</v>
      </c>
      <c r="D19" s="17" t="s">
        <v>28</v>
      </c>
      <c r="E19" s="53" t="s">
        <v>28</v>
      </c>
      <c r="F19" s="1"/>
      <c r="G19" s="1"/>
      <c r="H19" s="1"/>
      <c r="I19" s="1"/>
      <c r="J19" s="1"/>
    </row>
    <row r="20" spans="1:14" x14ac:dyDescent="0.3">
      <c r="A20" s="22" t="s">
        <v>37</v>
      </c>
      <c r="B20" s="40">
        <f>(28*100)/(28+15)</f>
        <v>65.116279069767444</v>
      </c>
      <c r="C20" s="40">
        <f>(21*100)/(21+18)</f>
        <v>53.846153846153847</v>
      </c>
      <c r="D20" s="40">
        <f>(62*100)/(62+21)</f>
        <v>74.698795180722897</v>
      </c>
      <c r="E20" s="54">
        <f>AVERAGE(B20:D20)</f>
        <v>64.553742698881393</v>
      </c>
      <c r="F20" s="1"/>
      <c r="G20" s="1"/>
      <c r="H20" s="1"/>
      <c r="I20" s="1"/>
      <c r="J20" s="1"/>
    </row>
    <row r="21" spans="1:14" x14ac:dyDescent="0.3">
      <c r="A21" s="22" t="s">
        <v>38</v>
      </c>
      <c r="B21" s="40">
        <f>(15*100)/(28+15)</f>
        <v>34.883720930232556</v>
      </c>
      <c r="C21" s="40">
        <f>(18*100)/(21+18)</f>
        <v>46.153846153846153</v>
      </c>
      <c r="D21" s="40">
        <f>(21*100)/(62+21)</f>
        <v>25.301204819277107</v>
      </c>
      <c r="E21" s="54">
        <f>AVERAGE(B21:D21)</f>
        <v>35.446257301118607</v>
      </c>
      <c r="F21" s="1"/>
      <c r="G21" s="1"/>
      <c r="H21" s="1"/>
      <c r="I21" s="1"/>
      <c r="J21" s="1"/>
    </row>
    <row r="22" spans="1:14" x14ac:dyDescent="0.3">
      <c r="F22" s="1"/>
      <c r="G22" s="10"/>
      <c r="H22" s="1"/>
      <c r="I22" s="1"/>
      <c r="J22" s="1"/>
    </row>
    <row r="23" spans="1:14" x14ac:dyDescent="0.3">
      <c r="F23" s="1"/>
      <c r="G23" s="1"/>
      <c r="H23" s="1"/>
      <c r="I23" s="1"/>
      <c r="J23" s="1"/>
    </row>
    <row r="24" spans="1:14" x14ac:dyDescent="0.3">
      <c r="A24" s="22"/>
      <c r="B24" s="54"/>
      <c r="C24" s="54"/>
      <c r="D24" s="54"/>
      <c r="E24" s="54"/>
      <c r="F24" s="1"/>
      <c r="G24" s="1"/>
      <c r="H24" s="1"/>
      <c r="I24" s="1"/>
      <c r="J24" s="1"/>
    </row>
    <row r="25" spans="1:14" x14ac:dyDescent="0.3">
      <c r="E25" s="1"/>
      <c r="F25" s="1"/>
      <c r="G25" s="1"/>
      <c r="H25" s="1"/>
      <c r="I25" s="1"/>
      <c r="J25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0"/>
      <c r="C30" s="1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0"/>
      <c r="N33" s="1"/>
    </row>
    <row r="34" spans="1:14" x14ac:dyDescent="0.3">
      <c r="A34" s="1"/>
      <c r="B34" s="10"/>
      <c r="C34" s="1"/>
      <c r="D34" s="1"/>
      <c r="E34" s="1"/>
      <c r="F34" s="1"/>
      <c r="G34" s="1"/>
      <c r="H34" s="10"/>
      <c r="I34" s="10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0"/>
      <c r="C39" s="10"/>
      <c r="D39" s="1"/>
      <c r="E39" s="1"/>
      <c r="F39" s="1"/>
      <c r="G39" s="1"/>
      <c r="H39" s="10"/>
      <c r="I39" s="10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1:14" x14ac:dyDescent="0.3">
      <c r="K49" s="1"/>
      <c r="L49" s="1"/>
      <c r="M49" s="1"/>
      <c r="N49" s="1"/>
    </row>
    <row r="50" spans="11:14" x14ac:dyDescent="0.3">
      <c r="K50" s="1"/>
      <c r="L50" s="1"/>
      <c r="M50" s="1"/>
      <c r="N50" s="1"/>
    </row>
    <row r="51" spans="11:14" x14ac:dyDescent="0.3">
      <c r="K51" s="1"/>
      <c r="L51" s="1"/>
      <c r="M51" s="1"/>
      <c r="N51" s="1"/>
    </row>
    <row r="52" spans="11:14" x14ac:dyDescent="0.3">
      <c r="K52" s="1"/>
      <c r="L52" s="1"/>
      <c r="M52" s="1"/>
      <c r="N52" s="1"/>
    </row>
    <row r="53" spans="11:14" x14ac:dyDescent="0.3">
      <c r="K53" s="1"/>
      <c r="L53" s="1"/>
      <c r="M53" s="1"/>
      <c r="N53" s="1"/>
    </row>
    <row r="54" spans="11:14" x14ac:dyDescent="0.3">
      <c r="K54" s="1"/>
      <c r="L54" s="1"/>
      <c r="M54" s="1"/>
      <c r="N54" s="1"/>
    </row>
    <row r="55" spans="11:14" x14ac:dyDescent="0.3">
      <c r="L55" s="1"/>
      <c r="M55" s="1"/>
      <c r="N55" s="1"/>
    </row>
    <row r="56" spans="11:14" x14ac:dyDescent="0.3">
      <c r="L56" s="1"/>
      <c r="M56" s="1"/>
      <c r="N56" s="1"/>
    </row>
    <row r="57" spans="11:14" x14ac:dyDescent="0.3">
      <c r="L57" s="1"/>
      <c r="M57" s="1"/>
      <c r="N57" s="1"/>
    </row>
    <row r="58" spans="11:14" x14ac:dyDescent="0.3">
      <c r="L58" s="1"/>
      <c r="M58" s="1"/>
      <c r="N58" s="1"/>
    </row>
    <row r="59" spans="11:14" x14ac:dyDescent="0.3">
      <c r="L59" s="1"/>
      <c r="M59" s="1"/>
      <c r="N59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baseColWidth="10" defaultRowHeight="14.4" x14ac:dyDescent="0.3"/>
  <cols>
    <col min="4" max="4" width="14.44140625" customWidth="1"/>
    <col min="7" max="7" width="11.5546875" style="22"/>
  </cols>
  <sheetData>
    <row r="1" spans="1:5" x14ac:dyDescent="0.3">
      <c r="A1" s="70" t="s">
        <v>650</v>
      </c>
      <c r="B1" s="22" t="s">
        <v>401</v>
      </c>
      <c r="D1" s="22" t="s">
        <v>622</v>
      </c>
      <c r="E1" s="22" t="s">
        <v>623</v>
      </c>
    </row>
    <row r="2" spans="1:5" x14ac:dyDescent="0.3">
      <c r="A2" s="22" t="s">
        <v>7</v>
      </c>
      <c r="B2" s="22" t="s">
        <v>5</v>
      </c>
      <c r="C2" t="s">
        <v>567</v>
      </c>
      <c r="D2" s="25">
        <v>-85.134179700000004</v>
      </c>
      <c r="E2" s="25">
        <v>8.5351486199999993</v>
      </c>
    </row>
    <row r="3" spans="1:5" x14ac:dyDescent="0.3">
      <c r="A3" s="22" t="s">
        <v>7</v>
      </c>
      <c r="B3" s="22" t="s">
        <v>5</v>
      </c>
      <c r="C3" s="22" t="s">
        <v>568</v>
      </c>
      <c r="D3" s="25">
        <v>-85.462275300000002</v>
      </c>
      <c r="E3" s="25">
        <v>6.4958890299999998</v>
      </c>
    </row>
    <row r="4" spans="1:5" x14ac:dyDescent="0.3">
      <c r="A4" s="22" t="s">
        <v>8</v>
      </c>
      <c r="B4" s="22" t="s">
        <v>6</v>
      </c>
      <c r="C4" s="22" t="s">
        <v>569</v>
      </c>
      <c r="D4" s="25">
        <v>-82.710156100000006</v>
      </c>
      <c r="E4" s="25">
        <v>19.4316016</v>
      </c>
    </row>
    <row r="5" spans="1:5" x14ac:dyDescent="0.3">
      <c r="A5" s="22" t="s">
        <v>8</v>
      </c>
      <c r="B5" s="22" t="s">
        <v>6</v>
      </c>
      <c r="C5" s="22" t="s">
        <v>570</v>
      </c>
      <c r="D5" s="25">
        <v>-90.206466000000006</v>
      </c>
      <c r="E5" s="25">
        <v>12.0715035</v>
      </c>
    </row>
    <row r="6" spans="1:5" x14ac:dyDescent="0.3">
      <c r="A6" s="22" t="s">
        <v>9</v>
      </c>
      <c r="B6" s="22" t="s">
        <v>305</v>
      </c>
      <c r="C6" s="22" t="s">
        <v>571</v>
      </c>
      <c r="D6" s="25">
        <v>-87.143291500000004</v>
      </c>
      <c r="E6" s="25">
        <v>75.057643600000006</v>
      </c>
    </row>
    <row r="7" spans="1:5" x14ac:dyDescent="0.3">
      <c r="A7" s="22" t="s">
        <v>9</v>
      </c>
      <c r="B7" s="22" t="s">
        <v>305</v>
      </c>
      <c r="C7" s="22" t="s">
        <v>572</v>
      </c>
      <c r="D7" s="25">
        <v>-83.592244699999995</v>
      </c>
      <c r="E7" s="25">
        <v>19.084356499999998</v>
      </c>
    </row>
    <row r="8" spans="1:5" x14ac:dyDescent="0.3">
      <c r="A8" s="22" t="s">
        <v>9</v>
      </c>
      <c r="B8" s="22" t="s">
        <v>305</v>
      </c>
      <c r="C8" s="22" t="s">
        <v>573</v>
      </c>
      <c r="D8" s="25">
        <v>-80.284333799999999</v>
      </c>
      <c r="E8" s="25">
        <v>22.134934900000001</v>
      </c>
    </row>
    <row r="9" spans="1:5" x14ac:dyDescent="0.3">
      <c r="A9" s="22" t="s">
        <v>9</v>
      </c>
      <c r="B9" s="22" t="s">
        <v>305</v>
      </c>
      <c r="C9" s="22" t="s">
        <v>574</v>
      </c>
      <c r="D9" s="25">
        <v>-89.016522199999997</v>
      </c>
      <c r="E9" s="25">
        <v>30.1026521</v>
      </c>
    </row>
    <row r="10" spans="1:5" x14ac:dyDescent="0.3">
      <c r="A10" s="22" t="s">
        <v>10</v>
      </c>
      <c r="B10" s="22" t="s">
        <v>18</v>
      </c>
      <c r="C10" s="22" t="s">
        <v>575</v>
      </c>
      <c r="D10" s="25">
        <v>-89.413386200000005</v>
      </c>
      <c r="E10" s="25">
        <v>34.717188499999999</v>
      </c>
    </row>
    <row r="11" spans="1:5" x14ac:dyDescent="0.3">
      <c r="A11" s="22" t="s">
        <v>10</v>
      </c>
      <c r="B11" s="22" t="s">
        <v>18</v>
      </c>
      <c r="C11" s="22" t="s">
        <v>576</v>
      </c>
      <c r="D11" s="25">
        <v>-96.749111900000003</v>
      </c>
      <c r="E11" s="25">
        <v>3.7044595400000002</v>
      </c>
    </row>
    <row r="12" spans="1:5" x14ac:dyDescent="0.3">
      <c r="A12" s="22" t="s">
        <v>10</v>
      </c>
      <c r="B12" s="22" t="s">
        <v>18</v>
      </c>
      <c r="C12" s="22" t="s">
        <v>577</v>
      </c>
      <c r="D12" s="25">
        <v>-79.671085700000006</v>
      </c>
      <c r="E12" s="25">
        <v>29.113735599999998</v>
      </c>
    </row>
    <row r="13" spans="1:5" x14ac:dyDescent="0.3">
      <c r="A13" s="22" t="s">
        <v>16</v>
      </c>
      <c r="B13" s="22" t="s">
        <v>12</v>
      </c>
      <c r="C13" s="22" t="s">
        <v>578</v>
      </c>
      <c r="D13" s="25">
        <v>-87.256877099999997</v>
      </c>
      <c r="E13" s="25">
        <v>35.038278400000003</v>
      </c>
    </row>
    <row r="14" spans="1:5" x14ac:dyDescent="0.3">
      <c r="A14" s="22" t="s">
        <v>16</v>
      </c>
      <c r="B14" s="22" t="s">
        <v>12</v>
      </c>
      <c r="C14" s="22" t="s">
        <v>579</v>
      </c>
      <c r="D14" s="25">
        <v>-90.239802600000004</v>
      </c>
      <c r="E14" s="25">
        <v>20.850366000000001</v>
      </c>
    </row>
    <row r="15" spans="1:5" x14ac:dyDescent="0.3">
      <c r="A15" s="22" t="s">
        <v>16</v>
      </c>
      <c r="B15" s="22" t="s">
        <v>12</v>
      </c>
      <c r="C15" s="22" t="s">
        <v>580</v>
      </c>
      <c r="D15" s="25">
        <v>-85.113826000000003</v>
      </c>
      <c r="E15" s="25">
        <v>17.149147500000002</v>
      </c>
    </row>
    <row r="16" spans="1:5" x14ac:dyDescent="0.3">
      <c r="A16" s="22" t="s">
        <v>354</v>
      </c>
      <c r="B16" s="22" t="s">
        <v>13</v>
      </c>
      <c r="C16" s="22" t="s">
        <v>581</v>
      </c>
      <c r="D16" s="25">
        <v>-96.4</v>
      </c>
      <c r="E16" s="25">
        <v>17</v>
      </c>
    </row>
    <row r="17" spans="1:5" x14ac:dyDescent="0.3">
      <c r="A17" s="22" t="s">
        <v>354</v>
      </c>
      <c r="B17" s="22" t="s">
        <v>13</v>
      </c>
      <c r="C17" s="22" t="s">
        <v>582</v>
      </c>
      <c r="D17" s="25">
        <v>-88.4</v>
      </c>
      <c r="E17" s="25">
        <v>19.600000000000001</v>
      </c>
    </row>
    <row r="18" spans="1:5" x14ac:dyDescent="0.3">
      <c r="A18" s="22" t="s">
        <v>355</v>
      </c>
      <c r="B18" s="22" t="s">
        <v>1</v>
      </c>
      <c r="C18" s="22" t="s">
        <v>583</v>
      </c>
      <c r="D18" s="25">
        <v>-84.4</v>
      </c>
      <c r="E18" s="25">
        <v>51.8</v>
      </c>
    </row>
    <row r="19" spans="1:5" x14ac:dyDescent="0.3">
      <c r="A19" s="22" t="s">
        <v>356</v>
      </c>
      <c r="B19" s="22" t="s">
        <v>2</v>
      </c>
      <c r="C19" s="22" t="s">
        <v>584</v>
      </c>
      <c r="D19" s="25">
        <v>-78.400000000000006</v>
      </c>
      <c r="E19" s="25">
        <v>91.6</v>
      </c>
    </row>
    <row r="20" spans="1:5" x14ac:dyDescent="0.3">
      <c r="A20" s="22" t="s">
        <v>357</v>
      </c>
      <c r="B20" s="22" t="s">
        <v>305</v>
      </c>
      <c r="C20" s="22" t="s">
        <v>585</v>
      </c>
      <c r="D20" s="25">
        <v>-86.4</v>
      </c>
      <c r="E20" s="25">
        <v>41.61</v>
      </c>
    </row>
    <row r="21" spans="1:5" x14ac:dyDescent="0.3">
      <c r="A21" s="22" t="s">
        <v>358</v>
      </c>
      <c r="B21" s="22" t="s">
        <v>13</v>
      </c>
      <c r="C21" s="22" t="s">
        <v>586</v>
      </c>
      <c r="D21" s="25">
        <v>-94.2</v>
      </c>
      <c r="E21" s="25">
        <v>17</v>
      </c>
    </row>
    <row r="22" spans="1:5" x14ac:dyDescent="0.3">
      <c r="A22" s="22" t="s">
        <v>359</v>
      </c>
      <c r="B22" s="22" t="s">
        <v>33</v>
      </c>
      <c r="C22" s="22" t="s">
        <v>587</v>
      </c>
      <c r="D22" s="25">
        <v>-92.4</v>
      </c>
      <c r="E22" s="25">
        <v>9.8000000000000007</v>
      </c>
    </row>
    <row r="23" spans="1:5" x14ac:dyDescent="0.3">
      <c r="A23" s="22" t="s">
        <v>360</v>
      </c>
      <c r="B23" s="22" t="s">
        <v>2</v>
      </c>
      <c r="C23" s="22" t="s">
        <v>588</v>
      </c>
      <c r="D23" s="25">
        <v>-95</v>
      </c>
      <c r="E23" s="25">
        <v>36</v>
      </c>
    </row>
    <row r="24" spans="1:5" x14ac:dyDescent="0.3">
      <c r="A24" s="22" t="s">
        <v>360</v>
      </c>
      <c r="B24" s="22" t="s">
        <v>2</v>
      </c>
      <c r="C24" s="22" t="s">
        <v>589</v>
      </c>
      <c r="D24" s="25">
        <v>-93.6</v>
      </c>
      <c r="E24" s="25">
        <v>20</v>
      </c>
    </row>
    <row r="25" spans="1:5" x14ac:dyDescent="0.3">
      <c r="A25" s="22" t="s">
        <v>360</v>
      </c>
      <c r="B25" s="22" t="s">
        <v>2</v>
      </c>
      <c r="C25" s="22" t="s">
        <v>590</v>
      </c>
      <c r="D25" s="25">
        <v>-86.1</v>
      </c>
      <c r="E25" s="25">
        <v>26</v>
      </c>
    </row>
    <row r="26" spans="1:5" x14ac:dyDescent="0.3">
      <c r="A26" s="22" t="s">
        <v>361</v>
      </c>
      <c r="B26" s="22" t="s">
        <v>13</v>
      </c>
      <c r="C26" s="22" t="s">
        <v>591</v>
      </c>
      <c r="D26" s="25">
        <v>-87.7</v>
      </c>
      <c r="E26" s="25">
        <v>26</v>
      </c>
    </row>
    <row r="27" spans="1:5" x14ac:dyDescent="0.3">
      <c r="A27" s="22" t="s">
        <v>362</v>
      </c>
      <c r="B27" s="22" t="s">
        <v>305</v>
      </c>
      <c r="C27" s="22" t="s">
        <v>592</v>
      </c>
      <c r="D27" s="25">
        <v>-92.7</v>
      </c>
      <c r="E27" s="25">
        <v>25</v>
      </c>
    </row>
    <row r="28" spans="1:5" x14ac:dyDescent="0.3">
      <c r="A28" s="22" t="s">
        <v>362</v>
      </c>
      <c r="B28" s="22" t="s">
        <v>305</v>
      </c>
      <c r="C28" s="22" t="s">
        <v>593</v>
      </c>
      <c r="D28" s="25">
        <v>-90.3</v>
      </c>
      <c r="E28" s="25">
        <v>17</v>
      </c>
    </row>
    <row r="29" spans="1:5" x14ac:dyDescent="0.3">
      <c r="A29" s="22" t="s">
        <v>363</v>
      </c>
      <c r="B29" s="22" t="s">
        <v>6</v>
      </c>
      <c r="C29" s="22" t="s">
        <v>594</v>
      </c>
      <c r="D29" s="25">
        <v>-93.3</v>
      </c>
      <c r="E29" s="25">
        <v>25.8</v>
      </c>
    </row>
    <row r="31" spans="1:5" x14ac:dyDescent="0.3">
      <c r="C31" t="s">
        <v>15</v>
      </c>
      <c r="D31">
        <f>AVERAGE(D2:D29)</f>
        <v>-88.26048424285716</v>
      </c>
      <c r="E31" s="22">
        <f>AVERAGE(E2:E29)</f>
        <v>27.060603763928572</v>
      </c>
    </row>
    <row r="32" spans="1:5" x14ac:dyDescent="0.3">
      <c r="C32" t="s">
        <v>380</v>
      </c>
      <c r="D32">
        <f>STDEVA(D2:D29)/SQRT(28)</f>
        <v>0.9370924266963585</v>
      </c>
      <c r="E32" s="22">
        <f>STDEVA(E2:E29)/SQRT(28)</f>
        <v>3.6447333442789454</v>
      </c>
    </row>
    <row r="33" spans="4:5" x14ac:dyDescent="0.3">
      <c r="E33" s="22"/>
    </row>
    <row r="34" spans="4:5" x14ac:dyDescent="0.3">
      <c r="D34" s="22"/>
      <c r="E34" s="22"/>
    </row>
    <row r="35" spans="4:5" x14ac:dyDescent="0.3">
      <c r="D35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/>
  </sheetViews>
  <sheetFormatPr baseColWidth="10" defaultRowHeight="14.4" x14ac:dyDescent="0.3"/>
  <cols>
    <col min="7" max="7" width="14.33203125" customWidth="1"/>
  </cols>
  <sheetData>
    <row r="1" spans="1:19" x14ac:dyDescent="0.3">
      <c r="A1" s="70" t="s">
        <v>651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16</v>
      </c>
      <c r="G1" s="14" t="s">
        <v>354</v>
      </c>
    </row>
    <row r="2" spans="1:19" x14ac:dyDescent="0.3">
      <c r="A2" s="22"/>
      <c r="B2" s="1" t="s">
        <v>305</v>
      </c>
      <c r="C2" s="1" t="s">
        <v>5</v>
      </c>
      <c r="D2" s="1" t="s">
        <v>33</v>
      </c>
      <c r="E2" s="1" t="s">
        <v>2</v>
      </c>
      <c r="F2" s="1" t="s">
        <v>18</v>
      </c>
      <c r="G2" s="1" t="s">
        <v>452</v>
      </c>
    </row>
    <row r="3" spans="1:19" x14ac:dyDescent="0.3">
      <c r="A3" s="22" t="s">
        <v>451</v>
      </c>
      <c r="B3" s="22" t="s">
        <v>454</v>
      </c>
      <c r="C3" s="22" t="s">
        <v>454</v>
      </c>
      <c r="D3" s="22" t="s">
        <v>454</v>
      </c>
      <c r="E3" s="22" t="s">
        <v>454</v>
      </c>
      <c r="F3" s="22" t="s">
        <v>454</v>
      </c>
      <c r="G3" s="22" t="s">
        <v>454</v>
      </c>
    </row>
    <row r="4" spans="1:19" x14ac:dyDescent="0.3">
      <c r="A4" s="22">
        <v>-140</v>
      </c>
      <c r="B4" s="22">
        <v>-660.5166320800779</v>
      </c>
      <c r="C4" s="22">
        <v>-2584.0221000000001</v>
      </c>
      <c r="D4" s="22">
        <v>-1087.31079101563</v>
      </c>
      <c r="E4" s="22">
        <v>-374.70000000000005</v>
      </c>
      <c r="F4" s="22">
        <v>-586.20000000000005</v>
      </c>
      <c r="G4" s="22">
        <v>-675.09999999999991</v>
      </c>
    </row>
    <row r="5" spans="1:19" x14ac:dyDescent="0.3">
      <c r="A5" s="22">
        <v>-130</v>
      </c>
      <c r="B5" s="22"/>
      <c r="C5" s="22">
        <v>-2381.8487548828198</v>
      </c>
      <c r="D5" s="22"/>
      <c r="E5" s="22">
        <v>-228.30000000000007</v>
      </c>
      <c r="F5" s="22">
        <v>-435.4</v>
      </c>
      <c r="G5" s="22">
        <v>-552.97607421875</v>
      </c>
      <c r="S5" s="22"/>
    </row>
    <row r="6" spans="1:19" x14ac:dyDescent="0.3">
      <c r="A6" s="22">
        <v>-120</v>
      </c>
      <c r="B6" s="22">
        <v>-374.61053466796903</v>
      </c>
      <c r="C6" s="22">
        <v>-2098.4359130859402</v>
      </c>
      <c r="D6" s="22">
        <v>-335.14404296875</v>
      </c>
      <c r="E6" s="22">
        <v>-134</v>
      </c>
      <c r="F6" s="22">
        <v>-317.30000000000007</v>
      </c>
      <c r="G6" s="22">
        <v>-553.92694091796898</v>
      </c>
      <c r="S6" s="22"/>
    </row>
    <row r="7" spans="1:19" x14ac:dyDescent="0.3">
      <c r="A7" s="22">
        <v>-110</v>
      </c>
      <c r="B7" s="22"/>
      <c r="C7" s="22">
        <v>-1555.430786132813</v>
      </c>
      <c r="D7" s="22"/>
      <c r="E7" s="22">
        <v>-9.1999999999999886</v>
      </c>
      <c r="F7" s="22">
        <v>-222.20000000000005</v>
      </c>
      <c r="G7" s="22">
        <v>-370.52032470703097</v>
      </c>
      <c r="S7" s="22"/>
    </row>
    <row r="8" spans="1:19" x14ac:dyDescent="0.3">
      <c r="A8" s="22">
        <v>-100</v>
      </c>
      <c r="B8" s="22">
        <v>-105.41642761230462</v>
      </c>
      <c r="C8" s="22">
        <v>-1076.5014038085869</v>
      </c>
      <c r="D8" s="22">
        <v>-96.710205078125</v>
      </c>
      <c r="E8" s="22">
        <v>-39.100000000000023</v>
      </c>
      <c r="F8" s="22">
        <v>-68.399999999999977</v>
      </c>
      <c r="G8" s="22">
        <v>-131.61981201171903</v>
      </c>
      <c r="S8" s="22"/>
    </row>
    <row r="9" spans="1:19" x14ac:dyDescent="0.3">
      <c r="A9" s="22">
        <v>-90</v>
      </c>
      <c r="B9" s="22"/>
      <c r="C9" s="22">
        <v>-509.46029663085898</v>
      </c>
      <c r="D9" s="22"/>
      <c r="E9" s="22">
        <v>57.000000000000028</v>
      </c>
      <c r="F9" s="22">
        <v>48.199999999999989</v>
      </c>
      <c r="G9" s="22">
        <v>25.238967895508011</v>
      </c>
      <c r="S9" s="22"/>
    </row>
    <row r="10" spans="1:19" x14ac:dyDescent="0.3">
      <c r="A10" s="22">
        <v>-80</v>
      </c>
      <c r="B10" s="22">
        <v>92.337469100951907</v>
      </c>
      <c r="C10" s="22">
        <v>143.9522686004637</v>
      </c>
      <c r="D10" s="22">
        <v>69.64111328125</v>
      </c>
      <c r="E10" s="22">
        <v>190</v>
      </c>
      <c r="F10" s="22">
        <v>98</v>
      </c>
      <c r="G10" s="22">
        <v>151.62199020385719</v>
      </c>
      <c r="S10" s="22"/>
    </row>
    <row r="11" spans="1:19" x14ac:dyDescent="0.3">
      <c r="A11" s="22">
        <v>-70</v>
      </c>
      <c r="B11" s="22"/>
      <c r="C11" s="22">
        <v>447.82229614257795</v>
      </c>
      <c r="D11" s="22"/>
      <c r="E11" s="22">
        <v>797.69999999999993</v>
      </c>
      <c r="F11" s="22">
        <v>230.70000000000002</v>
      </c>
      <c r="G11" s="22">
        <v>297.06982421874994</v>
      </c>
      <c r="S11" s="22"/>
    </row>
    <row r="12" spans="1:19" x14ac:dyDescent="0.3">
      <c r="A12" s="22">
        <v>-60</v>
      </c>
      <c r="B12" s="22">
        <v>330.34552764892601</v>
      </c>
      <c r="C12" s="22">
        <v>938.59783935546704</v>
      </c>
      <c r="D12" s="22">
        <v>197.113037109375</v>
      </c>
      <c r="E12" s="22">
        <v>749.6</v>
      </c>
      <c r="F12" s="22">
        <v>333.2</v>
      </c>
      <c r="G12" s="22">
        <v>433.93286132812506</v>
      </c>
      <c r="S12" s="22"/>
    </row>
    <row r="13" spans="1:19" x14ac:dyDescent="0.3">
      <c r="A13" s="22">
        <v>-50</v>
      </c>
      <c r="B13" s="22"/>
      <c r="C13" s="22">
        <v>1089.2358879999999</v>
      </c>
      <c r="D13" s="22"/>
      <c r="E13" s="22">
        <v>916.1</v>
      </c>
      <c r="F13" s="22">
        <v>423</v>
      </c>
      <c r="G13" s="22">
        <v>597.47174072265204</v>
      </c>
      <c r="S13" s="22"/>
    </row>
    <row r="14" spans="1:19" x14ac:dyDescent="0.3">
      <c r="A14" s="22">
        <v>-40</v>
      </c>
      <c r="B14" s="22">
        <v>519.75793457031295</v>
      </c>
      <c r="C14" s="22">
        <v>1720.5697631835901</v>
      </c>
      <c r="D14" s="22">
        <v>306.91528320313</v>
      </c>
      <c r="E14" s="22">
        <v>1013.9000000000001</v>
      </c>
      <c r="F14" s="22">
        <v>772.19999999999993</v>
      </c>
      <c r="G14" s="22">
        <v>884.58</v>
      </c>
      <c r="S14" s="22"/>
    </row>
    <row r="17" spans="1:30" x14ac:dyDescent="0.3">
      <c r="B17" s="14" t="s">
        <v>355</v>
      </c>
      <c r="C17" s="22" t="s">
        <v>356</v>
      </c>
      <c r="D17" s="22" t="s">
        <v>356</v>
      </c>
      <c r="E17" s="22" t="s">
        <v>356</v>
      </c>
      <c r="F17" s="22" t="s">
        <v>356</v>
      </c>
      <c r="G17" s="22" t="s">
        <v>356</v>
      </c>
    </row>
    <row r="18" spans="1:30" x14ac:dyDescent="0.3">
      <c r="B18" s="1" t="s">
        <v>453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M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x14ac:dyDescent="0.3">
      <c r="A19" s="22" t="s">
        <v>451</v>
      </c>
      <c r="B19" s="22" t="s">
        <v>454</v>
      </c>
      <c r="C19" s="22" t="s">
        <v>454</v>
      </c>
      <c r="D19" s="22" t="s">
        <v>454</v>
      </c>
      <c r="E19" s="22" t="s">
        <v>454</v>
      </c>
      <c r="F19" s="22" t="s">
        <v>454</v>
      </c>
      <c r="G19" s="22" t="s">
        <v>454</v>
      </c>
      <c r="M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x14ac:dyDescent="0.3">
      <c r="A20" s="22">
        <v>-140</v>
      </c>
      <c r="B20" s="22">
        <v>-1787.8455899999999</v>
      </c>
      <c r="C20" s="22">
        <v>-502.9</v>
      </c>
      <c r="D20" s="22">
        <v>-1012</v>
      </c>
      <c r="E20" s="22">
        <v>-1224.4000000000001</v>
      </c>
      <c r="F20" s="22">
        <v>-1167</v>
      </c>
      <c r="G20" s="22">
        <v>-2420.6999999999998</v>
      </c>
      <c r="J20" s="22"/>
      <c r="K20" s="22"/>
      <c r="L20" s="22"/>
      <c r="M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x14ac:dyDescent="0.3">
      <c r="A21" s="22">
        <v>-130</v>
      </c>
      <c r="B21" s="22">
        <v>-1623.26</v>
      </c>
      <c r="C21" s="22">
        <v>-355.8</v>
      </c>
      <c r="D21" s="22">
        <v>-899</v>
      </c>
      <c r="E21" s="22">
        <v>-1020.5</v>
      </c>
      <c r="F21" s="22">
        <v>-892.9</v>
      </c>
      <c r="G21" s="22">
        <v>-1939.7</v>
      </c>
      <c r="I21" s="22"/>
      <c r="J21" s="22"/>
      <c r="K21" s="22"/>
      <c r="L21" s="22"/>
      <c r="M21" s="22"/>
      <c r="P21" s="22"/>
      <c r="Q21" s="22"/>
      <c r="R21" s="22"/>
      <c r="T21" s="22"/>
      <c r="U21" s="22"/>
      <c r="V21" s="22"/>
      <c r="W21" s="22"/>
      <c r="Y21" s="22"/>
      <c r="Z21" s="22"/>
      <c r="AA21" s="22"/>
      <c r="AB21" s="22"/>
      <c r="AD21" s="22"/>
    </row>
    <row r="22" spans="1:30" x14ac:dyDescent="0.3">
      <c r="A22" s="22">
        <v>-120</v>
      </c>
      <c r="B22" s="22">
        <v>-1421.6333496093798</v>
      </c>
      <c r="C22" s="22">
        <v>-276.5</v>
      </c>
      <c r="D22" s="22">
        <v>-695.2</v>
      </c>
      <c r="E22" s="22">
        <v>-811.2</v>
      </c>
      <c r="F22" s="22">
        <v>-699.5</v>
      </c>
      <c r="G22" s="22">
        <v>-1463</v>
      </c>
      <c r="I22" s="22"/>
      <c r="J22" s="22"/>
      <c r="K22" s="22"/>
      <c r="L22" s="22"/>
      <c r="M22" s="22"/>
      <c r="P22" s="22"/>
      <c r="Q22" s="22"/>
      <c r="R22" s="22"/>
      <c r="T22" s="22"/>
      <c r="U22" s="22"/>
      <c r="V22" s="22"/>
      <c r="W22" s="22"/>
      <c r="Y22" s="22"/>
      <c r="Z22" s="22"/>
      <c r="AA22" s="22"/>
      <c r="AB22" s="22"/>
      <c r="AD22" s="22"/>
    </row>
    <row r="23" spans="1:30" x14ac:dyDescent="0.3">
      <c r="A23" s="22">
        <v>-110</v>
      </c>
      <c r="B23" s="22">
        <v>-1167.4041992187499</v>
      </c>
      <c r="C23" s="22">
        <v>-215.5</v>
      </c>
      <c r="D23" s="22">
        <v>-524.29999999999995</v>
      </c>
      <c r="E23" s="22">
        <v>-609.70000000000005</v>
      </c>
      <c r="F23" s="22">
        <v>-263.7</v>
      </c>
      <c r="G23" s="22">
        <v>-1076.7</v>
      </c>
      <c r="I23" s="22"/>
      <c r="J23" s="22"/>
      <c r="K23" s="22"/>
      <c r="L23" s="22"/>
      <c r="M23" s="22"/>
      <c r="P23" s="22"/>
      <c r="Q23" s="22"/>
      <c r="R23" s="22"/>
      <c r="T23" s="22"/>
      <c r="U23" s="22"/>
      <c r="V23" s="22"/>
      <c r="W23" s="22"/>
      <c r="Y23" s="22"/>
      <c r="Z23" s="22"/>
      <c r="AA23" s="22"/>
      <c r="AB23" s="22"/>
      <c r="AD23" s="22"/>
    </row>
    <row r="24" spans="1:30" x14ac:dyDescent="0.3">
      <c r="A24" s="22">
        <v>-100</v>
      </c>
      <c r="B24" s="22">
        <v>-795.64644775390695</v>
      </c>
      <c r="C24" s="22">
        <v>-141.6</v>
      </c>
      <c r="D24" s="22">
        <v>-340.6</v>
      </c>
      <c r="E24" s="22">
        <v>-407.7</v>
      </c>
      <c r="F24" s="22">
        <v>-255.1</v>
      </c>
      <c r="G24" s="22">
        <v>-730</v>
      </c>
      <c r="I24" s="22"/>
      <c r="J24" s="22"/>
      <c r="K24" s="22"/>
      <c r="L24" s="22"/>
      <c r="M24" s="22"/>
      <c r="P24" s="22"/>
      <c r="Q24" s="22"/>
      <c r="R24" s="22"/>
      <c r="T24" s="22"/>
      <c r="U24" s="22"/>
      <c r="V24" s="22"/>
      <c r="W24" s="22"/>
      <c r="Y24" s="22"/>
      <c r="Z24" s="22"/>
      <c r="AA24" s="22"/>
      <c r="AB24" s="22"/>
      <c r="AD24" s="22"/>
    </row>
    <row r="25" spans="1:30" x14ac:dyDescent="0.3">
      <c r="A25" s="22">
        <v>-90</v>
      </c>
      <c r="B25" s="22">
        <v>-418.62772216796895</v>
      </c>
      <c r="C25" s="22">
        <v>-72</v>
      </c>
      <c r="D25" s="22">
        <v>-175.8</v>
      </c>
      <c r="E25" s="22">
        <v>-204.5</v>
      </c>
      <c r="F25" s="22">
        <v>-188.6</v>
      </c>
      <c r="G25" s="22">
        <v>-358.3</v>
      </c>
      <c r="I25" s="22"/>
      <c r="J25" s="22"/>
      <c r="K25" s="22"/>
      <c r="L25" s="22"/>
      <c r="M25" s="22"/>
      <c r="P25" s="22"/>
      <c r="Q25" s="22"/>
      <c r="R25" s="22"/>
      <c r="T25" s="22"/>
      <c r="U25" s="22"/>
      <c r="V25" s="22"/>
      <c r="W25" s="22"/>
      <c r="Y25" s="22"/>
      <c r="Z25" s="22"/>
      <c r="AA25" s="22"/>
      <c r="AB25" s="22"/>
      <c r="AD25" s="22"/>
    </row>
    <row r="26" spans="1:30" x14ac:dyDescent="0.3">
      <c r="A26" s="22">
        <v>-80</v>
      </c>
      <c r="B26" s="22">
        <v>-17.448314666748104</v>
      </c>
      <c r="C26" s="22">
        <v>1.2</v>
      </c>
      <c r="D26" s="22">
        <v>-7.3</v>
      </c>
      <c r="E26" s="22">
        <v>3.1</v>
      </c>
      <c r="F26" s="22">
        <v>1.2</v>
      </c>
      <c r="G26" s="22">
        <v>0.6</v>
      </c>
      <c r="I26" s="22"/>
      <c r="J26" s="22"/>
      <c r="K26" s="22"/>
      <c r="L26" s="22"/>
      <c r="M26" s="22"/>
      <c r="P26" s="22"/>
      <c r="Q26" s="22"/>
      <c r="R26" s="22"/>
      <c r="T26" s="22"/>
      <c r="U26" s="22"/>
      <c r="V26" s="22"/>
      <c r="W26" s="22"/>
      <c r="Y26" s="22"/>
      <c r="Z26" s="22"/>
      <c r="AA26" s="22"/>
      <c r="AB26" s="22"/>
      <c r="AD26" s="22"/>
    </row>
    <row r="27" spans="1:30" x14ac:dyDescent="0.3">
      <c r="A27" s="22">
        <v>-70</v>
      </c>
      <c r="B27" s="22">
        <v>372.96145629882807</v>
      </c>
      <c r="C27" s="22">
        <v>76.900000000000006</v>
      </c>
      <c r="D27" s="22">
        <v>172.7</v>
      </c>
      <c r="E27" s="22">
        <v>170.9</v>
      </c>
      <c r="F27" s="22">
        <v>182.5</v>
      </c>
      <c r="G27" s="22">
        <v>352.8</v>
      </c>
      <c r="I27" s="22"/>
      <c r="J27" s="22"/>
      <c r="K27" s="22"/>
      <c r="L27" s="22"/>
      <c r="M27" s="22"/>
      <c r="P27" s="22"/>
      <c r="Q27" s="22"/>
      <c r="R27" s="22"/>
      <c r="T27" s="22"/>
      <c r="U27" s="22"/>
      <c r="V27" s="22"/>
      <c r="W27" s="22"/>
      <c r="Y27" s="22"/>
      <c r="Z27" s="22"/>
      <c r="AA27" s="22"/>
      <c r="AB27" s="22"/>
      <c r="AD27" s="22"/>
    </row>
    <row r="28" spans="1:30" x14ac:dyDescent="0.3">
      <c r="A28" s="22">
        <v>-60</v>
      </c>
      <c r="B28" s="22">
        <v>826.86145019531295</v>
      </c>
      <c r="C28" s="22">
        <v>160.5</v>
      </c>
      <c r="D28" s="22">
        <v>356.4</v>
      </c>
      <c r="E28" s="22">
        <v>310.7</v>
      </c>
      <c r="F28" s="22">
        <v>352.4</v>
      </c>
      <c r="G28" s="22">
        <v>705.6</v>
      </c>
      <c r="I28" s="22"/>
      <c r="J28" s="22"/>
      <c r="K28" s="22"/>
      <c r="L28" s="22"/>
      <c r="M28" s="22"/>
      <c r="P28" s="22"/>
      <c r="Q28" s="22"/>
      <c r="R28" s="22"/>
      <c r="T28" s="22"/>
      <c r="U28" s="22"/>
      <c r="V28" s="22"/>
      <c r="W28" s="22"/>
      <c r="Y28" s="22"/>
      <c r="Z28" s="22"/>
      <c r="AA28" s="22"/>
      <c r="AB28" s="22"/>
      <c r="AD28" s="22"/>
    </row>
    <row r="29" spans="1:30" x14ac:dyDescent="0.3">
      <c r="A29" s="22">
        <v>-50</v>
      </c>
      <c r="B29" s="22">
        <v>1287.29992675781</v>
      </c>
      <c r="C29" s="22">
        <v>258.8</v>
      </c>
      <c r="D29" s="22">
        <v>532.79999999999995</v>
      </c>
      <c r="E29" s="22">
        <v>501.1</v>
      </c>
      <c r="F29" s="22">
        <v>515.1</v>
      </c>
      <c r="G29" s="22">
        <v>1018.7</v>
      </c>
      <c r="I29" s="22"/>
      <c r="J29" s="22"/>
      <c r="K29" s="22"/>
      <c r="L29" s="22"/>
      <c r="M29" s="22"/>
      <c r="P29" s="22"/>
      <c r="Q29" s="22"/>
      <c r="R29" s="22"/>
      <c r="T29" s="22"/>
      <c r="U29" s="22"/>
      <c r="V29" s="22"/>
      <c r="W29" s="22"/>
      <c r="Y29" s="22"/>
      <c r="Z29" s="22"/>
      <c r="AA29" s="22"/>
      <c r="AB29" s="22"/>
      <c r="AD29" s="22"/>
    </row>
    <row r="30" spans="1:30" x14ac:dyDescent="0.3">
      <c r="A30" s="22">
        <v>-40</v>
      </c>
      <c r="B30" s="22">
        <v>1715.38806152344</v>
      </c>
      <c r="C30" s="22">
        <v>348.5</v>
      </c>
      <c r="D30" s="22">
        <v>727.5</v>
      </c>
      <c r="E30" s="22">
        <v>683</v>
      </c>
      <c r="F30" s="22">
        <v>665.9</v>
      </c>
      <c r="G30" s="22">
        <v>1242.7</v>
      </c>
      <c r="I30" s="22"/>
      <c r="J30" s="22"/>
      <c r="K30" s="22"/>
      <c r="L30" s="22"/>
      <c r="M30" s="22"/>
      <c r="P30" s="22"/>
      <c r="Q30" s="22"/>
      <c r="R30" s="22"/>
      <c r="T30" s="22"/>
      <c r="U30" s="22"/>
      <c r="V30" s="22"/>
      <c r="W30" s="22"/>
      <c r="Y30" s="22"/>
      <c r="Z30" s="22"/>
      <c r="AA30" s="22"/>
      <c r="AB30" s="22"/>
      <c r="AD30" s="22"/>
    </row>
    <row r="31" spans="1:30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P31" s="22"/>
      <c r="Q31" s="22"/>
      <c r="R31" s="22"/>
      <c r="T31" s="22"/>
      <c r="U31" s="22"/>
      <c r="V31" s="22"/>
      <c r="W31" s="22"/>
      <c r="Y31" s="22"/>
      <c r="Z31" s="22"/>
      <c r="AA31" s="22"/>
      <c r="AB31" s="22"/>
      <c r="AD31" s="22"/>
    </row>
    <row r="32" spans="1:30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P32" s="22"/>
      <c r="Q32" s="22"/>
      <c r="R32" s="22"/>
      <c r="T32" s="22"/>
      <c r="U32" s="22"/>
      <c r="V32" s="22"/>
      <c r="W32" s="22"/>
      <c r="Y32" s="22"/>
      <c r="Z32" s="22"/>
      <c r="AA32" s="22"/>
      <c r="AB32" s="22"/>
      <c r="AD32" s="22"/>
    </row>
    <row r="33" spans="1:30" x14ac:dyDescent="0.3">
      <c r="A33" s="22"/>
      <c r="B33" s="22" t="s">
        <v>356</v>
      </c>
      <c r="C33" s="22" t="s">
        <v>357</v>
      </c>
      <c r="D33" s="22" t="s">
        <v>357</v>
      </c>
      <c r="E33" s="22" t="s">
        <v>357</v>
      </c>
      <c r="F33" s="22" t="s">
        <v>357</v>
      </c>
      <c r="G33" s="22"/>
      <c r="H33" s="22"/>
      <c r="I33" s="22"/>
      <c r="J33" s="22"/>
      <c r="K33" s="22"/>
      <c r="L33" s="22"/>
      <c r="M33" s="22"/>
      <c r="P33" s="22"/>
      <c r="Q33" s="22"/>
      <c r="R33" s="22"/>
      <c r="T33" s="22"/>
      <c r="U33" s="22"/>
      <c r="V33" s="22"/>
      <c r="W33" s="22"/>
      <c r="Y33" s="22"/>
      <c r="Z33" s="22"/>
      <c r="AA33" s="22"/>
      <c r="AB33" s="22"/>
      <c r="AD33" s="22"/>
    </row>
    <row r="34" spans="1:30" x14ac:dyDescent="0.3">
      <c r="A34" s="22"/>
      <c r="B34" s="22" t="s">
        <v>13</v>
      </c>
      <c r="C34" s="22" t="s">
        <v>33</v>
      </c>
      <c r="D34" s="22" t="s">
        <v>33</v>
      </c>
      <c r="E34" s="22" t="s">
        <v>33</v>
      </c>
      <c r="F34" s="22" t="s">
        <v>33</v>
      </c>
      <c r="G34" s="22"/>
      <c r="H34" s="22"/>
      <c r="I34" s="22"/>
      <c r="J34" s="22"/>
      <c r="K34" s="22"/>
      <c r="L34" s="22"/>
      <c r="M34" s="22"/>
      <c r="P34" s="22"/>
      <c r="Q34" s="22"/>
      <c r="R34" s="22"/>
      <c r="T34" s="22"/>
      <c r="U34" s="22"/>
      <c r="V34" s="22"/>
      <c r="W34" s="22"/>
      <c r="Y34" s="22"/>
      <c r="Z34" s="22"/>
      <c r="AA34" s="22"/>
      <c r="AB34" s="22"/>
      <c r="AD34" s="22"/>
    </row>
    <row r="35" spans="1:30" x14ac:dyDescent="0.3">
      <c r="A35" s="22" t="s">
        <v>451</v>
      </c>
      <c r="B35" s="22" t="s">
        <v>454</v>
      </c>
      <c r="C35" s="22" t="s">
        <v>454</v>
      </c>
      <c r="D35" s="22" t="s">
        <v>454</v>
      </c>
      <c r="E35" s="22" t="s">
        <v>454</v>
      </c>
      <c r="F35" s="22" t="s">
        <v>454</v>
      </c>
      <c r="G35" s="22"/>
      <c r="H35" s="22"/>
      <c r="I35" s="22"/>
      <c r="J35" s="22"/>
      <c r="K35" s="22"/>
      <c r="L35" s="22"/>
      <c r="M35" s="22"/>
      <c r="P35" s="22"/>
      <c r="Q35" s="22"/>
      <c r="R35" s="22"/>
      <c r="T35" s="22"/>
      <c r="U35" s="22"/>
      <c r="V35" s="22"/>
      <c r="W35" s="22"/>
      <c r="Y35" s="22"/>
      <c r="Z35" s="22"/>
      <c r="AA35" s="22"/>
      <c r="AB35" s="22"/>
      <c r="AD35" s="22"/>
    </row>
    <row r="36" spans="1:30" x14ac:dyDescent="0.3">
      <c r="A36" s="22">
        <v>-140</v>
      </c>
      <c r="B36" s="22">
        <v>-1192.5999999999999</v>
      </c>
      <c r="C36" s="22">
        <v>-1228</v>
      </c>
      <c r="D36" s="22">
        <v>-293</v>
      </c>
      <c r="E36" s="22">
        <v>-1394</v>
      </c>
      <c r="F36" s="22">
        <v>-1747.4</v>
      </c>
      <c r="G36" s="22"/>
      <c r="H36" s="22"/>
      <c r="I36" s="22"/>
      <c r="J36" s="22"/>
      <c r="K36" s="22"/>
      <c r="L36" s="22"/>
      <c r="M36" s="22"/>
      <c r="P36" s="22"/>
      <c r="Q36" s="22"/>
      <c r="R36" s="22"/>
      <c r="T36" s="22"/>
      <c r="U36" s="22"/>
      <c r="V36" s="22"/>
      <c r="W36" s="22"/>
      <c r="Y36" s="22"/>
      <c r="Z36" s="22"/>
      <c r="AA36" s="22"/>
      <c r="AB36" s="22"/>
      <c r="AD36" s="22"/>
    </row>
    <row r="37" spans="1:30" x14ac:dyDescent="0.3">
      <c r="A37" s="22">
        <v>-130</v>
      </c>
      <c r="B37" s="22">
        <v>-1008.9</v>
      </c>
      <c r="C37" s="22">
        <v>-990.6</v>
      </c>
      <c r="D37" s="22">
        <v>-208.1</v>
      </c>
      <c r="E37" s="22">
        <v>-1174.9000000000001</v>
      </c>
      <c r="F37" s="22">
        <v>-1277.5</v>
      </c>
      <c r="G37" s="22"/>
      <c r="H37" s="22"/>
      <c r="I37" s="22"/>
      <c r="J37" s="22"/>
      <c r="K37" s="22"/>
      <c r="L37" s="22"/>
      <c r="M37" s="22"/>
      <c r="P37" s="22"/>
      <c r="Q37" s="22"/>
      <c r="R37" s="22"/>
      <c r="T37" s="22"/>
      <c r="U37" s="22"/>
      <c r="V37" s="22"/>
      <c r="W37" s="22"/>
      <c r="Y37" s="22"/>
      <c r="Z37" s="22"/>
      <c r="AA37" s="22"/>
      <c r="AB37" s="22"/>
      <c r="AD37" s="22"/>
    </row>
    <row r="38" spans="1:30" x14ac:dyDescent="0.3">
      <c r="A38" s="22">
        <v>-120</v>
      </c>
      <c r="B38" s="22">
        <v>-923.5</v>
      </c>
      <c r="C38" s="22">
        <v>-761.7</v>
      </c>
      <c r="D38" s="22">
        <v>-102.5</v>
      </c>
      <c r="E38" s="22">
        <v>-956.4</v>
      </c>
      <c r="F38" s="22">
        <v>-875.9</v>
      </c>
      <c r="G38" s="22"/>
      <c r="H38" s="22"/>
      <c r="I38" s="22"/>
      <c r="J38" s="22"/>
      <c r="K38" s="22"/>
      <c r="L38" s="22"/>
      <c r="M38" s="22"/>
      <c r="P38" s="22"/>
      <c r="Q38" s="22"/>
      <c r="R38" s="22"/>
      <c r="T38" s="22"/>
      <c r="U38" s="22"/>
      <c r="V38" s="22"/>
      <c r="W38" s="22"/>
      <c r="Y38" s="22"/>
      <c r="Z38" s="22"/>
      <c r="AA38" s="22"/>
      <c r="AB38" s="22"/>
      <c r="AD38" s="22"/>
    </row>
    <row r="39" spans="1:30" x14ac:dyDescent="0.3">
      <c r="A39" s="22">
        <v>-110</v>
      </c>
      <c r="B39" s="22">
        <v>-978.4</v>
      </c>
      <c r="C39" s="22">
        <v>-571.9</v>
      </c>
      <c r="D39" s="22">
        <v>-22.6</v>
      </c>
      <c r="E39" s="22">
        <v>-843.5</v>
      </c>
      <c r="F39" s="22">
        <v>-588.4</v>
      </c>
      <c r="G39" s="22"/>
      <c r="H39" s="22"/>
      <c r="I39" s="22"/>
      <c r="J39" s="22"/>
      <c r="K39" s="22"/>
      <c r="L39" s="22"/>
      <c r="M39" s="22"/>
      <c r="P39" s="22"/>
      <c r="Q39" s="22"/>
      <c r="R39" s="22"/>
      <c r="T39" s="22"/>
      <c r="U39" s="22"/>
      <c r="V39" s="22"/>
      <c r="W39" s="22"/>
      <c r="Y39" s="22"/>
      <c r="Z39" s="22"/>
      <c r="AA39" s="22"/>
      <c r="AB39" s="22"/>
      <c r="AD39" s="22"/>
    </row>
    <row r="40" spans="1:30" x14ac:dyDescent="0.3">
      <c r="A40" s="22">
        <v>-100</v>
      </c>
      <c r="B40" s="22">
        <v>-686.6</v>
      </c>
      <c r="C40" s="22">
        <v>-364.4</v>
      </c>
      <c r="D40" s="22">
        <v>-9.6</v>
      </c>
      <c r="E40" s="22">
        <v>-514.5</v>
      </c>
      <c r="F40" s="22">
        <v>-358.3</v>
      </c>
      <c r="G40" s="22"/>
      <c r="H40" s="22"/>
      <c r="I40" s="22"/>
      <c r="J40" s="22"/>
      <c r="K40" s="22"/>
      <c r="L40" s="22"/>
      <c r="M40" s="22"/>
      <c r="O40" s="22"/>
      <c r="P40" s="22"/>
      <c r="Q40" s="22"/>
      <c r="R40" s="22"/>
      <c r="T40" s="22"/>
      <c r="U40" s="22"/>
      <c r="V40" s="22"/>
      <c r="W40" s="22"/>
      <c r="Y40" s="22"/>
      <c r="Z40" s="22"/>
      <c r="AA40" s="22"/>
      <c r="AB40" s="22"/>
      <c r="AD40" s="22"/>
    </row>
    <row r="41" spans="1:30" x14ac:dyDescent="0.3">
      <c r="A41" s="22">
        <v>-90</v>
      </c>
      <c r="B41" s="22">
        <v>-338.7</v>
      </c>
      <c r="C41" s="22">
        <v>-179.4</v>
      </c>
      <c r="D41" s="22">
        <v>-9.1999999999999993</v>
      </c>
      <c r="E41" s="22">
        <v>-251.5</v>
      </c>
      <c r="F41" s="22">
        <v>-175.2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x14ac:dyDescent="0.3">
      <c r="A42" s="22">
        <v>-80</v>
      </c>
      <c r="B42" s="22">
        <v>-2.4</v>
      </c>
      <c r="C42" s="22">
        <v>-2.4</v>
      </c>
      <c r="D42" s="22">
        <v>5.5</v>
      </c>
      <c r="E42" s="22">
        <v>-6.1</v>
      </c>
      <c r="F42" s="22">
        <v>0.6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x14ac:dyDescent="0.3">
      <c r="A43" s="22">
        <v>-70</v>
      </c>
      <c r="B43" s="22">
        <v>311.89999999999998</v>
      </c>
      <c r="C43" s="22">
        <v>177.6</v>
      </c>
      <c r="D43" s="22">
        <v>11</v>
      </c>
      <c r="E43" s="22">
        <v>252.7</v>
      </c>
      <c r="F43" s="22">
        <v>154.4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x14ac:dyDescent="0.3">
      <c r="A44" s="22">
        <v>-60</v>
      </c>
      <c r="B44" s="22">
        <v>643.29999999999995</v>
      </c>
      <c r="C44" s="22">
        <v>330.2</v>
      </c>
      <c r="D44" s="22">
        <v>0</v>
      </c>
      <c r="E44" s="22">
        <v>513.29999999999995</v>
      </c>
      <c r="F44" s="22">
        <v>305.2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x14ac:dyDescent="0.3">
      <c r="A45" s="22">
        <v>-50</v>
      </c>
      <c r="B45" s="22">
        <v>977.2</v>
      </c>
      <c r="C45" s="22">
        <v>468.8</v>
      </c>
      <c r="D45" s="22">
        <v>2.4</v>
      </c>
      <c r="E45" s="22">
        <v>756.8</v>
      </c>
      <c r="F45" s="22">
        <v>444.3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x14ac:dyDescent="0.3">
      <c r="A46" s="22">
        <v>-40</v>
      </c>
      <c r="B46" s="22">
        <v>1168.2</v>
      </c>
      <c r="C46" s="22">
        <v>592</v>
      </c>
      <c r="D46" s="22">
        <v>35.4</v>
      </c>
      <c r="E46" s="22">
        <v>1005.2</v>
      </c>
      <c r="F46" s="22">
        <v>707.4</v>
      </c>
      <c r="G46" s="22"/>
      <c r="H46" s="22"/>
      <c r="J46" s="22"/>
      <c r="K46" s="22"/>
      <c r="L46" s="22"/>
      <c r="M46" s="22"/>
      <c r="O46" s="22"/>
      <c r="P46" s="22"/>
      <c r="Q46" s="22"/>
      <c r="R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x14ac:dyDescent="0.3">
      <c r="A47" s="22"/>
      <c r="B47" s="22"/>
      <c r="C47" s="22"/>
      <c r="F47" s="22"/>
      <c r="G47" s="22"/>
      <c r="H47" s="22"/>
      <c r="J47" s="22"/>
      <c r="K47" s="22"/>
      <c r="L47" s="22"/>
      <c r="M47" s="22"/>
      <c r="O47" s="22"/>
      <c r="P47" s="22"/>
      <c r="Q47" s="22"/>
      <c r="R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x14ac:dyDescent="0.3">
      <c r="A48" s="22"/>
      <c r="B48" s="22"/>
      <c r="C48" s="22"/>
      <c r="F48" s="22"/>
      <c r="G48" s="22"/>
      <c r="H48" s="22"/>
      <c r="J48" s="22"/>
      <c r="K48" s="22"/>
      <c r="L48" s="22"/>
      <c r="M48" s="22"/>
      <c r="O48" s="22"/>
      <c r="P48" s="22"/>
      <c r="Q48" s="22"/>
      <c r="R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x14ac:dyDescent="0.3">
      <c r="A49" s="22" t="s">
        <v>451</v>
      </c>
      <c r="B49" s="22" t="s">
        <v>15</v>
      </c>
      <c r="C49" s="22" t="s">
        <v>380</v>
      </c>
      <c r="F49" s="22"/>
      <c r="G49" s="22"/>
      <c r="H49" s="22"/>
      <c r="J49" s="22"/>
      <c r="K49" s="22"/>
      <c r="L49" s="22"/>
      <c r="M49" s="22"/>
      <c r="O49" s="22"/>
      <c r="P49" s="22"/>
      <c r="Q49" s="22"/>
      <c r="R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x14ac:dyDescent="0.3">
      <c r="A50" s="22">
        <v>-140</v>
      </c>
      <c r="B50">
        <f t="shared" ref="B50:B60" si="0">AVERAGE(B4:G4,B20:G20,B36:F36)</f>
        <v>-1172.8055948879828</v>
      </c>
      <c r="C50">
        <f>STDEVA(B4:G4,B20:G20,B36:F36)/SQRT(17)</f>
        <v>161.10253159495855</v>
      </c>
      <c r="F50" s="22"/>
      <c r="G50" s="22"/>
      <c r="H50" s="22"/>
      <c r="J50" s="22"/>
      <c r="K50" s="22"/>
      <c r="L50" s="22"/>
      <c r="M50" s="22"/>
      <c r="O50" s="22"/>
      <c r="P50" s="22"/>
      <c r="Q50" s="22"/>
      <c r="R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x14ac:dyDescent="0.3">
      <c r="A51" s="22">
        <v>-130</v>
      </c>
      <c r="B51" s="22">
        <f t="shared" si="0"/>
        <v>-999.31232194010465</v>
      </c>
      <c r="C51" s="22">
        <f>STDEVA(B5:G5,B21:G21,B37:F37)/SQRT(15)</f>
        <v>161.34947556506276</v>
      </c>
      <c r="F51" s="22"/>
      <c r="G51" s="22"/>
      <c r="H51" s="22"/>
      <c r="J51" s="22"/>
      <c r="K51" s="22"/>
      <c r="L51" s="22"/>
      <c r="M51" s="22"/>
      <c r="O51" s="22"/>
      <c r="P51" s="22"/>
      <c r="Q51" s="22"/>
      <c r="R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x14ac:dyDescent="0.3">
      <c r="A52" s="22">
        <v>-120</v>
      </c>
      <c r="B52" s="22">
        <f t="shared" si="0"/>
        <v>-752.96769301470636</v>
      </c>
      <c r="C52" s="22">
        <f t="shared" ref="C52:C58" si="1">STDEVA(B6:G6,B22:G22,B38:F38)/SQRT(17)</f>
        <v>127.72314434884342</v>
      </c>
      <c r="F52" s="22"/>
      <c r="G52" s="22"/>
      <c r="H52" s="22"/>
      <c r="J52" s="22"/>
      <c r="K52" s="22"/>
      <c r="L52" s="22"/>
      <c r="M52" s="22"/>
      <c r="O52" s="22"/>
      <c r="P52" s="22"/>
      <c r="Q52" s="22"/>
      <c r="R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x14ac:dyDescent="0.3">
      <c r="A53" s="22">
        <v>-110</v>
      </c>
      <c r="B53" s="22">
        <f t="shared" si="0"/>
        <v>-601.29702067057281</v>
      </c>
      <c r="C53" s="22">
        <f>STDEVA(B7:G7,B23:G23,B39:F39)/SQRT(15)</f>
        <v>115.67622774703675</v>
      </c>
      <c r="F53" s="22"/>
      <c r="G53" s="22"/>
      <c r="H53" s="22"/>
      <c r="J53" s="22"/>
      <c r="K53" s="22"/>
      <c r="L53" s="22"/>
      <c r="M53" s="22"/>
      <c r="O53" s="22"/>
      <c r="P53" s="22"/>
      <c r="Q53" s="22"/>
      <c r="R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x14ac:dyDescent="0.3">
      <c r="A54" s="22">
        <v>-100</v>
      </c>
      <c r="B54" s="22">
        <f t="shared" si="0"/>
        <v>-360.10554683909658</v>
      </c>
      <c r="C54" s="22">
        <f t="shared" si="1"/>
        <v>74.976847686842362</v>
      </c>
      <c r="F54" s="22"/>
      <c r="G54" s="22"/>
      <c r="H54" s="22"/>
      <c r="J54" s="22"/>
      <c r="K54" s="22"/>
      <c r="L54" s="22"/>
      <c r="M54" s="22"/>
      <c r="O54" s="22"/>
      <c r="P54" s="22"/>
      <c r="Q54" s="22"/>
      <c r="R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x14ac:dyDescent="0.3">
      <c r="A55" s="22">
        <v>-90</v>
      </c>
      <c r="B55" s="22">
        <f t="shared" si="0"/>
        <v>-183.38993672688795</v>
      </c>
      <c r="C55" s="22">
        <f>STDEVA(B9:G9,B25:G25,B41:F41)/SQRT(15)</f>
        <v>44.685296171207725</v>
      </c>
      <c r="F55" s="22"/>
      <c r="G55" s="22"/>
      <c r="H55" s="22"/>
      <c r="J55" s="22"/>
      <c r="K55" s="22"/>
      <c r="L55" s="22"/>
      <c r="M55" s="22"/>
      <c r="O55" s="22"/>
      <c r="P55" s="22"/>
      <c r="Q55" s="22"/>
      <c r="R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x14ac:dyDescent="0.3">
      <c r="A56" s="22">
        <v>-80</v>
      </c>
      <c r="B56" s="22">
        <f t="shared" si="0"/>
        <v>42.476736854104409</v>
      </c>
      <c r="C56" s="22">
        <f>STDEVA(B10:G10,B26:G26,B42:F42)/SQRT(17)</f>
        <v>16.333929876607748</v>
      </c>
      <c r="F56" s="22"/>
      <c r="G56" s="22"/>
      <c r="H56" s="22"/>
      <c r="J56" s="22"/>
      <c r="K56" s="22"/>
      <c r="L56" s="22"/>
      <c r="M56" s="22"/>
      <c r="O56" s="22"/>
      <c r="P56" s="22"/>
      <c r="Q56" s="22"/>
      <c r="R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x14ac:dyDescent="0.3">
      <c r="A57" s="22">
        <v>-70</v>
      </c>
      <c r="B57" s="22">
        <f t="shared" si="0"/>
        <v>267.31023844401039</v>
      </c>
      <c r="C57" s="22">
        <f>STDEVA(B11:G11,B27:G27,B43:F43)/SQRT(15)</f>
        <v>48.056647308567364</v>
      </c>
      <c r="F57" s="22"/>
      <c r="G57" s="22"/>
      <c r="H57" s="22"/>
      <c r="J57" s="22"/>
      <c r="K57" s="22"/>
      <c r="L57" s="22"/>
      <c r="M57" s="22"/>
      <c r="O57" s="22"/>
      <c r="P57" s="22"/>
      <c r="Q57" s="22"/>
      <c r="R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x14ac:dyDescent="0.3">
      <c r="A58" s="22">
        <v>-60</v>
      </c>
      <c r="B58" s="22">
        <f t="shared" si="0"/>
        <v>440.42651268454154</v>
      </c>
      <c r="C58" s="22">
        <f t="shared" si="1"/>
        <v>61.451426440734025</v>
      </c>
      <c r="F58" s="22"/>
      <c r="G58" s="22"/>
      <c r="H58" s="22"/>
      <c r="J58" s="22"/>
      <c r="K58" s="22"/>
      <c r="L58" s="22"/>
      <c r="M58" s="22"/>
      <c r="O58" s="22"/>
      <c r="P58" s="22"/>
      <c r="Q58" s="22"/>
      <c r="R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x14ac:dyDescent="0.3">
      <c r="A59" s="22">
        <v>-50</v>
      </c>
      <c r="B59" s="22">
        <f t="shared" si="0"/>
        <v>652.60717036536403</v>
      </c>
      <c r="C59" s="22">
        <f>STDEVA(B13:G13,B29:G29,B45:F45)/SQRT(15)</f>
        <v>89.446839490484365</v>
      </c>
      <c r="F59" s="22"/>
      <c r="G59" s="22"/>
      <c r="H59" s="22"/>
      <c r="J59" s="22"/>
      <c r="K59" s="22"/>
      <c r="L59" s="22"/>
      <c r="M59" s="22"/>
      <c r="O59" s="22"/>
      <c r="P59" s="22"/>
      <c r="Q59" s="22"/>
      <c r="R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x14ac:dyDescent="0.3">
      <c r="A60" s="22">
        <v>-40</v>
      </c>
      <c r="B60" s="22">
        <f t="shared" si="0"/>
        <v>829.94770838120439</v>
      </c>
      <c r="C60" s="22">
        <f>STDEVA(B14:G14,B30:G30,B46:F46)/SQRT(17)</f>
        <v>110.08651448454184</v>
      </c>
      <c r="F60" s="22"/>
      <c r="G60" s="22"/>
      <c r="H60" s="22"/>
      <c r="J60" s="22"/>
      <c r="K60" s="22"/>
      <c r="L60" s="22"/>
      <c r="M60" s="22"/>
      <c r="O60" s="22"/>
      <c r="P60" s="22"/>
      <c r="Q60" s="22"/>
      <c r="R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x14ac:dyDescent="0.3">
      <c r="A61" s="22"/>
      <c r="B61" s="22"/>
      <c r="C61" s="22"/>
      <c r="F61" s="22"/>
      <c r="G61" s="22"/>
      <c r="H61" s="22"/>
      <c r="J61" s="22"/>
      <c r="K61" s="22"/>
      <c r="L61" s="22"/>
      <c r="M61" s="22"/>
      <c r="O61" s="22"/>
      <c r="P61" s="22"/>
      <c r="Q61" s="22"/>
      <c r="R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3">
      <c r="A62" s="22"/>
      <c r="B62" s="22"/>
      <c r="C62" s="22"/>
      <c r="F62" s="22"/>
      <c r="G62" s="22"/>
      <c r="H62" s="22"/>
      <c r="J62" s="22"/>
      <c r="K62" s="22"/>
      <c r="L62" s="22"/>
      <c r="M62" s="22"/>
      <c r="O62" s="22"/>
      <c r="P62" s="22"/>
      <c r="Q62" s="22"/>
      <c r="R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x14ac:dyDescent="0.3">
      <c r="A63" s="22"/>
      <c r="B63" s="22"/>
      <c r="C63" s="22"/>
      <c r="F63" s="22"/>
      <c r="G63" s="22"/>
      <c r="H63" s="22"/>
      <c r="J63" s="22"/>
      <c r="K63" s="22"/>
      <c r="L63" s="22"/>
      <c r="M63" s="22"/>
      <c r="O63" s="22"/>
      <c r="P63" s="22"/>
      <c r="Q63" s="22"/>
      <c r="R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x14ac:dyDescent="0.3">
      <c r="A64" s="22"/>
      <c r="B64" s="22"/>
      <c r="C64" s="22"/>
      <c r="F64" s="22"/>
      <c r="G64" s="22"/>
      <c r="H64" s="22"/>
      <c r="J64" s="22"/>
      <c r="K64" s="22"/>
      <c r="L64" s="22"/>
      <c r="M64" s="22"/>
      <c r="O64" s="22"/>
      <c r="P64" s="22"/>
      <c r="Q64" s="22"/>
      <c r="R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3">
      <c r="A65" s="22"/>
      <c r="B65" s="22"/>
      <c r="C65" s="22"/>
      <c r="F65" s="22"/>
      <c r="G65" s="22"/>
      <c r="H65" s="22"/>
      <c r="J65" s="22"/>
      <c r="K65" s="22"/>
      <c r="L65" s="22"/>
      <c r="M65" s="22"/>
      <c r="O65" s="22"/>
      <c r="P65" s="22"/>
      <c r="Q65" s="22"/>
      <c r="R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Normal="100" workbookViewId="0"/>
  </sheetViews>
  <sheetFormatPr baseColWidth="10" defaultRowHeight="14.4" x14ac:dyDescent="0.3"/>
  <cols>
    <col min="1" max="7" width="16.33203125" style="27" customWidth="1"/>
  </cols>
  <sheetData>
    <row r="1" spans="1:17" x14ac:dyDescent="0.3">
      <c r="A1" s="70" t="s">
        <v>652</v>
      </c>
      <c r="B1" s="27" t="s">
        <v>455</v>
      </c>
      <c r="C1" s="27" t="s">
        <v>455</v>
      </c>
      <c r="D1" s="27" t="s">
        <v>455</v>
      </c>
      <c r="E1" s="27" t="s">
        <v>455</v>
      </c>
    </row>
    <row r="2" spans="1:17" x14ac:dyDescent="0.3">
      <c r="A2"/>
      <c r="B2" t="s">
        <v>457</v>
      </c>
      <c r="C2" s="22" t="s">
        <v>458</v>
      </c>
      <c r="D2" s="22" t="s">
        <v>459</v>
      </c>
      <c r="E2" s="22" t="s">
        <v>460</v>
      </c>
    </row>
    <row r="3" spans="1:17" x14ac:dyDescent="0.3">
      <c r="A3" s="22" t="s">
        <v>451</v>
      </c>
      <c r="B3" s="22" t="s">
        <v>454</v>
      </c>
      <c r="C3" s="22" t="s">
        <v>454</v>
      </c>
      <c r="D3" s="22" t="s">
        <v>454</v>
      </c>
      <c r="E3" s="22" t="s">
        <v>454</v>
      </c>
      <c r="Q3" s="22"/>
    </row>
    <row r="4" spans="1:17" x14ac:dyDescent="0.3">
      <c r="A4" s="11">
        <v>-140</v>
      </c>
      <c r="B4" s="11">
        <v>-1387.9</v>
      </c>
      <c r="C4" s="11">
        <v>-1507.6</v>
      </c>
      <c r="D4" s="11">
        <v>-640.29999999999995</v>
      </c>
      <c r="E4" s="11">
        <v>-2590.9</v>
      </c>
    </row>
    <row r="5" spans="1:17" x14ac:dyDescent="0.3">
      <c r="A5" s="11">
        <v>-130</v>
      </c>
      <c r="B5" s="11">
        <v>-1139.5</v>
      </c>
      <c r="C5" s="11">
        <v>-1210.3</v>
      </c>
      <c r="D5" s="11">
        <v>-487.7</v>
      </c>
      <c r="E5" s="11">
        <v>-2142.3000000000002</v>
      </c>
    </row>
    <row r="6" spans="1:17" x14ac:dyDescent="0.3">
      <c r="A6" s="11">
        <v>-120</v>
      </c>
      <c r="B6" s="11">
        <v>-893.6</v>
      </c>
      <c r="C6" s="11">
        <v>-932.6</v>
      </c>
      <c r="D6" s="11">
        <v>-357.1</v>
      </c>
      <c r="E6" s="11">
        <v>-1759</v>
      </c>
    </row>
    <row r="7" spans="1:17" x14ac:dyDescent="0.3">
      <c r="A7" s="11">
        <v>-110</v>
      </c>
      <c r="B7" s="11">
        <v>-675</v>
      </c>
      <c r="C7" s="11">
        <v>-676.3</v>
      </c>
      <c r="D7" s="11">
        <v>-288.10000000000002</v>
      </c>
      <c r="E7" s="11">
        <v>-1343.4</v>
      </c>
    </row>
    <row r="8" spans="1:17" x14ac:dyDescent="0.3">
      <c r="A8" s="11">
        <v>-100</v>
      </c>
      <c r="B8" s="11">
        <v>-443.1</v>
      </c>
      <c r="C8" s="11">
        <v>-423</v>
      </c>
      <c r="D8" s="11">
        <v>-192.3</v>
      </c>
      <c r="E8" s="11">
        <v>-926.5</v>
      </c>
    </row>
    <row r="9" spans="1:17" x14ac:dyDescent="0.3">
      <c r="A9" s="11">
        <v>-90</v>
      </c>
      <c r="B9" s="11">
        <v>-220.9</v>
      </c>
      <c r="C9" s="11">
        <v>-206.3</v>
      </c>
      <c r="D9" s="11">
        <v>96.4</v>
      </c>
      <c r="E9" s="11">
        <v>-466.9</v>
      </c>
    </row>
    <row r="10" spans="1:17" x14ac:dyDescent="0.3">
      <c r="A10" s="11">
        <v>-80</v>
      </c>
      <c r="B10" s="11">
        <v>-2.4</v>
      </c>
      <c r="C10" s="11">
        <v>-4.3</v>
      </c>
      <c r="D10" s="11">
        <v>-0.6</v>
      </c>
      <c r="E10" s="11">
        <v>-6.1</v>
      </c>
    </row>
    <row r="11" spans="1:17" x14ac:dyDescent="0.3">
      <c r="A11" s="11">
        <v>-70</v>
      </c>
      <c r="B11" s="11">
        <v>217.3</v>
      </c>
      <c r="C11" s="11">
        <v>184.9</v>
      </c>
      <c r="D11" s="11">
        <v>89.1</v>
      </c>
      <c r="E11" s="11">
        <v>476.7</v>
      </c>
    </row>
    <row r="12" spans="1:17" x14ac:dyDescent="0.3">
      <c r="A12" s="11">
        <v>-60</v>
      </c>
      <c r="B12" s="11">
        <v>431.5</v>
      </c>
      <c r="C12" s="11">
        <v>369.9</v>
      </c>
      <c r="D12" s="11">
        <v>185.5</v>
      </c>
      <c r="E12" s="11">
        <v>941.8</v>
      </c>
    </row>
    <row r="13" spans="1:17" x14ac:dyDescent="0.3">
      <c r="A13" s="11">
        <v>-50</v>
      </c>
      <c r="B13" s="11">
        <v>658.6</v>
      </c>
      <c r="C13" s="11">
        <v>539.6</v>
      </c>
      <c r="D13" s="11">
        <v>281.39999999999998</v>
      </c>
      <c r="E13" s="11">
        <v>1392.8</v>
      </c>
    </row>
    <row r="14" spans="1:17" x14ac:dyDescent="0.3">
      <c r="A14" s="11">
        <v>-40</v>
      </c>
      <c r="B14" s="11">
        <v>869.1</v>
      </c>
      <c r="C14" s="11">
        <v>698.2</v>
      </c>
      <c r="D14" s="11">
        <v>385.1</v>
      </c>
      <c r="E14" s="11">
        <v>1832.9</v>
      </c>
    </row>
    <row r="15" spans="1:17" x14ac:dyDescent="0.3">
      <c r="A15" s="11">
        <v>-30</v>
      </c>
      <c r="B15" s="11">
        <v>1077.3</v>
      </c>
      <c r="C15" s="11">
        <v>849.6</v>
      </c>
      <c r="D15" s="11">
        <v>491.3</v>
      </c>
      <c r="E15" s="11">
        <v>2300.4</v>
      </c>
      <c r="Q15" s="11"/>
    </row>
    <row r="16" spans="1:17" x14ac:dyDescent="0.3">
      <c r="A16" s="11">
        <v>-20</v>
      </c>
      <c r="B16" s="11">
        <v>1295.2</v>
      </c>
      <c r="C16" s="11">
        <v>1013.2</v>
      </c>
      <c r="D16" s="11">
        <v>596.29999999999995</v>
      </c>
      <c r="E16" s="11">
        <v>2823.5</v>
      </c>
      <c r="Q16" s="11"/>
    </row>
    <row r="17" spans="1:17" x14ac:dyDescent="0.3">
      <c r="A17" s="11">
        <v>-10</v>
      </c>
      <c r="B17" s="11">
        <v>1518.6</v>
      </c>
      <c r="C17" s="11">
        <v>1200</v>
      </c>
      <c r="D17" s="11">
        <v>672.5</v>
      </c>
      <c r="E17" s="11">
        <v>3219</v>
      </c>
      <c r="Q17" s="11"/>
    </row>
    <row r="18" spans="1:17" x14ac:dyDescent="0.3">
      <c r="A18" s="11">
        <v>0</v>
      </c>
      <c r="B18" s="11">
        <v>1753.2</v>
      </c>
      <c r="C18" s="11">
        <v>1419.7</v>
      </c>
      <c r="D18" s="11">
        <v>745.3</v>
      </c>
      <c r="E18" s="11">
        <v>3578.2</v>
      </c>
      <c r="Q18" s="11"/>
    </row>
    <row r="19" spans="1:17" x14ac:dyDescent="0.3">
      <c r="Q19" s="11"/>
    </row>
    <row r="20" spans="1:17" x14ac:dyDescent="0.3">
      <c r="B20" s="27" t="s">
        <v>455</v>
      </c>
      <c r="C20" s="27" t="s">
        <v>455</v>
      </c>
      <c r="D20" s="27" t="s">
        <v>455</v>
      </c>
      <c r="E20" s="27" t="s">
        <v>455</v>
      </c>
      <c r="Q20" s="11"/>
    </row>
    <row r="21" spans="1:17" x14ac:dyDescent="0.3">
      <c r="B21" s="22" t="s">
        <v>461</v>
      </c>
      <c r="C21" s="22" t="s">
        <v>462</v>
      </c>
      <c r="D21" s="22" t="s">
        <v>463</v>
      </c>
      <c r="E21" s="22" t="s">
        <v>464</v>
      </c>
      <c r="Q21" s="11"/>
    </row>
    <row r="22" spans="1:17" x14ac:dyDescent="0.3">
      <c r="A22" s="22" t="s">
        <v>451</v>
      </c>
      <c r="B22" s="22" t="s">
        <v>454</v>
      </c>
      <c r="C22" s="22" t="s">
        <v>454</v>
      </c>
      <c r="D22" s="22" t="s">
        <v>454</v>
      </c>
      <c r="E22" s="22" t="s">
        <v>454</v>
      </c>
      <c r="Q22" s="11"/>
    </row>
    <row r="23" spans="1:17" x14ac:dyDescent="0.3">
      <c r="A23" s="11">
        <v>-140</v>
      </c>
      <c r="B23" s="11">
        <v>-603.6</v>
      </c>
      <c r="C23" s="11">
        <v>-977.2</v>
      </c>
      <c r="D23" s="11">
        <v>-1729.7</v>
      </c>
      <c r="E23" s="11">
        <v>-1616.2</v>
      </c>
      <c r="Q23" s="11"/>
    </row>
    <row r="24" spans="1:17" x14ac:dyDescent="0.3">
      <c r="A24" s="11">
        <v>-130</v>
      </c>
      <c r="B24" s="11">
        <v>-577.4</v>
      </c>
      <c r="C24" s="11">
        <v>-738.5</v>
      </c>
      <c r="D24" s="11">
        <v>-1339.1</v>
      </c>
      <c r="E24" s="11">
        <v>-1308</v>
      </c>
      <c r="Q24" s="11"/>
    </row>
    <row r="25" spans="1:17" x14ac:dyDescent="0.3">
      <c r="A25" s="11">
        <v>-120</v>
      </c>
      <c r="B25" s="11">
        <v>-485.8</v>
      </c>
      <c r="C25" s="11">
        <v>-566.4</v>
      </c>
      <c r="D25" s="11">
        <v>-1015.6</v>
      </c>
      <c r="E25" s="11">
        <v>-1079.0999999999999</v>
      </c>
      <c r="Q25" s="11"/>
    </row>
    <row r="26" spans="1:17" x14ac:dyDescent="0.3">
      <c r="A26" s="11">
        <v>-110</v>
      </c>
      <c r="B26" s="11">
        <v>-407.7</v>
      </c>
      <c r="C26" s="11">
        <v>-431.5</v>
      </c>
      <c r="D26" s="11">
        <v>-741</v>
      </c>
      <c r="E26" s="11">
        <v>-850.2</v>
      </c>
      <c r="Q26" s="11"/>
    </row>
    <row r="27" spans="1:17" x14ac:dyDescent="0.3">
      <c r="A27" s="11">
        <v>-100</v>
      </c>
      <c r="B27" s="11">
        <v>-263.7</v>
      </c>
      <c r="C27" s="11">
        <v>-285.60000000000002</v>
      </c>
      <c r="D27" s="11">
        <v>-479.1</v>
      </c>
      <c r="E27" s="11">
        <v>-593.9</v>
      </c>
      <c r="Q27" s="11"/>
    </row>
    <row r="28" spans="1:17" x14ac:dyDescent="0.3">
      <c r="A28" s="11">
        <v>-90</v>
      </c>
      <c r="B28" s="11">
        <v>-134.9</v>
      </c>
      <c r="C28" s="11">
        <v>-148.30000000000001</v>
      </c>
      <c r="D28" s="11">
        <v>-240.5</v>
      </c>
      <c r="E28" s="11">
        <v>-274</v>
      </c>
      <c r="Q28" s="11"/>
    </row>
    <row r="29" spans="1:17" x14ac:dyDescent="0.3">
      <c r="A29" s="11">
        <v>-80</v>
      </c>
      <c r="B29" s="11">
        <v>-3.1</v>
      </c>
      <c r="C29" s="11">
        <v>-3.7</v>
      </c>
      <c r="D29" s="11">
        <v>-9.1999999999999993</v>
      </c>
      <c r="E29" s="11">
        <v>-1.2</v>
      </c>
      <c r="Q29" s="11"/>
    </row>
    <row r="30" spans="1:17" x14ac:dyDescent="0.3">
      <c r="A30" s="11">
        <v>-70</v>
      </c>
      <c r="B30" s="11">
        <v>88.5</v>
      </c>
      <c r="C30" s="11">
        <v>144.69999999999999</v>
      </c>
      <c r="D30" s="11">
        <v>247.8</v>
      </c>
      <c r="E30" s="11">
        <v>304.60000000000002</v>
      </c>
    </row>
    <row r="31" spans="1:17" x14ac:dyDescent="0.3">
      <c r="A31" s="11">
        <v>-60</v>
      </c>
      <c r="B31" s="11">
        <v>287.5</v>
      </c>
      <c r="C31" s="11">
        <v>266.10000000000002</v>
      </c>
      <c r="D31" s="11">
        <v>489.5</v>
      </c>
      <c r="E31" s="11">
        <v>667.1</v>
      </c>
    </row>
    <row r="32" spans="1:17" x14ac:dyDescent="0.3">
      <c r="A32" s="11">
        <v>-50</v>
      </c>
      <c r="B32" s="11">
        <v>448.6</v>
      </c>
      <c r="C32" s="11">
        <v>409.5</v>
      </c>
      <c r="D32" s="11">
        <v>747.7</v>
      </c>
      <c r="E32" s="11">
        <v>966.2</v>
      </c>
    </row>
    <row r="33" spans="1:5" x14ac:dyDescent="0.3">
      <c r="A33" s="11">
        <v>-40</v>
      </c>
      <c r="B33" s="11">
        <v>583.5</v>
      </c>
      <c r="C33" s="11">
        <v>568.20000000000005</v>
      </c>
      <c r="D33" s="11">
        <v>1029.0999999999999</v>
      </c>
      <c r="E33" s="11">
        <v>1342.8</v>
      </c>
    </row>
    <row r="34" spans="1:5" x14ac:dyDescent="0.3">
      <c r="A34" s="11">
        <v>-30</v>
      </c>
      <c r="B34" s="11">
        <v>775.1</v>
      </c>
      <c r="C34" s="11">
        <v>693.4</v>
      </c>
      <c r="D34" s="11">
        <v>1288.5</v>
      </c>
      <c r="E34" s="11">
        <v>1891.5</v>
      </c>
    </row>
    <row r="35" spans="1:5" x14ac:dyDescent="0.3">
      <c r="A35" s="11">
        <v>-20</v>
      </c>
      <c r="B35" s="11">
        <v>1220.7</v>
      </c>
      <c r="C35" s="11">
        <v>724.5</v>
      </c>
      <c r="D35" s="11">
        <v>1577.8</v>
      </c>
      <c r="E35" s="11">
        <v>2915</v>
      </c>
    </row>
    <row r="36" spans="1:5" x14ac:dyDescent="0.3">
      <c r="A36" s="11">
        <v>-10</v>
      </c>
      <c r="B36" s="11">
        <v>1538.9</v>
      </c>
      <c r="C36" s="11">
        <v>954</v>
      </c>
      <c r="D36" s="11">
        <v>1906.7</v>
      </c>
      <c r="E36" s="11">
        <v>3309.3</v>
      </c>
    </row>
    <row r="37" spans="1:5" x14ac:dyDescent="0.3">
      <c r="A37" s="11">
        <v>0</v>
      </c>
      <c r="B37" s="11">
        <v>1877.3</v>
      </c>
      <c r="C37" s="11">
        <v>1081.5</v>
      </c>
      <c r="D37" s="11">
        <v>2144.8000000000002</v>
      </c>
      <c r="E37" s="11">
        <v>3502.2</v>
      </c>
    </row>
    <row r="40" spans="1:5" ht="28.8" x14ac:dyDescent="0.3">
      <c r="B40" s="27" t="s">
        <v>456</v>
      </c>
      <c r="C40" s="27" t="s">
        <v>456</v>
      </c>
      <c r="D40" s="27" t="s">
        <v>456</v>
      </c>
      <c r="E40" s="27" t="s">
        <v>456</v>
      </c>
    </row>
    <row r="41" spans="1:5" x14ac:dyDescent="0.3">
      <c r="B41" s="22" t="s">
        <v>457</v>
      </c>
      <c r="C41" s="22" t="s">
        <v>458</v>
      </c>
      <c r="D41" s="22" t="s">
        <v>459</v>
      </c>
      <c r="E41" s="22" t="s">
        <v>460</v>
      </c>
    </row>
    <row r="42" spans="1:5" x14ac:dyDescent="0.3">
      <c r="A42" s="22" t="s">
        <v>451</v>
      </c>
      <c r="B42" s="22" t="s">
        <v>454</v>
      </c>
      <c r="C42" s="22" t="s">
        <v>454</v>
      </c>
      <c r="D42" s="22" t="s">
        <v>454</v>
      </c>
      <c r="E42" s="22" t="s">
        <v>454</v>
      </c>
    </row>
    <row r="43" spans="1:5" x14ac:dyDescent="0.3">
      <c r="A43" s="11">
        <v>-140</v>
      </c>
      <c r="B43" s="11">
        <v>-497.4</v>
      </c>
      <c r="C43" s="11">
        <v>-1178.5999999999999</v>
      </c>
      <c r="D43" s="11">
        <v>-403.4</v>
      </c>
      <c r="E43" s="11">
        <v>-343.6</v>
      </c>
    </row>
    <row r="44" spans="1:5" x14ac:dyDescent="0.3">
      <c r="A44" s="11">
        <v>-130</v>
      </c>
      <c r="B44" s="11">
        <v>-436.4</v>
      </c>
      <c r="C44" s="11">
        <v>-845.3</v>
      </c>
      <c r="D44" s="11">
        <v>-347.3</v>
      </c>
      <c r="E44" s="11">
        <v>-308.2</v>
      </c>
    </row>
    <row r="45" spans="1:5" x14ac:dyDescent="0.3">
      <c r="A45" s="11">
        <v>-120</v>
      </c>
      <c r="B45" s="11">
        <v>-368</v>
      </c>
      <c r="C45" s="11">
        <v>-628.70000000000005</v>
      </c>
      <c r="D45" s="11">
        <v>-267.89999999999998</v>
      </c>
      <c r="E45" s="11">
        <v>252.1</v>
      </c>
    </row>
    <row r="46" spans="1:5" x14ac:dyDescent="0.3">
      <c r="A46" s="11">
        <v>-110</v>
      </c>
      <c r="B46" s="11">
        <v>-267.3</v>
      </c>
      <c r="C46" s="11">
        <v>-457.2</v>
      </c>
      <c r="D46" s="11">
        <v>-209.4</v>
      </c>
      <c r="E46" s="11">
        <v>-205.7</v>
      </c>
    </row>
    <row r="47" spans="1:5" x14ac:dyDescent="0.3">
      <c r="A47" s="11">
        <v>-100</v>
      </c>
      <c r="B47" s="11">
        <v>-169.7</v>
      </c>
      <c r="C47" s="11">
        <v>-289.3</v>
      </c>
      <c r="D47" s="11">
        <v>-159.30000000000001</v>
      </c>
      <c r="E47" s="11">
        <v>-124.5</v>
      </c>
    </row>
    <row r="48" spans="1:5" x14ac:dyDescent="0.3">
      <c r="A48" s="11">
        <v>-90</v>
      </c>
      <c r="B48" s="11">
        <v>-94.6</v>
      </c>
      <c r="C48" s="11">
        <v>-111.1</v>
      </c>
      <c r="D48" s="11">
        <v>-94.6</v>
      </c>
      <c r="E48" s="11">
        <v>-56.2</v>
      </c>
    </row>
    <row r="49" spans="1:5" x14ac:dyDescent="0.3">
      <c r="A49" s="11">
        <v>-80</v>
      </c>
      <c r="B49" s="11">
        <v>-2.4</v>
      </c>
      <c r="C49" s="11">
        <v>1.2</v>
      </c>
      <c r="D49" s="11">
        <v>5.5</v>
      </c>
      <c r="E49" s="11">
        <v>5.5</v>
      </c>
    </row>
    <row r="50" spans="1:5" x14ac:dyDescent="0.3">
      <c r="A50" s="11">
        <v>-70</v>
      </c>
      <c r="B50" s="11">
        <v>78.7</v>
      </c>
      <c r="C50" s="11">
        <v>126.3</v>
      </c>
      <c r="D50" s="11">
        <v>103.8</v>
      </c>
      <c r="E50" s="11">
        <v>72</v>
      </c>
    </row>
    <row r="51" spans="1:5" x14ac:dyDescent="0.3">
      <c r="A51" s="11">
        <v>-60</v>
      </c>
      <c r="B51" s="11">
        <v>185.5</v>
      </c>
      <c r="C51" s="11">
        <v>305.2</v>
      </c>
      <c r="D51" s="11">
        <v>177.6</v>
      </c>
      <c r="E51" s="11">
        <v>155</v>
      </c>
    </row>
    <row r="52" spans="1:5" x14ac:dyDescent="0.3">
      <c r="A52" s="11">
        <v>-50</v>
      </c>
      <c r="B52" s="11">
        <v>263.10000000000002</v>
      </c>
      <c r="C52" s="11">
        <v>486.5</v>
      </c>
      <c r="D52" s="11">
        <v>263.7</v>
      </c>
      <c r="E52" s="11">
        <v>214.8</v>
      </c>
    </row>
    <row r="53" spans="1:5" x14ac:dyDescent="0.3">
      <c r="A53" s="11">
        <v>-40</v>
      </c>
      <c r="B53" s="11">
        <v>346.7</v>
      </c>
      <c r="C53" s="11">
        <v>522.5</v>
      </c>
      <c r="D53" s="11">
        <v>330.8</v>
      </c>
      <c r="E53" s="11">
        <v>313.10000000000002</v>
      </c>
    </row>
    <row r="54" spans="1:5" x14ac:dyDescent="0.3">
      <c r="A54" s="11">
        <v>-30</v>
      </c>
      <c r="B54" s="11">
        <v>460.8</v>
      </c>
      <c r="C54" s="11">
        <v>597.29999999999995</v>
      </c>
      <c r="D54" s="11">
        <v>371.7</v>
      </c>
      <c r="E54" s="11">
        <v>383.9</v>
      </c>
    </row>
    <row r="55" spans="1:5" x14ac:dyDescent="0.3">
      <c r="A55" s="11">
        <v>-20</v>
      </c>
      <c r="B55" s="11">
        <v>538.29999999999995</v>
      </c>
      <c r="C55" s="11">
        <v>634.4</v>
      </c>
      <c r="D55" s="11">
        <v>346.1</v>
      </c>
      <c r="E55" s="11">
        <v>457.8</v>
      </c>
    </row>
    <row r="56" spans="1:5" x14ac:dyDescent="0.3">
      <c r="A56" s="11">
        <v>-10</v>
      </c>
      <c r="B56" s="11">
        <v>595.1</v>
      </c>
      <c r="C56" s="11">
        <v>666.7</v>
      </c>
      <c r="D56" s="11">
        <v>406.5</v>
      </c>
      <c r="E56" s="11">
        <v>598.1</v>
      </c>
    </row>
    <row r="57" spans="1:5" x14ac:dyDescent="0.3">
      <c r="A57" s="11">
        <v>0</v>
      </c>
      <c r="B57" s="11">
        <v>640.29999999999995</v>
      </c>
      <c r="C57" s="11">
        <v>702.7</v>
      </c>
      <c r="D57" s="11">
        <v>433.2</v>
      </c>
      <c r="E57" s="11">
        <v>647.4</v>
      </c>
    </row>
    <row r="58" spans="1:5" ht="28.8" x14ac:dyDescent="0.3">
      <c r="B58" s="27" t="s">
        <v>456</v>
      </c>
      <c r="C58" s="27" t="s">
        <v>456</v>
      </c>
      <c r="D58" s="27" t="s">
        <v>456</v>
      </c>
    </row>
    <row r="59" spans="1:5" x14ac:dyDescent="0.3">
      <c r="B59" s="22" t="s">
        <v>461</v>
      </c>
      <c r="C59" s="22" t="s">
        <v>462</v>
      </c>
      <c r="D59" s="22" t="s">
        <v>463</v>
      </c>
    </row>
    <row r="60" spans="1:5" x14ac:dyDescent="0.3">
      <c r="A60" s="22" t="s">
        <v>451</v>
      </c>
      <c r="B60" s="22" t="s">
        <v>454</v>
      </c>
      <c r="C60" s="22" t="s">
        <v>454</v>
      </c>
      <c r="D60" s="22" t="s">
        <v>454</v>
      </c>
    </row>
    <row r="61" spans="1:5" x14ac:dyDescent="0.3">
      <c r="A61" s="11">
        <v>-140</v>
      </c>
      <c r="B61" s="11">
        <v>-448.6</v>
      </c>
      <c r="C61" s="11">
        <v>-865.5</v>
      </c>
      <c r="D61" s="11">
        <v>-243.3</v>
      </c>
    </row>
    <row r="62" spans="1:5" x14ac:dyDescent="0.3">
      <c r="A62" s="11">
        <v>-130</v>
      </c>
      <c r="B62" s="11">
        <v>-386.4</v>
      </c>
      <c r="C62" s="11">
        <v>-743.4</v>
      </c>
      <c r="D62" s="11">
        <v>-139.19999999999999</v>
      </c>
    </row>
    <row r="63" spans="1:5" x14ac:dyDescent="0.3">
      <c r="A63" s="11">
        <v>-120</v>
      </c>
      <c r="B63" s="11">
        <v>-260</v>
      </c>
      <c r="C63" s="11">
        <v>-595.70000000000005</v>
      </c>
      <c r="D63" s="11">
        <v>-135.30000000000001</v>
      </c>
    </row>
    <row r="64" spans="1:5" x14ac:dyDescent="0.3">
      <c r="A64" s="11">
        <v>-110</v>
      </c>
      <c r="B64" s="11">
        <v>-191.7</v>
      </c>
      <c r="C64" s="11">
        <v>-463.3</v>
      </c>
      <c r="D64" s="11">
        <v>-108.6</v>
      </c>
    </row>
    <row r="65" spans="1:4" x14ac:dyDescent="0.3">
      <c r="A65" s="11">
        <v>-100</v>
      </c>
      <c r="B65" s="11">
        <v>-147.69999999999999</v>
      </c>
      <c r="C65" s="11">
        <v>-310.7</v>
      </c>
      <c r="D65" s="11">
        <v>-82.6</v>
      </c>
    </row>
    <row r="66" spans="1:4" x14ac:dyDescent="0.3">
      <c r="A66" s="11">
        <v>-90</v>
      </c>
      <c r="B66" s="11">
        <v>-69</v>
      </c>
      <c r="C66" s="11">
        <v>-164.7</v>
      </c>
      <c r="D66" s="11">
        <v>-39.200000000000003</v>
      </c>
    </row>
    <row r="67" spans="1:4" x14ac:dyDescent="0.3">
      <c r="A67" s="11">
        <v>-80</v>
      </c>
      <c r="B67" s="11">
        <v>-1.8</v>
      </c>
      <c r="C67" s="11">
        <v>5.5</v>
      </c>
      <c r="D67" s="11">
        <v>1.3</v>
      </c>
    </row>
    <row r="68" spans="1:4" x14ac:dyDescent="0.3">
      <c r="A68" s="11">
        <v>-70</v>
      </c>
      <c r="B68" s="11">
        <v>73.900000000000006</v>
      </c>
      <c r="C68" s="11">
        <v>148.30000000000001</v>
      </c>
      <c r="D68" s="11">
        <v>14.2</v>
      </c>
    </row>
    <row r="69" spans="1:4" x14ac:dyDescent="0.3">
      <c r="A69" s="11">
        <v>-60</v>
      </c>
      <c r="B69" s="11">
        <v>119</v>
      </c>
      <c r="C69" s="11">
        <v>297.89999999999998</v>
      </c>
      <c r="D69" s="11">
        <v>20.3</v>
      </c>
    </row>
    <row r="70" spans="1:4" x14ac:dyDescent="0.3">
      <c r="A70" s="11">
        <v>-50</v>
      </c>
      <c r="B70" s="11">
        <v>162.4</v>
      </c>
      <c r="C70" s="11">
        <v>449.2</v>
      </c>
      <c r="D70" s="11">
        <v>36.799999999999997</v>
      </c>
    </row>
    <row r="71" spans="1:4" x14ac:dyDescent="0.3">
      <c r="A71" s="11">
        <v>-40</v>
      </c>
      <c r="B71" s="11">
        <v>219.1</v>
      </c>
      <c r="C71" s="11">
        <v>615.79999999999995</v>
      </c>
      <c r="D71" s="11">
        <v>70.8</v>
      </c>
    </row>
    <row r="72" spans="1:4" x14ac:dyDescent="0.3">
      <c r="A72" s="11">
        <v>-30</v>
      </c>
      <c r="B72" s="11">
        <v>203.2</v>
      </c>
      <c r="C72" s="11">
        <v>799.6</v>
      </c>
      <c r="D72" s="11">
        <v>90.3</v>
      </c>
    </row>
    <row r="73" spans="1:4" x14ac:dyDescent="0.3">
      <c r="A73" s="11">
        <v>-20</v>
      </c>
      <c r="B73" s="11">
        <v>191</v>
      </c>
      <c r="C73" s="11">
        <v>971.7</v>
      </c>
      <c r="D73" s="11">
        <v>140.30000000000001</v>
      </c>
    </row>
    <row r="74" spans="1:4" x14ac:dyDescent="0.3">
      <c r="A74" s="11">
        <v>-10</v>
      </c>
      <c r="B74" s="11">
        <v>231.2</v>
      </c>
      <c r="C74" s="11">
        <v>1177.4000000000001</v>
      </c>
      <c r="D74" s="11">
        <v>210.3</v>
      </c>
    </row>
    <row r="75" spans="1:4" x14ac:dyDescent="0.3">
      <c r="A75" s="11">
        <v>0</v>
      </c>
      <c r="B75" s="11">
        <v>246.4</v>
      </c>
      <c r="C75" s="11">
        <v>1367.2</v>
      </c>
      <c r="D75" s="11">
        <v>222</v>
      </c>
    </row>
    <row r="76" spans="1:4" x14ac:dyDescent="0.3">
      <c r="C76"/>
      <c r="D76"/>
    </row>
    <row r="78" spans="1:4" x14ac:dyDescent="0.3">
      <c r="D78" s="27" t="s">
        <v>455</v>
      </c>
    </row>
    <row r="79" spans="1:4" x14ac:dyDescent="0.3">
      <c r="B79" s="27" t="s">
        <v>0</v>
      </c>
      <c r="C79" s="27" t="s">
        <v>595</v>
      </c>
      <c r="D79" s="22" t="s">
        <v>454</v>
      </c>
    </row>
    <row r="80" spans="1:4" x14ac:dyDescent="0.3">
      <c r="A80" s="27" t="s">
        <v>7</v>
      </c>
      <c r="B80" s="27" t="s">
        <v>2</v>
      </c>
      <c r="C80" s="22" t="s">
        <v>457</v>
      </c>
      <c r="D80" s="11">
        <v>-1387.9</v>
      </c>
    </row>
    <row r="81" spans="1:7" x14ac:dyDescent="0.3">
      <c r="A81" s="27" t="s">
        <v>7</v>
      </c>
      <c r="B81" s="27" t="s">
        <v>2</v>
      </c>
      <c r="C81" s="22" t="s">
        <v>458</v>
      </c>
      <c r="D81" s="11">
        <v>-1507.6</v>
      </c>
    </row>
    <row r="82" spans="1:7" x14ac:dyDescent="0.3">
      <c r="A82" s="27" t="s">
        <v>7</v>
      </c>
      <c r="B82" s="27" t="s">
        <v>2</v>
      </c>
      <c r="C82" s="22" t="s">
        <v>459</v>
      </c>
      <c r="D82" s="11">
        <v>-640.29999999999995</v>
      </c>
    </row>
    <row r="83" spans="1:7" x14ac:dyDescent="0.3">
      <c r="A83" s="27" t="s">
        <v>8</v>
      </c>
      <c r="B83" s="27" t="s">
        <v>13</v>
      </c>
      <c r="C83" s="22" t="s">
        <v>460</v>
      </c>
      <c r="D83" s="11">
        <v>-2590.9</v>
      </c>
    </row>
    <row r="84" spans="1:7" x14ac:dyDescent="0.3">
      <c r="A84" s="27" t="s">
        <v>8</v>
      </c>
      <c r="B84" s="27" t="s">
        <v>13</v>
      </c>
      <c r="C84" s="22" t="s">
        <v>461</v>
      </c>
      <c r="D84" s="11">
        <v>-603.6</v>
      </c>
    </row>
    <row r="85" spans="1:7" x14ac:dyDescent="0.3">
      <c r="A85" s="27" t="s">
        <v>9</v>
      </c>
      <c r="B85" s="27" t="s">
        <v>305</v>
      </c>
      <c r="C85" s="22" t="s">
        <v>462</v>
      </c>
      <c r="D85" s="11">
        <v>-977.2</v>
      </c>
    </row>
    <row r="86" spans="1:7" x14ac:dyDescent="0.3">
      <c r="A86" s="27" t="s">
        <v>9</v>
      </c>
      <c r="B86" s="27" t="s">
        <v>305</v>
      </c>
      <c r="C86" s="22" t="s">
        <v>463</v>
      </c>
      <c r="D86" s="11">
        <v>-1729.7</v>
      </c>
    </row>
    <row r="87" spans="1:7" x14ac:dyDescent="0.3">
      <c r="A87" s="27" t="s">
        <v>9</v>
      </c>
      <c r="B87" s="27" t="s">
        <v>305</v>
      </c>
      <c r="C87" s="22" t="s">
        <v>464</v>
      </c>
      <c r="D87" s="11">
        <v>-1616.2</v>
      </c>
    </row>
    <row r="89" spans="1:7" x14ac:dyDescent="0.3">
      <c r="C89" s="27" t="s">
        <v>15</v>
      </c>
      <c r="D89" s="27">
        <v>-1382</v>
      </c>
    </row>
    <row r="90" spans="1:7" x14ac:dyDescent="0.3">
      <c r="C90" s="27" t="s">
        <v>380</v>
      </c>
      <c r="D90" s="27">
        <v>230.4</v>
      </c>
    </row>
    <row r="93" spans="1:7" ht="28.8" x14ac:dyDescent="0.3">
      <c r="D93" s="27" t="s">
        <v>456</v>
      </c>
    </row>
    <row r="94" spans="1:7" x14ac:dyDescent="0.3">
      <c r="B94" s="27" t="s">
        <v>0</v>
      </c>
      <c r="C94" s="27" t="s">
        <v>595</v>
      </c>
      <c r="D94" s="22" t="s">
        <v>454</v>
      </c>
    </row>
    <row r="95" spans="1:7" x14ac:dyDescent="0.3">
      <c r="A95" s="27" t="s">
        <v>7</v>
      </c>
      <c r="B95" s="27" t="s">
        <v>2</v>
      </c>
      <c r="C95" s="22" t="s">
        <v>457</v>
      </c>
      <c r="D95" s="11">
        <v>-497.4</v>
      </c>
    </row>
    <row r="96" spans="1:7" x14ac:dyDescent="0.3">
      <c r="A96" s="27" t="s">
        <v>7</v>
      </c>
      <c r="B96" s="27" t="s">
        <v>2</v>
      </c>
      <c r="C96" s="22" t="s">
        <v>458</v>
      </c>
      <c r="D96" s="11">
        <v>-1178.5999999999999</v>
      </c>
      <c r="G96"/>
    </row>
    <row r="97" spans="1:8" x14ac:dyDescent="0.3">
      <c r="A97" s="27" t="s">
        <v>7</v>
      </c>
      <c r="B97" s="27" t="s">
        <v>2</v>
      </c>
      <c r="C97" s="22" t="s">
        <v>459</v>
      </c>
      <c r="D97" s="11">
        <v>-403.4</v>
      </c>
      <c r="E97"/>
      <c r="F97"/>
    </row>
    <row r="98" spans="1:8" x14ac:dyDescent="0.3">
      <c r="A98" s="27" t="s">
        <v>8</v>
      </c>
      <c r="B98" s="27" t="s">
        <v>13</v>
      </c>
      <c r="C98" s="22" t="s">
        <v>460</v>
      </c>
      <c r="D98" s="11">
        <v>-343.6</v>
      </c>
      <c r="E98"/>
      <c r="F98"/>
    </row>
    <row r="99" spans="1:8" x14ac:dyDescent="0.3">
      <c r="A99" s="27" t="s">
        <v>8</v>
      </c>
      <c r="B99" s="27" t="s">
        <v>13</v>
      </c>
      <c r="C99" s="22" t="s">
        <v>461</v>
      </c>
      <c r="D99" s="11">
        <v>-448.6</v>
      </c>
    </row>
    <row r="100" spans="1:8" x14ac:dyDescent="0.3">
      <c r="A100" s="27" t="s">
        <v>9</v>
      </c>
      <c r="B100" s="27" t="s">
        <v>305</v>
      </c>
      <c r="C100" s="22" t="s">
        <v>462</v>
      </c>
      <c r="D100" s="11">
        <v>-865.5</v>
      </c>
      <c r="H100" s="27"/>
    </row>
    <row r="101" spans="1:8" x14ac:dyDescent="0.3">
      <c r="A101" s="27" t="s">
        <v>10</v>
      </c>
      <c r="B101" s="27" t="s">
        <v>6</v>
      </c>
      <c r="C101" s="22" t="s">
        <v>463</v>
      </c>
      <c r="D101" s="11">
        <v>-243.3</v>
      </c>
      <c r="H101" s="27"/>
    </row>
    <row r="102" spans="1:8" x14ac:dyDescent="0.3">
      <c r="C102" s="11"/>
      <c r="D102"/>
      <c r="H102" s="27"/>
    </row>
    <row r="103" spans="1:8" x14ac:dyDescent="0.3">
      <c r="D103"/>
    </row>
    <row r="104" spans="1:8" x14ac:dyDescent="0.3">
      <c r="C104" s="27" t="s">
        <v>15</v>
      </c>
      <c r="D104" s="11">
        <v>-568.6</v>
      </c>
    </row>
    <row r="105" spans="1:8" x14ac:dyDescent="0.3">
      <c r="C105" s="27" t="s">
        <v>380</v>
      </c>
      <c r="D105" s="11">
        <v>125.7</v>
      </c>
    </row>
    <row r="106" spans="1:8" x14ac:dyDescent="0.3">
      <c r="A106"/>
      <c r="B106"/>
      <c r="C106"/>
      <c r="D106"/>
    </row>
    <row r="108" spans="1:8" x14ac:dyDescent="0.3">
      <c r="A108" s="24" t="s">
        <v>400</v>
      </c>
      <c r="B108" s="11"/>
    </row>
    <row r="109" spans="1:8" x14ac:dyDescent="0.3">
      <c r="A109" s="24" t="s">
        <v>393</v>
      </c>
      <c r="B109" s="11">
        <v>5.8999999999999999E-3</v>
      </c>
    </row>
    <row r="110" spans="1:8" x14ac:dyDescent="0.3">
      <c r="A110" s="24" t="s">
        <v>441</v>
      </c>
      <c r="B110" s="11" t="s"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Fig. 1c</vt:lpstr>
      <vt:lpstr>Fig. 1e</vt:lpstr>
      <vt:lpstr>Fig. 2d</vt:lpstr>
      <vt:lpstr>Fig. 3b</vt:lpstr>
      <vt:lpstr>Fig. 3c</vt:lpstr>
      <vt:lpstr>Fig. 3d</vt:lpstr>
      <vt:lpstr>Fig. 4b</vt:lpstr>
      <vt:lpstr>Fig. 4d</vt:lpstr>
      <vt:lpstr>Fig. 4f</vt:lpstr>
      <vt:lpstr>Fig. 6c,d</vt:lpstr>
      <vt:lpstr>Fig. 6f</vt:lpstr>
      <vt:lpstr>Fig. 6g</vt:lpstr>
      <vt:lpstr>Fig. 7d</vt:lpstr>
      <vt:lpstr>Fig. 7f</vt:lpstr>
      <vt:lpstr>Fig. 8c</vt:lpstr>
      <vt:lpstr>Fig. 8f</vt:lpstr>
      <vt:lpstr>Fig. 8i</vt:lpstr>
      <vt:lpstr>Fig. 8j</vt:lpstr>
      <vt:lpstr>Fig. 9d</vt:lpstr>
      <vt:lpstr>Fig. 9e</vt:lpstr>
      <vt:lpstr>Fig. 9f</vt:lpstr>
      <vt:lpstr>Fig. S1b,c</vt:lpstr>
      <vt:lpstr>Fig. S2c</vt:lpstr>
      <vt:lpstr>Fig. S3c</vt:lpstr>
      <vt:lpstr>Fig. S3e</vt:lpstr>
      <vt:lpstr>Fig. S3f</vt:lpstr>
      <vt:lpstr>Fig. S3h</vt:lpstr>
      <vt:lpstr>Fig. S3i</vt:lpstr>
      <vt:lpstr>Fig. S5b</vt:lpstr>
    </vt:vector>
  </TitlesOfParts>
  <Company>CNRS - 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BOS</dc:creator>
  <cp:lastModifiedBy>Remi BOS</cp:lastModifiedBy>
  <cp:lastPrinted>2022-07-06T15:21:27Z</cp:lastPrinted>
  <dcterms:created xsi:type="dcterms:W3CDTF">2021-11-22T15:36:00Z</dcterms:created>
  <dcterms:modified xsi:type="dcterms:W3CDTF">2022-08-17T14:28:08Z</dcterms:modified>
</cp:coreProperties>
</file>