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7E0AD164-141F-4C5D-BDF3-ED175F00C777}" xr6:coauthVersionLast="47" xr6:coauthVersionMax="47" xr10:uidLastSave="{00000000-0000-0000-0000-000000000000}"/>
  <bookViews>
    <workbookView xWindow="-105" yWindow="0" windowWidth="14610" windowHeight="17385" xr2:uid="{00000000-000D-0000-FFFF-FFFF00000000}"/>
  </bookViews>
  <sheets>
    <sheet name="Masses" sheetId="1" r:id="rId1"/>
    <sheet name="Expected activities" sheetId="3" r:id="rId2"/>
    <sheet name="Irradiations" sheetId="2" r:id="rId3"/>
  </sheets>
  <definedNames>
    <definedName name="solver_adj" localSheetId="0" hidden="1">'Expected activities'!$B$7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'Expected activities'!$F$4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103.7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2" i="1" l="1"/>
  <c r="L4" i="3"/>
  <c r="B9" i="3"/>
  <c r="C18" i="3"/>
  <c r="F9" i="3"/>
  <c r="F4" i="3"/>
  <c r="F3" i="3"/>
  <c r="B6" i="3"/>
  <c r="B7" i="3" s="1"/>
  <c r="B18" i="3"/>
  <c r="D13" i="3" l="1"/>
  <c r="F20" i="3" s="1"/>
  <c r="D20" i="3"/>
  <c r="C20" i="3"/>
  <c r="B20" i="3"/>
  <c r="F18" i="3"/>
  <c r="E20" i="3" l="1"/>
  <c r="E18" i="3"/>
  <c r="H12" i="2"/>
  <c r="G12" i="2"/>
  <c r="H11" i="2" l="1"/>
  <c r="G11" i="2"/>
  <c r="C2" i="1" l="1"/>
  <c r="C3" i="1"/>
  <c r="C4" i="1"/>
  <c r="C5" i="1"/>
  <c r="C6" i="1"/>
  <c r="C7" i="1"/>
  <c r="C8" i="1"/>
  <c r="C9" i="1"/>
  <c r="C10" i="1"/>
  <c r="C11" i="1"/>
  <c r="C12" i="1"/>
  <c r="L11" i="2"/>
  <c r="L12" i="2"/>
  <c r="L10" i="2"/>
  <c r="H10" i="2" l="1"/>
  <c r="G10" i="2"/>
  <c r="J10" i="1" l="1"/>
  <c r="K10" i="1"/>
  <c r="J11" i="1"/>
  <c r="K11" i="1"/>
  <c r="J12" i="1"/>
  <c r="K12" i="1"/>
  <c r="H9" i="2"/>
  <c r="G9" i="2"/>
  <c r="L9" i="2"/>
  <c r="L8" i="2" l="1"/>
  <c r="H8" i="2" l="1"/>
  <c r="G8" i="2"/>
  <c r="G7" i="2"/>
  <c r="H7" i="2"/>
  <c r="D18" i="3"/>
  <c r="G8" i="3"/>
  <c r="B8" i="3"/>
  <c r="I9" i="3" s="1"/>
  <c r="G3" i="3"/>
  <c r="M3" i="3"/>
  <c r="L7" i="2"/>
  <c r="L6" i="2"/>
  <c r="H6" i="2"/>
  <c r="G6" i="2"/>
  <c r="H5" i="2"/>
  <c r="G5" i="2"/>
  <c r="L5" i="2"/>
  <c r="H4" i="2"/>
  <c r="G4" i="2"/>
  <c r="P4" i="3" l="1"/>
  <c r="H9" i="3"/>
  <c r="J9" i="3"/>
  <c r="L10" i="1"/>
  <c r="M11" i="1"/>
  <c r="L11" i="1"/>
  <c r="M10" i="1"/>
  <c r="M12" i="1"/>
  <c r="H4" i="3"/>
  <c r="G9" i="3"/>
  <c r="K9" i="3"/>
  <c r="G4" i="3"/>
  <c r="O4" i="3"/>
  <c r="Q4" i="3"/>
  <c r="I4" i="3"/>
  <c r="J4" i="3"/>
  <c r="K4" i="3"/>
  <c r="M4" i="3"/>
  <c r="N4" i="3"/>
  <c r="L4" i="2"/>
  <c r="H3" i="2"/>
  <c r="G3" i="2"/>
  <c r="L3" i="2"/>
  <c r="L2" i="2"/>
  <c r="H2" i="2"/>
  <c r="G2" i="2"/>
  <c r="J9" i="1"/>
  <c r="L9" i="1" s="1"/>
  <c r="K9" i="1"/>
  <c r="M9" i="1" s="1"/>
  <c r="J3" i="1"/>
  <c r="L3" i="1" s="1"/>
  <c r="K3" i="1"/>
  <c r="M3" i="1" s="1"/>
  <c r="J4" i="1"/>
  <c r="L4" i="1" s="1"/>
  <c r="K4" i="1"/>
  <c r="M4" i="1" s="1"/>
  <c r="J5" i="1"/>
  <c r="L5" i="1" s="1"/>
  <c r="K5" i="1"/>
  <c r="M5" i="1" s="1"/>
  <c r="J6" i="1"/>
  <c r="L6" i="1" s="1"/>
  <c r="K6" i="1"/>
  <c r="M6" i="1" s="1"/>
  <c r="J7" i="1"/>
  <c r="L7" i="1" s="1"/>
  <c r="K7" i="1"/>
  <c r="M7" i="1" s="1"/>
  <c r="J8" i="1"/>
  <c r="L8" i="1" s="1"/>
  <c r="K8" i="1"/>
  <c r="M8" i="1" s="1"/>
  <c r="K2" i="1"/>
  <c r="M2" i="1" s="1"/>
  <c r="J2" i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1E922D42-CD12-4F8B-9C4C-992A2BE0E5CC}">
      <text>
        <r>
          <rPr>
            <sz val="9"/>
            <color indexed="81"/>
            <rFont val="Tahoma"/>
            <family val="2"/>
          </rPr>
          <t>Titarenko+ (2011) - point at 66 MeV</t>
        </r>
      </text>
    </comment>
    <comment ref="F19" authorId="0" shapeId="0" xr:uid="{E030FEDE-B8BD-4774-A9AF-88876CD51A21}">
      <text>
        <r>
          <rPr>
            <sz val="9"/>
            <color indexed="81"/>
            <rFont val="Tahoma"/>
            <family val="2"/>
          </rPr>
          <t>Titarenko+ (2011) - point at 66 MeV</t>
        </r>
      </text>
    </comment>
  </commentList>
</comments>
</file>

<file path=xl/sharedStrings.xml><?xml version="1.0" encoding="utf-8"?>
<sst xmlns="http://schemas.openxmlformats.org/spreadsheetml/2006/main" count="117" uniqueCount="71">
  <si>
    <t>Mass 1</t>
  </si>
  <si>
    <t>Mass 2</t>
  </si>
  <si>
    <t>Mass 3</t>
  </si>
  <si>
    <t>Mass 4</t>
  </si>
  <si>
    <t>Mass 5</t>
  </si>
  <si>
    <t>Ave. mass (mg)</t>
  </si>
  <si>
    <t>MW (g/mol)</t>
  </si>
  <si>
    <r>
      <t>t</t>
    </r>
    <r>
      <rPr>
        <vertAlign val="subscript"/>
        <sz val="11"/>
        <color theme="1"/>
        <rFont val="Calibri"/>
        <family val="2"/>
        <scheme val="minor"/>
      </rPr>
      <t>irr</t>
    </r>
    <r>
      <rPr>
        <sz val="11"/>
        <color theme="1"/>
        <rFont val="Calibri"/>
        <family val="2"/>
        <scheme val="minor"/>
      </rPr>
      <t xml:space="preserve"> (h) - </t>
    </r>
    <r>
      <rPr>
        <vertAlign val="superscript"/>
        <sz val="11"/>
        <color theme="1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V</t>
    </r>
  </si>
  <si>
    <r>
      <t>t</t>
    </r>
    <r>
      <rPr>
        <vertAlign val="subscript"/>
        <sz val="11"/>
        <color theme="1"/>
        <rFont val="Calibri"/>
        <family val="2"/>
        <scheme val="minor"/>
      </rPr>
      <t>irr</t>
    </r>
    <r>
      <rPr>
        <sz val="11"/>
        <color theme="1"/>
        <rFont val="Calibri"/>
        <family val="2"/>
        <scheme val="minor"/>
      </rPr>
      <t xml:space="preserve"> (h) - </t>
    </r>
    <r>
      <rPr>
        <vertAlign val="superscript"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Sc</t>
    </r>
  </si>
  <si>
    <t>e (C)</t>
  </si>
  <si>
    <t>Activities (kBq) as a function of irradiation time</t>
  </si>
  <si>
    <t>Thickness (μm)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</si>
  <si>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Av</t>
    </r>
    <r>
      <rPr>
        <b/>
        <sz val="11"/>
        <color theme="1"/>
        <rFont val="Calibri"/>
        <family val="2"/>
        <scheme val="minor"/>
      </rPr>
      <t xml:space="preserve"> (mol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</si>
  <si>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(μA)</t>
    </r>
  </si>
  <si>
    <r>
      <t>A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</si>
  <si>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ρ (g/cm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)</t>
    </r>
  </si>
  <si>
    <t>Target</t>
  </si>
  <si>
    <r>
      <t>2σ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(mm)</t>
    </r>
  </si>
  <si>
    <r>
      <t>2σ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(mm)</t>
    </r>
  </si>
  <si>
    <t>T19</t>
  </si>
  <si>
    <t>T20</t>
  </si>
  <si>
    <t>Constants</t>
  </si>
  <si>
    <r>
      <t>A</t>
    </r>
    <r>
      <rPr>
        <b/>
        <vertAlign val="subscript"/>
        <sz val="20"/>
        <color theme="1"/>
        <rFont val="Calibri"/>
        <family val="2"/>
        <scheme val="minor"/>
      </rPr>
      <t>EoB</t>
    </r>
    <r>
      <rPr>
        <b/>
        <sz val="20"/>
        <color theme="1"/>
        <rFont val="Calibri"/>
        <family val="2"/>
        <scheme val="minor"/>
      </rPr>
      <t xml:space="preserve"> calculation</t>
    </r>
  </si>
  <si>
    <t>Parameters target-material-dependent</t>
  </si>
  <si>
    <t>m (mg)</t>
  </si>
  <si>
    <r>
      <rPr>
        <b/>
        <vertAlign val="superscript"/>
        <sz val="11"/>
        <color theme="1"/>
        <rFont val="Calibri"/>
        <family val="2"/>
        <scheme val="minor"/>
      </rPr>
      <t>nat</t>
    </r>
    <r>
      <rPr>
        <b/>
        <sz val="11"/>
        <color theme="1"/>
        <rFont val="Calibri"/>
        <family val="2"/>
        <scheme val="minor"/>
      </rPr>
      <t>Ti</t>
    </r>
  </si>
  <si>
    <r>
      <rPr>
        <b/>
        <vertAlign val="superscript"/>
        <sz val="11"/>
        <color theme="1"/>
        <rFont val="Calibri"/>
        <family val="2"/>
        <scheme val="minor"/>
      </rPr>
      <t>nat</t>
    </r>
    <r>
      <rPr>
        <b/>
        <sz val="11"/>
        <color theme="1"/>
        <rFont val="Calibri"/>
        <family val="2"/>
        <scheme val="minor"/>
      </rPr>
      <t>Ni</t>
    </r>
  </si>
  <si>
    <t>Nuclear data of radionuclides</t>
  </si>
  <si>
    <r>
      <t>E</t>
    </r>
    <r>
      <rPr>
        <b/>
        <vertAlign val="subscript"/>
        <sz val="11"/>
        <color theme="1"/>
        <rFont val="Calibri"/>
        <family val="2"/>
      </rPr>
      <t>p,in</t>
    </r>
    <r>
      <rPr>
        <b/>
        <sz val="11"/>
        <color theme="1"/>
        <rFont val="Calibri"/>
        <family val="2"/>
      </rPr>
      <t xml:space="preserve"> (MeV)</t>
    </r>
  </si>
  <si>
    <r>
      <t>λ (h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</si>
  <si>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t>σ (E</t>
    </r>
    <r>
      <rPr>
        <b/>
        <vertAlign val="subscript"/>
        <sz val="11"/>
        <color theme="1"/>
        <rFont val="Calibri"/>
        <family val="2"/>
      </rPr>
      <t>p,in</t>
    </r>
    <r>
      <rPr>
        <b/>
        <sz val="11"/>
        <color theme="1"/>
        <rFont val="Calibri"/>
        <family val="2"/>
      </rPr>
      <t>) (mb)</t>
    </r>
  </si>
  <si>
    <r>
      <rPr>
        <b/>
        <vertAlign val="superscript"/>
        <sz val="11"/>
        <color theme="1"/>
        <rFont val="Calibri"/>
        <family val="2"/>
        <scheme val="minor"/>
      </rPr>
      <t>48</t>
    </r>
    <r>
      <rPr>
        <b/>
        <sz val="11"/>
        <color theme="1"/>
        <rFont val="Calibri"/>
        <family val="2"/>
        <scheme val="minor"/>
      </rPr>
      <t>V</t>
    </r>
  </si>
  <si>
    <r>
      <rPr>
        <b/>
        <vertAlign val="superscript"/>
        <sz val="11"/>
        <color theme="1"/>
        <rFont val="Calibri"/>
        <family val="2"/>
        <scheme val="minor"/>
      </rPr>
      <t>46</t>
    </r>
    <r>
      <rPr>
        <b/>
        <sz val="11"/>
        <color theme="1"/>
        <rFont val="Calibri"/>
        <family val="2"/>
        <scheme val="minor"/>
      </rPr>
      <t>Sc</t>
    </r>
  </si>
  <si>
    <r>
      <t>t</t>
    </r>
    <r>
      <rPr>
        <vertAlign val="subscript"/>
        <sz val="11"/>
        <color theme="1"/>
        <rFont val="Calibri"/>
        <family val="2"/>
        <scheme val="minor"/>
      </rPr>
      <t>irr</t>
    </r>
    <r>
      <rPr>
        <sz val="11"/>
        <color theme="1"/>
        <rFont val="Calibri"/>
        <family val="2"/>
        <scheme val="minor"/>
      </rPr>
      <t xml:space="preserve"> (h) - </t>
    </r>
    <r>
      <rPr>
        <vertAlign val="superscript"/>
        <sz val="11"/>
        <color theme="1"/>
        <rFont val="Calibri"/>
        <family val="2"/>
        <scheme val="minor"/>
      </rPr>
      <t>57</t>
    </r>
    <r>
      <rPr>
        <sz val="11"/>
        <color theme="1"/>
        <rFont val="Calibri"/>
        <family val="2"/>
        <scheme val="minor"/>
      </rPr>
      <t>Ni</t>
    </r>
  </si>
  <si>
    <r>
      <rPr>
        <b/>
        <vertAlign val="superscript"/>
        <sz val="11"/>
        <color theme="1"/>
        <rFont val="Calibri"/>
        <family val="2"/>
        <scheme val="minor"/>
      </rPr>
      <t>57</t>
    </r>
    <r>
      <rPr>
        <b/>
        <sz val="11"/>
        <color theme="1"/>
        <rFont val="Calibri"/>
        <family val="2"/>
        <scheme val="minor"/>
      </rPr>
      <t>Ni</t>
    </r>
  </si>
  <si>
    <t>T24</t>
  </si>
  <si>
    <t>T28</t>
  </si>
  <si>
    <t>Material</t>
  </si>
  <si>
    <t>Ti</t>
  </si>
  <si>
    <t>Ni</t>
  </si>
  <si>
    <r>
      <t>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</si>
  <si>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u(M) (mg)</t>
  </si>
  <si>
    <t>u(t) (μm)</t>
  </si>
  <si>
    <r>
      <rPr>
        <b/>
        <vertAlign val="superscript"/>
        <sz val="11"/>
        <color theme="1"/>
        <rFont val="Calibri"/>
        <family val="2"/>
        <scheme val="minor"/>
      </rPr>
      <t>nat</t>
    </r>
    <r>
      <rPr>
        <b/>
        <sz val="11"/>
        <color theme="1"/>
        <rFont val="Calibri"/>
        <family val="2"/>
        <scheme val="minor"/>
      </rPr>
      <t>Ta</t>
    </r>
  </si>
  <si>
    <r>
      <rPr>
        <b/>
        <vertAlign val="superscript"/>
        <sz val="11"/>
        <color theme="1"/>
        <rFont val="Calibri"/>
        <family val="2"/>
        <scheme val="minor"/>
      </rPr>
      <t>176</t>
    </r>
    <r>
      <rPr>
        <b/>
        <sz val="11"/>
        <color theme="1"/>
        <rFont val="Calibri"/>
        <family val="2"/>
        <scheme val="minor"/>
      </rPr>
      <t>W</t>
    </r>
  </si>
  <si>
    <r>
      <rPr>
        <b/>
        <vertAlign val="superscript"/>
        <sz val="11"/>
        <color theme="1"/>
        <rFont val="Calibri"/>
        <family val="2"/>
        <scheme val="minor"/>
      </rPr>
      <t>178</t>
    </r>
    <r>
      <rPr>
        <b/>
        <sz val="11"/>
        <color theme="1"/>
        <rFont val="Calibri"/>
        <family val="2"/>
        <scheme val="minor"/>
      </rPr>
      <t>W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</si>
  <si>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irr</t>
    </r>
    <r>
      <rPr>
        <b/>
        <sz val="11"/>
        <color theme="1"/>
        <rFont val="Calibri"/>
        <family val="2"/>
        <scheme val="minor"/>
      </rPr>
      <t xml:space="preserve"> (h)</t>
    </r>
  </si>
  <si>
    <r>
      <t>A</t>
    </r>
    <r>
      <rPr>
        <b/>
        <vertAlign val="subscript"/>
        <sz val="11"/>
        <color theme="1"/>
        <rFont val="Calibri"/>
        <family val="2"/>
      </rPr>
      <t>EoB</t>
    </r>
    <r>
      <rPr>
        <b/>
        <sz val="11"/>
        <color theme="1"/>
        <rFont val="Calibri"/>
        <family val="2"/>
      </rPr>
      <t>(t</t>
    </r>
    <r>
      <rPr>
        <b/>
        <vertAlign val="subscript"/>
        <sz val="11"/>
        <color theme="1"/>
        <rFont val="Calibri"/>
        <family val="2"/>
      </rPr>
      <t>irr</t>
    </r>
    <r>
      <rPr>
        <b/>
        <sz val="11"/>
        <color theme="1"/>
        <rFont val="Calibri"/>
        <family val="2"/>
      </rPr>
      <t>) (kBq)</t>
    </r>
  </si>
  <si>
    <t>Degrader</t>
  </si>
  <si>
    <t>D0</t>
  </si>
  <si>
    <t>D1</t>
  </si>
  <si>
    <t>Extracted proton current (μA)</t>
  </si>
  <si>
    <t>Scaling factor</t>
  </si>
  <si>
    <t>T21</t>
  </si>
  <si>
    <t>T22</t>
  </si>
  <si>
    <t>T23</t>
  </si>
  <si>
    <t>T29</t>
  </si>
  <si>
    <t>T30</t>
  </si>
  <si>
    <t>T31</t>
  </si>
  <si>
    <t>T32</t>
  </si>
  <si>
    <t>Irradiation time (min)</t>
  </si>
  <si>
    <t>Irradiation start</t>
  </si>
  <si>
    <t>Irradiation end</t>
  </si>
  <si>
    <t>Mass (mg)</t>
  </si>
  <si>
    <r>
      <t>Thickness (</t>
    </r>
    <r>
      <rPr>
        <sz val="11"/>
        <color theme="1"/>
        <rFont val="Calibri"/>
        <family val="2"/>
      </rPr>
      <t>µm)</t>
    </r>
  </si>
  <si>
    <r>
      <t>Integral (</t>
    </r>
    <r>
      <rPr>
        <sz val="11"/>
        <color theme="1"/>
        <rFont val="Calibri"/>
        <family val="2"/>
      </rPr>
      <t>µAh)</t>
    </r>
  </si>
  <si>
    <t>Current (µA)</t>
  </si>
  <si>
    <t>T44</t>
  </si>
  <si>
    <t>Ta</t>
  </si>
  <si>
    <t>N/A</t>
  </si>
  <si>
    <t>Target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</si>
</sst>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"/>
    <numFmt numFmtId="167" formatCode="dd\-mm\-yyyy\ hh:mm:ss"/>
    <numFmt numFmtId="168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/>
    <xf numFmtId="0" fontId="1" fillId="0" borderId="0" xfId="0" applyFont="1"/>
    <xf numFmtId="0" fontId="6" fillId="0" borderId="0" xfId="0" applyFont="1"/>
    <xf numFmtId="0" fontId="6" fillId="0" borderId="0" xfId="0" applyFont="1" applyFill="1" applyBorder="1"/>
    <xf numFmtId="11" fontId="1" fillId="0" borderId="0" xfId="0" applyNumberFormat="1" applyFont="1"/>
    <xf numFmtId="166" fontId="0" fillId="0" borderId="0" xfId="0" applyNumberFormat="1"/>
    <xf numFmtId="164" fontId="1" fillId="0" borderId="4" xfId="0" applyNumberFormat="1" applyFont="1" applyBorder="1"/>
    <xf numFmtId="0" fontId="1" fillId="0" borderId="0" xfId="0" applyFont="1" applyBorder="1"/>
    <xf numFmtId="0" fontId="1" fillId="0" borderId="5" xfId="0" applyFont="1" applyBorder="1"/>
    <xf numFmtId="4" fontId="0" fillId="0" borderId="0" xfId="0" applyNumberFormat="1" applyBorder="1"/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/>
    <xf numFmtId="0" fontId="13" fillId="0" borderId="0" xfId="0" applyFont="1"/>
    <xf numFmtId="0" fontId="1" fillId="0" borderId="0" xfId="0" applyFont="1" applyAlignment="1">
      <alignment horizontal="center" vertical="center"/>
    </xf>
    <xf numFmtId="168" fontId="0" fillId="0" borderId="6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="205" zoomScaleNormal="205" workbookViewId="0">
      <selection activeCell="C4" sqref="C4"/>
    </sheetView>
  </sheetViews>
  <sheetFormatPr defaultRowHeight="15" x14ac:dyDescent="0.25"/>
  <cols>
    <col min="1" max="1" width="14.140625" bestFit="1" customWidth="1"/>
    <col min="2" max="2" width="9.140625" style="28"/>
    <col min="3" max="3" width="14.85546875" style="30" bestFit="1" customWidth="1"/>
    <col min="4" max="8" width="9.140625" style="26"/>
    <col min="10" max="10" width="14.5703125" bestFit="1" customWidth="1"/>
    <col min="11" max="11" width="12.5703125" bestFit="1" customWidth="1"/>
    <col min="12" max="12" width="14.42578125" bestFit="1" customWidth="1"/>
    <col min="15" max="16" width="9.140625" style="25"/>
  </cols>
  <sheetData>
    <row r="1" spans="1:17" ht="17.25" x14ac:dyDescent="0.25">
      <c r="A1" t="s">
        <v>70</v>
      </c>
      <c r="B1" s="28" t="s">
        <v>37</v>
      </c>
      <c r="C1" s="28" t="s">
        <v>40</v>
      </c>
      <c r="D1" s="26" t="s">
        <v>0</v>
      </c>
      <c r="E1" s="26" t="s">
        <v>1</v>
      </c>
      <c r="F1" s="26" t="s">
        <v>2</v>
      </c>
      <c r="G1" s="26" t="s">
        <v>3</v>
      </c>
      <c r="H1" s="26" t="s">
        <v>4</v>
      </c>
      <c r="J1" t="s">
        <v>5</v>
      </c>
      <c r="K1" t="s">
        <v>41</v>
      </c>
      <c r="L1" t="s">
        <v>11</v>
      </c>
      <c r="M1" t="s">
        <v>42</v>
      </c>
      <c r="O1" s="38" t="s">
        <v>40</v>
      </c>
      <c r="P1" s="38"/>
    </row>
    <row r="2" spans="1:17" x14ac:dyDescent="0.25">
      <c r="A2" t="s">
        <v>19</v>
      </c>
      <c r="B2" s="28" t="s">
        <v>38</v>
      </c>
      <c r="C2" s="30">
        <f>INDEX($O$2:$P$3,2,MATCH(B2,$O$2:$P$2,0))</f>
        <v>4.5060000000000002</v>
      </c>
      <c r="D2" s="15">
        <v>3.18</v>
      </c>
      <c r="E2" s="15">
        <v>3.14</v>
      </c>
      <c r="F2" s="15">
        <v>3.12</v>
      </c>
      <c r="G2" s="15">
        <v>3.13</v>
      </c>
      <c r="H2" s="15">
        <v>3.14</v>
      </c>
      <c r="J2" s="2">
        <f t="shared" ref="J2:J9" si="0">AVERAGE(D2:H2)</f>
        <v>3.1420000000000003</v>
      </c>
      <c r="K2" s="1">
        <f t="shared" ref="K2:K9" si="1">_xlfn.STDEV.S(D2:H2)</f>
        <v>2.280350850198281E-2</v>
      </c>
      <c r="L2" s="2">
        <f>J2/($C2*'Expected activities'!$B$8)*10</f>
        <v>24.661677328733795</v>
      </c>
      <c r="M2" s="2">
        <f>K2/($C2*'Expected activities'!$B$8)*10</f>
        <v>0.17898560427719215</v>
      </c>
      <c r="N2" s="2"/>
      <c r="O2" s="28" t="s">
        <v>38</v>
      </c>
      <c r="P2" s="28" t="s">
        <v>39</v>
      </c>
      <c r="Q2" s="29"/>
    </row>
    <row r="3" spans="1:17" x14ac:dyDescent="0.25">
      <c r="A3" t="s">
        <v>20</v>
      </c>
      <c r="B3" s="28" t="s">
        <v>38</v>
      </c>
      <c r="C3" s="30">
        <f t="shared" ref="C3:C12" si="2">INDEX($O$2:$P$3,2,MATCH(B3,$O$2:$P$2,0))</f>
        <v>4.5060000000000002</v>
      </c>
      <c r="D3" s="15">
        <v>3.05</v>
      </c>
      <c r="E3" s="15">
        <v>3.12</v>
      </c>
      <c r="F3" s="15">
        <v>3.11</v>
      </c>
      <c r="G3" s="15">
        <v>3.13</v>
      </c>
      <c r="H3" s="15">
        <v>3.14</v>
      </c>
      <c r="J3" s="2">
        <f t="shared" si="0"/>
        <v>3.1100000000000003</v>
      </c>
      <c r="K3" s="1">
        <f t="shared" si="1"/>
        <v>3.5355339059327473E-2</v>
      </c>
      <c r="L3" s="2">
        <f>J3/($C3*'Expected activities'!$B$8)*10</f>
        <v>24.410508113418871</v>
      </c>
      <c r="M3" s="2">
        <f>K3/($C3*'Expected activities'!$B$8)*10</f>
        <v>0.27750539902263294</v>
      </c>
      <c r="N3" s="2"/>
      <c r="O3" s="27">
        <v>4.5060000000000002</v>
      </c>
      <c r="P3" s="27">
        <v>8.9</v>
      </c>
    </row>
    <row r="4" spans="1:17" x14ac:dyDescent="0.25">
      <c r="A4" t="s">
        <v>53</v>
      </c>
      <c r="B4" s="28" t="s">
        <v>38</v>
      </c>
      <c r="C4" s="30">
        <f t="shared" si="2"/>
        <v>4.5060000000000002</v>
      </c>
      <c r="D4" s="15">
        <v>3.17</v>
      </c>
      <c r="E4" s="15">
        <v>3.17</v>
      </c>
      <c r="F4" s="15">
        <v>3.18</v>
      </c>
      <c r="G4" s="15">
        <v>3.18</v>
      </c>
      <c r="H4" s="15">
        <v>3.17</v>
      </c>
      <c r="J4" s="2">
        <f t="shared" si="0"/>
        <v>3.1739999999999999</v>
      </c>
      <c r="K4" s="1">
        <f t="shared" si="1"/>
        <v>5.4772255750517879E-3</v>
      </c>
      <c r="L4" s="2">
        <f>J4/($C4*'Expected activities'!$B$8)*10</f>
        <v>24.912846544048712</v>
      </c>
      <c r="M4" s="2">
        <f>K4/($C4*'Expected activities'!$B$8)*10</f>
        <v>4.2990951555892928E-2</v>
      </c>
      <c r="N4" s="2"/>
    </row>
    <row r="5" spans="1:17" x14ac:dyDescent="0.25">
      <c r="A5" t="s">
        <v>54</v>
      </c>
      <c r="B5" s="28" t="s">
        <v>38</v>
      </c>
      <c r="C5" s="30">
        <f t="shared" si="2"/>
        <v>4.5060000000000002</v>
      </c>
      <c r="D5" s="15">
        <v>3.15</v>
      </c>
      <c r="E5" s="15">
        <v>3.15</v>
      </c>
      <c r="F5" s="15">
        <v>3.15</v>
      </c>
      <c r="G5" s="15">
        <v>3.14</v>
      </c>
      <c r="H5" s="15">
        <v>3.13</v>
      </c>
      <c r="J5" s="2">
        <f t="shared" si="0"/>
        <v>3.1439999999999997</v>
      </c>
      <c r="K5" s="1">
        <f t="shared" si="1"/>
        <v>8.9442719099991422E-3</v>
      </c>
      <c r="L5" s="2">
        <f>J5/($C5*'Expected activities'!$B$8)*10</f>
        <v>24.67737540469097</v>
      </c>
      <c r="M5" s="2">
        <f>K5/($C5*'Expected activities'!$B$8)*10</f>
        <v>7.0203929912430407E-2</v>
      </c>
      <c r="N5" s="2"/>
    </row>
    <row r="6" spans="1:17" x14ac:dyDescent="0.25">
      <c r="A6" t="s">
        <v>55</v>
      </c>
      <c r="B6" s="28" t="s">
        <v>38</v>
      </c>
      <c r="C6" s="30">
        <f t="shared" si="2"/>
        <v>4.5060000000000002</v>
      </c>
      <c r="D6" s="15">
        <v>3.16</v>
      </c>
      <c r="E6" s="15">
        <v>3.16</v>
      </c>
      <c r="F6" s="15">
        <v>3.14</v>
      </c>
      <c r="G6" s="15">
        <v>3.15</v>
      </c>
      <c r="H6" s="15">
        <v>3.17</v>
      </c>
      <c r="J6" s="2">
        <f t="shared" si="0"/>
        <v>3.1560000000000001</v>
      </c>
      <c r="K6" s="1">
        <f t="shared" si="1"/>
        <v>1.1401754250991353E-2</v>
      </c>
      <c r="L6" s="2">
        <f>J6/($C6*'Expected activities'!$B$8)*10</f>
        <v>24.771563860434071</v>
      </c>
      <c r="M6" s="2">
        <f>K6/($C6*'Expected activities'!$B$8)*10</f>
        <v>8.9492802138595659E-2</v>
      </c>
      <c r="N6" s="2"/>
    </row>
    <row r="7" spans="1:17" x14ac:dyDescent="0.25">
      <c r="A7" t="s">
        <v>35</v>
      </c>
      <c r="B7" s="28" t="s">
        <v>38</v>
      </c>
      <c r="C7" s="30">
        <f t="shared" si="2"/>
        <v>4.5060000000000002</v>
      </c>
      <c r="D7" s="15">
        <v>3.19</v>
      </c>
      <c r="E7" s="15">
        <v>3.19</v>
      </c>
      <c r="F7" s="15">
        <v>3.21</v>
      </c>
      <c r="G7" s="15">
        <v>3.21</v>
      </c>
      <c r="H7" s="15">
        <v>3.2</v>
      </c>
      <c r="J7" s="2">
        <f t="shared" si="0"/>
        <v>3.2</v>
      </c>
      <c r="K7" s="1">
        <f t="shared" si="1"/>
        <v>1.0000000000000009E-2</v>
      </c>
      <c r="L7" s="2">
        <f>J7/($C7*'Expected activities'!$B$8)*10</f>
        <v>25.116921531492086</v>
      </c>
      <c r="M7" s="2">
        <f>K7/($C7*'Expected activities'!$B$8)*10</f>
        <v>7.8490379785912834E-2</v>
      </c>
      <c r="N7" s="2"/>
    </row>
    <row r="8" spans="1:17" x14ac:dyDescent="0.25">
      <c r="A8" t="s">
        <v>36</v>
      </c>
      <c r="B8" s="28" t="s">
        <v>38</v>
      </c>
      <c r="C8" s="30">
        <f t="shared" si="2"/>
        <v>4.5060000000000002</v>
      </c>
      <c r="D8" s="15">
        <v>3.17</v>
      </c>
      <c r="E8" s="15">
        <v>3.16</v>
      </c>
      <c r="F8" s="15">
        <v>3.17</v>
      </c>
      <c r="G8" s="15">
        <v>3.18</v>
      </c>
      <c r="H8" s="15">
        <v>3.18</v>
      </c>
      <c r="J8" s="2">
        <f t="shared" si="0"/>
        <v>3.1719999999999997</v>
      </c>
      <c r="K8" s="1">
        <f t="shared" si="1"/>
        <v>8.3666002653407893E-3</v>
      </c>
      <c r="L8" s="2">
        <f>J8/($C8*'Expected activities'!$B$8)*10</f>
        <v>24.89714846809153</v>
      </c>
      <c r="M8" s="2">
        <f>K8/($C8*'Expected activities'!$B$8)*10</f>
        <v>6.5669763234351711E-2</v>
      </c>
      <c r="N8" s="2"/>
    </row>
    <row r="9" spans="1:17" x14ac:dyDescent="0.25">
      <c r="A9" t="s">
        <v>56</v>
      </c>
      <c r="B9" s="28" t="s">
        <v>38</v>
      </c>
      <c r="C9" s="30">
        <f t="shared" si="2"/>
        <v>4.5060000000000002</v>
      </c>
      <c r="D9" s="15">
        <v>2.97</v>
      </c>
      <c r="E9" s="15">
        <v>2.96</v>
      </c>
      <c r="F9" s="15">
        <v>2.96</v>
      </c>
      <c r="G9" s="15">
        <v>2.97</v>
      </c>
      <c r="H9" s="15">
        <v>2.97</v>
      </c>
      <c r="J9" s="2">
        <f t="shared" si="0"/>
        <v>2.9660000000000002</v>
      </c>
      <c r="K9" s="1">
        <f t="shared" si="1"/>
        <v>5.4772255750517879E-3</v>
      </c>
      <c r="L9" s="2">
        <f>J9/($C9*'Expected activities'!$B$8)*10</f>
        <v>23.280246644501727</v>
      </c>
      <c r="M9" s="2">
        <f>K9/($C9*'Expected activities'!$B$8)*10</f>
        <v>4.2990951555892928E-2</v>
      </c>
      <c r="N9" s="2"/>
    </row>
    <row r="10" spans="1:17" x14ac:dyDescent="0.25">
      <c r="A10" t="s">
        <v>57</v>
      </c>
      <c r="B10" s="28" t="s">
        <v>38</v>
      </c>
      <c r="C10" s="30">
        <f t="shared" si="2"/>
        <v>4.5060000000000002</v>
      </c>
      <c r="D10" s="15">
        <v>3.1</v>
      </c>
      <c r="E10" s="15">
        <v>3.12</v>
      </c>
      <c r="F10" s="15">
        <v>3.11</v>
      </c>
      <c r="G10" s="15">
        <v>3.12</v>
      </c>
      <c r="H10" s="15">
        <v>3.1</v>
      </c>
      <c r="J10" s="2">
        <f t="shared" ref="J10:J12" si="3">AVERAGE(D10:H10)</f>
        <v>3.11</v>
      </c>
      <c r="K10" s="1">
        <f t="shared" ref="K10:K12" si="4">_xlfn.STDEV.S(D10:H10)</f>
        <v>1.0000000000000009E-2</v>
      </c>
      <c r="L10" s="2">
        <f>J10/($C10*'Expected activities'!$B$8)*10</f>
        <v>24.410508113418871</v>
      </c>
      <c r="M10" s="2">
        <f>K10/($C10*'Expected activities'!$B$8)*10</f>
        <v>7.8490379785912834E-2</v>
      </c>
      <c r="N10" s="2"/>
    </row>
    <row r="11" spans="1:17" x14ac:dyDescent="0.25">
      <c r="A11" t="s">
        <v>58</v>
      </c>
      <c r="B11" s="28" t="s">
        <v>39</v>
      </c>
      <c r="C11" s="30">
        <f t="shared" si="2"/>
        <v>8.9</v>
      </c>
      <c r="D11" s="15">
        <v>1.69</v>
      </c>
      <c r="E11" s="15">
        <v>1.68</v>
      </c>
      <c r="F11" s="15">
        <v>1.68</v>
      </c>
      <c r="G11" s="15">
        <v>1.68</v>
      </c>
      <c r="H11" s="15">
        <v>1.67</v>
      </c>
      <c r="J11" s="2">
        <f t="shared" si="3"/>
        <v>1.6799999999999997</v>
      </c>
      <c r="K11" s="1">
        <f t="shared" si="4"/>
        <v>7.0710678118654814E-3</v>
      </c>
      <c r="L11" s="2">
        <f>J11/($C11*'Expected activities'!$B$8)*10</f>
        <v>6.6761624068510379</v>
      </c>
      <c r="M11" s="2">
        <f>K11/($C11*'Expected activities'!$B$8)*10</f>
        <v>2.8099760179684984E-2</v>
      </c>
      <c r="N11" s="2"/>
    </row>
    <row r="12" spans="1:17" x14ac:dyDescent="0.25">
      <c r="A12" t="s">
        <v>59</v>
      </c>
      <c r="B12" s="28" t="s">
        <v>39</v>
      </c>
      <c r="C12" s="30">
        <f t="shared" si="2"/>
        <v>8.9</v>
      </c>
      <c r="D12" s="15">
        <v>1.7</v>
      </c>
      <c r="E12" s="15">
        <v>1.69</v>
      </c>
      <c r="F12" s="15">
        <v>1.68</v>
      </c>
      <c r="G12" s="15">
        <v>1.68</v>
      </c>
      <c r="H12" s="15">
        <v>1.68</v>
      </c>
      <c r="J12" s="2">
        <f t="shared" si="3"/>
        <v>1.6859999999999999</v>
      </c>
      <c r="K12" s="1">
        <f t="shared" si="4"/>
        <v>8.9442719099991665E-3</v>
      </c>
      <c r="L12" s="2">
        <f>J12/($C12*'Expected activities'!$B$8)*10</f>
        <v>6.7000058440183654</v>
      </c>
      <c r="M12" s="2">
        <f>K12/($C12*'Expected activities'!$B$8)*10</f>
        <v>3.5543697548922726E-2</v>
      </c>
      <c r="N12" s="2"/>
    </row>
    <row r="13" spans="1:17" x14ac:dyDescent="0.25">
      <c r="F13" s="15"/>
    </row>
  </sheetData>
  <mergeCells count="1">
    <mergeCell ref="O1:P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1EA4-B382-40F9-9F01-1E425E3D2E18}">
  <dimension ref="A1:Q28"/>
  <sheetViews>
    <sheetView zoomScale="115" zoomScaleNormal="115" workbookViewId="0">
      <selection activeCell="L5" sqref="L5"/>
    </sheetView>
  </sheetViews>
  <sheetFormatPr defaultRowHeight="15" x14ac:dyDescent="0.25"/>
  <cols>
    <col min="1" max="1" width="47" bestFit="1" customWidth="1"/>
    <col min="2" max="2" width="10.140625" bestFit="1" customWidth="1"/>
    <col min="3" max="4" width="10.140625" customWidth="1"/>
    <col min="6" max="6" width="10" customWidth="1"/>
    <col min="7" max="10" width="8.7109375" customWidth="1"/>
    <col min="11" max="11" width="10" bestFit="1" customWidth="1"/>
    <col min="12" max="17" width="8.7109375" customWidth="1"/>
  </cols>
  <sheetData>
    <row r="1" spans="1:17" ht="31.5" thickBot="1" x14ac:dyDescent="0.6">
      <c r="A1" s="18" t="s">
        <v>22</v>
      </c>
      <c r="B1" s="5"/>
      <c r="C1" s="5"/>
      <c r="D1" s="5"/>
      <c r="F1" s="42" t="s">
        <v>10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</row>
    <row r="2" spans="1:17" ht="19.5" x14ac:dyDescent="0.35">
      <c r="A2" s="17" t="s">
        <v>21</v>
      </c>
      <c r="B2" s="5"/>
      <c r="C2" s="5"/>
      <c r="D2" s="5"/>
      <c r="F2" s="39" t="s">
        <v>7</v>
      </c>
      <c r="G2" s="40"/>
      <c r="H2" s="40"/>
      <c r="I2" s="40"/>
      <c r="J2" s="40"/>
      <c r="K2" s="41"/>
      <c r="L2" s="39" t="s">
        <v>8</v>
      </c>
      <c r="M2" s="40"/>
      <c r="N2" s="40"/>
      <c r="O2" s="40"/>
      <c r="P2" s="40"/>
      <c r="Q2" s="41"/>
    </row>
    <row r="3" spans="1:17" ht="18.75" x14ac:dyDescent="0.35">
      <c r="A3" s="6" t="s">
        <v>12</v>
      </c>
      <c r="B3" s="4">
        <v>6.0221407599999999E+23</v>
      </c>
      <c r="C3" s="4"/>
      <c r="D3" s="4"/>
      <c r="F3" s="11">
        <f>15/60</f>
        <v>0.25</v>
      </c>
      <c r="G3" s="12">
        <f>30/60</f>
        <v>0.5</v>
      </c>
      <c r="H3" s="12">
        <v>1</v>
      </c>
      <c r="I3" s="12">
        <v>2</v>
      </c>
      <c r="J3" s="12">
        <v>4</v>
      </c>
      <c r="K3" s="13">
        <v>8</v>
      </c>
      <c r="L3" s="11">
        <v>0.26194444455904886</v>
      </c>
      <c r="M3" s="12">
        <f>30/60</f>
        <v>0.5</v>
      </c>
      <c r="N3" s="12">
        <v>1</v>
      </c>
      <c r="O3" s="12">
        <v>2</v>
      </c>
      <c r="P3" s="12">
        <v>4</v>
      </c>
      <c r="Q3" s="13">
        <v>8</v>
      </c>
    </row>
    <row r="4" spans="1:17" ht="15.75" thickBot="1" x14ac:dyDescent="0.3">
      <c r="A4" s="6" t="s">
        <v>9</v>
      </c>
      <c r="B4" s="4">
        <v>1.6021766299999999E-19</v>
      </c>
      <c r="C4" s="3"/>
      <c r="D4" s="3"/>
      <c r="F4" s="22">
        <f>$B$19*10^(-27)*$B$7*10^(-6)*$B$3*$B$13*10^(-3)*(1-EXP(-$B$18*F3))/($B$4*$B$8*$B$14)/1000</f>
        <v>19.794507063409764</v>
      </c>
      <c r="G4" s="23">
        <f t="shared" ref="G4:K4" si="0">$B$19*10^(-27)*$B$7*10^(-6)*$B$3*$B$13*10^(-3)*(1-EXP(-$B$18*G3))/($B$4*$B$8*$B$14)/1000</f>
        <v>39.580066747882796</v>
      </c>
      <c r="H4" s="23">
        <f t="shared" si="0"/>
        <v>79.124360155505698</v>
      </c>
      <c r="I4" s="23">
        <f t="shared" si="0"/>
        <v>158.10575625169551</v>
      </c>
      <c r="J4" s="23">
        <f t="shared" si="0"/>
        <v>315.64068904490756</v>
      </c>
      <c r="K4" s="24">
        <f t="shared" si="0"/>
        <v>629.00632039672371</v>
      </c>
      <c r="L4" s="22">
        <f>$C$19*10^(-27)*$B$7*10^(-6)*$B$3*$B$13*10^(-3)*(1-EXP(-$C$18*L3))/($B$4*$B$8*$B$14)/1000</f>
        <v>16.164739068578825</v>
      </c>
      <c r="M4" s="23">
        <f t="shared" ref="M4:Q4" si="1">$C$19*10^(-27)*$B$7*10^(-6)*$B$3*$B$13*10^(-3)*(1-EXP(-$C$18*M3))/($B$4*$B$8*$B$14)/1000</f>
        <v>30.854015499846522</v>
      </c>
      <c r="N4" s="23">
        <f t="shared" si="1"/>
        <v>61.702714004053661</v>
      </c>
      <c r="O4" s="23">
        <f t="shared" si="1"/>
        <v>123.38416369049084</v>
      </c>
      <c r="P4" s="23">
        <f t="shared" si="1"/>
        <v>246.68329942082065</v>
      </c>
      <c r="Q4" s="24">
        <f t="shared" si="1"/>
        <v>493.0267213426427</v>
      </c>
    </row>
    <row r="5" spans="1:17" ht="15.75" thickBot="1" x14ac:dyDescent="0.3">
      <c r="A5" s="6" t="s">
        <v>51</v>
      </c>
      <c r="B5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8.75" x14ac:dyDescent="0.35">
      <c r="A6" s="6" t="s">
        <v>52</v>
      </c>
      <c r="B6">
        <f>B5/50</f>
        <v>0.2</v>
      </c>
      <c r="F6" s="39" t="s">
        <v>33</v>
      </c>
      <c r="G6" s="40"/>
      <c r="H6" s="40"/>
      <c r="I6" s="40"/>
      <c r="J6" s="40"/>
      <c r="K6" s="41"/>
      <c r="L6" s="14"/>
      <c r="M6" s="14"/>
      <c r="N6" s="14"/>
      <c r="O6" s="14"/>
      <c r="P6" s="14"/>
      <c r="Q6" s="14"/>
    </row>
    <row r="7" spans="1:17" ht="18" x14ac:dyDescent="0.35">
      <c r="A7" s="6" t="s">
        <v>13</v>
      </c>
      <c r="B7" s="2">
        <f>B6*22.1013226480576</f>
        <v>4.4202645296115204</v>
      </c>
      <c r="C7" s="2"/>
      <c r="D7" s="2"/>
      <c r="F7" s="32"/>
      <c r="G7" s="33"/>
      <c r="H7" s="33"/>
      <c r="I7" s="33"/>
      <c r="J7" s="33"/>
      <c r="K7" s="34"/>
      <c r="L7" s="14"/>
      <c r="M7" s="14"/>
      <c r="N7" s="14"/>
      <c r="O7" s="14"/>
      <c r="P7" s="14"/>
      <c r="Q7" s="14"/>
    </row>
    <row r="8" spans="1:17" ht="17.25" x14ac:dyDescent="0.25">
      <c r="A8" s="6" t="s">
        <v>14</v>
      </c>
      <c r="B8" s="1">
        <f>PI()*0.3^2</f>
        <v>0.28274333882308139</v>
      </c>
      <c r="C8" s="1"/>
      <c r="D8" s="1"/>
      <c r="F8" s="11">
        <v>0.26194444455904897</v>
      </c>
      <c r="G8" s="12">
        <f>30/60</f>
        <v>0.5</v>
      </c>
      <c r="H8" s="12">
        <v>1</v>
      </c>
      <c r="I8" s="12">
        <v>2</v>
      </c>
      <c r="J8" s="12">
        <v>4</v>
      </c>
      <c r="K8" s="13">
        <v>8</v>
      </c>
      <c r="L8" s="14"/>
      <c r="M8" s="14"/>
      <c r="N8" s="14"/>
      <c r="O8" s="14"/>
      <c r="P8" s="14"/>
      <c r="Q8" s="14"/>
    </row>
    <row r="9" spans="1:17" ht="18.75" thickBot="1" x14ac:dyDescent="0.4">
      <c r="A9" s="6" t="s">
        <v>46</v>
      </c>
      <c r="B9" s="1">
        <f>60/60</f>
        <v>1</v>
      </c>
      <c r="C9" s="1"/>
      <c r="D9" s="1"/>
      <c r="F9" s="22">
        <f>$D$19*10^(-27)*$B$7*10^(-6)*$B$3*$C$13*10^(-3)*(1-EXP(-$D$18*F8))/($B$4*$B$8*$C$14)/1000</f>
        <v>1283.4687494522436</v>
      </c>
      <c r="G9" s="23">
        <f t="shared" ref="G9:K9" si="2">$D$19*10^(-27)*$B$7*10^(-6)*$B$3*$C$13*10^(-3)*(1-EXP(-$D$18*G8))/($B$4*$B$8*$C$14)/1000</f>
        <v>2444.2232357246562</v>
      </c>
      <c r="H9" s="23">
        <f t="shared" si="2"/>
        <v>4864.7668870357675</v>
      </c>
      <c r="I9" s="23">
        <f t="shared" si="2"/>
        <v>9635.7308432301525</v>
      </c>
      <c r="J9" s="23">
        <f t="shared" si="2"/>
        <v>18903.449957900739</v>
      </c>
      <c r="K9" s="24">
        <f t="shared" si="2"/>
        <v>36390.537208636037</v>
      </c>
    </row>
    <row r="10" spans="1:17" x14ac:dyDescent="0.25">
      <c r="A10" s="6"/>
      <c r="B10" s="1"/>
      <c r="C10" s="1"/>
      <c r="D10" s="1"/>
    </row>
    <row r="11" spans="1:17" ht="18.75" x14ac:dyDescent="0.3">
      <c r="A11" s="19" t="s">
        <v>23</v>
      </c>
      <c r="B11" s="9" t="s">
        <v>25</v>
      </c>
      <c r="C11" s="9" t="s">
        <v>26</v>
      </c>
      <c r="D11" s="9" t="s">
        <v>43</v>
      </c>
    </row>
    <row r="12" spans="1:17" ht="17.25" x14ac:dyDescent="0.25">
      <c r="A12" s="7" t="s">
        <v>15</v>
      </c>
      <c r="B12">
        <v>4.54</v>
      </c>
      <c r="C12">
        <v>8.907</v>
      </c>
      <c r="D12">
        <v>16.649999999999999</v>
      </c>
    </row>
    <row r="13" spans="1:17" x14ac:dyDescent="0.25">
      <c r="A13" s="7" t="s">
        <v>24</v>
      </c>
      <c r="B13" s="10">
        <v>3.156857142857143</v>
      </c>
      <c r="C13" s="2">
        <v>1.68</v>
      </c>
      <c r="D13" s="2">
        <f>D12*B8*0.0025*1000</f>
        <v>11.769191478510761</v>
      </c>
    </row>
    <row r="14" spans="1:17" x14ac:dyDescent="0.25">
      <c r="A14" s="6" t="s">
        <v>6</v>
      </c>
      <c r="B14" s="3">
        <v>47.866999999999997</v>
      </c>
      <c r="C14" s="2">
        <v>58.693399999999997</v>
      </c>
      <c r="D14" s="2">
        <v>180.94788</v>
      </c>
    </row>
    <row r="15" spans="1:17" ht="18" x14ac:dyDescent="0.35">
      <c r="A15" s="7" t="s">
        <v>28</v>
      </c>
      <c r="B15" s="10">
        <v>66.400000000000006</v>
      </c>
      <c r="C15" s="10">
        <v>23</v>
      </c>
      <c r="D15" s="10">
        <v>62.7</v>
      </c>
    </row>
    <row r="16" spans="1:17" x14ac:dyDescent="0.25">
      <c r="C16" s="4"/>
      <c r="D16" s="4"/>
    </row>
    <row r="17" spans="1:6" ht="18.75" x14ac:dyDescent="0.3">
      <c r="A17" s="20" t="s">
        <v>27</v>
      </c>
      <c r="B17" s="6" t="s">
        <v>31</v>
      </c>
      <c r="C17" s="6" t="s">
        <v>32</v>
      </c>
      <c r="D17" s="21" t="s">
        <v>34</v>
      </c>
      <c r="E17" s="21" t="s">
        <v>44</v>
      </c>
      <c r="F17" s="21" t="s">
        <v>45</v>
      </c>
    </row>
    <row r="18" spans="1:6" ht="17.25" x14ac:dyDescent="0.25">
      <c r="A18" s="7" t="s">
        <v>29</v>
      </c>
      <c r="B18" s="4">
        <f>LN(2)/(15.97*24)</f>
        <v>1.8084616482987508E-3</v>
      </c>
      <c r="C18" s="4">
        <f>LN(2)/(83.79*24)</f>
        <v>3.4468471802519458E-4</v>
      </c>
      <c r="D18">
        <f>LN(2)/35.6</f>
        <v>1.9470426420223182E-2</v>
      </c>
      <c r="E18">
        <f>LN(2)/2.5</f>
        <v>0.2772588722239781</v>
      </c>
      <c r="F18">
        <f>LN(2)/2.36</f>
        <v>0.29370643244065481</v>
      </c>
    </row>
    <row r="19" spans="1:6" ht="18" x14ac:dyDescent="0.35">
      <c r="A19" s="7" t="s">
        <v>30</v>
      </c>
      <c r="B19">
        <v>11.3</v>
      </c>
      <c r="C19">
        <v>46.2</v>
      </c>
      <c r="D19" s="10">
        <v>150</v>
      </c>
      <c r="E19" s="31">
        <v>457</v>
      </c>
      <c r="F19" s="31">
        <v>102</v>
      </c>
    </row>
    <row r="20" spans="1:6" ht="18" x14ac:dyDescent="0.35">
      <c r="A20" s="7" t="s">
        <v>47</v>
      </c>
      <c r="B20" s="35">
        <f>$B$19*10^(-27)*$B$7*10^(-6)*$B$3*$B$13*10^(-3)*(1-EXP(-$B$18*B9))/($B$4*$B$8*$B$14)/1000</f>
        <v>79.124360155505698</v>
      </c>
      <c r="C20" s="35">
        <f>$C$19*10^(-27)*$B$7*10^(-6)*$B$3*$B$13*10^(-3)*(1-EXP(-$C$18*B9))/($B$4*$B$8*$B$14)/1000</f>
        <v>61.702714004053661</v>
      </c>
      <c r="D20" s="35">
        <f>$D$19*10^(-27)*$B$7*10^(-6)*$B$3*$C$13*10^(-3)*(1-EXP(-$D$18*B9))/($B$4*$B$8*$C$14)/1000</f>
        <v>4864.7668870357675</v>
      </c>
      <c r="E20" s="4">
        <f>$E$19*10^(-27)*$B$7*10^(-6)*$B$3*$D$13*10^(-3)*(1-EXP(-$E$18*$B$9))/($B$4*$B$8*$D$14)/1000</f>
        <v>422936.66324929532</v>
      </c>
      <c r="F20" s="4">
        <f>$F$19*10^(-27)*$B$7*10^(-6)*$B$3*$D$13*10^(-3)*(1-EXP(-$F$18*$B$9))/($B$4*$B$8*$D$14)/1000</f>
        <v>99216.859140161687</v>
      </c>
    </row>
    <row r="21" spans="1:6" x14ac:dyDescent="0.25">
      <c r="A21" s="8"/>
    </row>
    <row r="22" spans="1:6" x14ac:dyDescent="0.25">
      <c r="A22" s="8"/>
    </row>
    <row r="23" spans="1:6" x14ac:dyDescent="0.25">
      <c r="A23" s="8"/>
    </row>
    <row r="24" spans="1:6" x14ac:dyDescent="0.25">
      <c r="A24" s="8"/>
    </row>
    <row r="25" spans="1:6" x14ac:dyDescent="0.25">
      <c r="A25" s="8"/>
      <c r="B25" s="4"/>
      <c r="C25" s="4"/>
      <c r="D25" s="4"/>
    </row>
    <row r="26" spans="1:6" x14ac:dyDescent="0.25">
      <c r="A26" s="8"/>
      <c r="B26" s="4"/>
      <c r="C26" s="4"/>
      <c r="D26" s="4"/>
    </row>
    <row r="27" spans="1:6" x14ac:dyDescent="0.25">
      <c r="A27" s="8"/>
    </row>
    <row r="28" spans="1:6" x14ac:dyDescent="0.25">
      <c r="A28" s="8"/>
      <c r="B28" s="4"/>
      <c r="C28" s="4"/>
      <c r="D28" s="4"/>
    </row>
  </sheetData>
  <mergeCells count="4">
    <mergeCell ref="F6:K6"/>
    <mergeCell ref="F2:K2"/>
    <mergeCell ref="L2:Q2"/>
    <mergeCell ref="F1:Q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0830-25FF-4D8A-8B86-1399CDCE8EED}">
  <dimension ref="A1:L13"/>
  <sheetViews>
    <sheetView zoomScale="175" zoomScaleNormal="175" workbookViewId="0">
      <selection activeCell="J10" sqref="J10"/>
    </sheetView>
  </sheetViews>
  <sheetFormatPr defaultRowHeight="15" x14ac:dyDescent="0.25"/>
  <cols>
    <col min="1" max="2" width="18.7109375" style="36" bestFit="1" customWidth="1"/>
    <col min="3" max="3" width="6.5703125" style="26" bestFit="1" customWidth="1"/>
    <col min="4" max="4" width="8.42578125" style="26" bestFit="1" customWidth="1"/>
    <col min="5" max="5" width="10" style="15" bestFit="1" customWidth="1"/>
    <col min="6" max="6" width="14.42578125" style="15" bestFit="1" customWidth="1"/>
    <col min="7" max="8" width="9.140625" style="30"/>
    <col min="9" max="9" width="13.42578125" style="30" bestFit="1" customWidth="1"/>
    <col min="10" max="10" width="12" style="26" bestFit="1" customWidth="1"/>
    <col min="11" max="11" width="9.140625" style="26" bestFit="1" customWidth="1"/>
    <col min="12" max="12" width="21" style="16" bestFit="1" customWidth="1"/>
  </cols>
  <sheetData>
    <row r="1" spans="1:12" ht="18" x14ac:dyDescent="0.25">
      <c r="A1" s="36" t="s">
        <v>61</v>
      </c>
      <c r="B1" s="36" t="s">
        <v>62</v>
      </c>
      <c r="C1" s="26" t="s">
        <v>16</v>
      </c>
      <c r="D1" s="26" t="s">
        <v>37</v>
      </c>
      <c r="E1" s="26" t="s">
        <v>63</v>
      </c>
      <c r="F1" s="37" t="s">
        <v>64</v>
      </c>
      <c r="G1" s="26" t="s">
        <v>18</v>
      </c>
      <c r="H1" s="26" t="s">
        <v>17</v>
      </c>
      <c r="I1" s="26" t="s">
        <v>65</v>
      </c>
      <c r="J1" s="26" t="s">
        <v>66</v>
      </c>
      <c r="K1" s="26" t="s">
        <v>48</v>
      </c>
      <c r="L1" s="26" t="s">
        <v>60</v>
      </c>
    </row>
    <row r="2" spans="1:12" x14ac:dyDescent="0.25">
      <c r="A2" s="36">
        <v>45474.47861111111</v>
      </c>
      <c r="B2" s="36">
        <v>45474.489525462966</v>
      </c>
      <c r="C2" s="26" t="s">
        <v>19</v>
      </c>
      <c r="D2" s="26" t="s">
        <v>38</v>
      </c>
      <c r="E2" s="15">
        <v>3.1420000000000003</v>
      </c>
      <c r="F2" s="15">
        <v>24.476986353144163</v>
      </c>
      <c r="G2" s="30">
        <f>AVERAGE(4.894,4.915,4.82,4.896,4.832)</f>
        <v>4.8714000000000004</v>
      </c>
      <c r="H2" s="30">
        <f>AVERAGE(4.851,4.882,4.85,4.888,4.842)</f>
        <v>4.8625999999999996</v>
      </c>
      <c r="I2" s="16">
        <v>12.4985</v>
      </c>
      <c r="J2" s="26">
        <v>50</v>
      </c>
      <c r="K2" s="26" t="s">
        <v>49</v>
      </c>
      <c r="L2" s="16">
        <f t="shared" ref="L2:L13" si="0">(B2-A2)*24*60</f>
        <v>15.716666673542932</v>
      </c>
    </row>
    <row r="3" spans="1:12" x14ac:dyDescent="0.25">
      <c r="A3" s="36">
        <v>45608.401331018518</v>
      </c>
      <c r="B3" s="36">
        <v>45608.412326388891</v>
      </c>
      <c r="C3" s="26" t="s">
        <v>20</v>
      </c>
      <c r="D3" s="26" t="s">
        <v>38</v>
      </c>
      <c r="E3" s="15">
        <v>3.1100000000000003</v>
      </c>
      <c r="F3" s="15">
        <v>24.227698140763319</v>
      </c>
      <c r="G3" s="30">
        <f>AVERAGE(4.913,4.817,4.936)</f>
        <v>4.8886666666666665</v>
      </c>
      <c r="H3" s="30">
        <f>AVERAGE(5.765,5.786,5.672)</f>
        <v>5.7409999999999997</v>
      </c>
      <c r="I3" s="16">
        <v>2.5013000000000001</v>
      </c>
      <c r="J3" s="26">
        <v>10</v>
      </c>
      <c r="K3" s="26" t="s">
        <v>49</v>
      </c>
      <c r="L3" s="16">
        <f t="shared" si="0"/>
        <v>15.833333336049691</v>
      </c>
    </row>
    <row r="4" spans="1:12" x14ac:dyDescent="0.25">
      <c r="A4" s="36">
        <v>45608.461828703701</v>
      </c>
      <c r="B4" s="36">
        <v>45608.505590277775</v>
      </c>
      <c r="C4" s="26" t="s">
        <v>53</v>
      </c>
      <c r="D4" s="26" t="s">
        <v>38</v>
      </c>
      <c r="E4" s="15">
        <v>3.1739999999999999</v>
      </c>
      <c r="F4" s="15">
        <v>24.726274565525003</v>
      </c>
      <c r="G4" s="30">
        <f>AVERAGE(5.386,5.322,5.356,5.402,5.44)</f>
        <v>5.3812000000000006</v>
      </c>
      <c r="H4" s="30">
        <f>AVERAGE(5.646,5.561,5.665,5.632,5.576)</f>
        <v>5.6159999999999997</v>
      </c>
      <c r="I4" s="16">
        <v>49.991599999999998</v>
      </c>
      <c r="J4" s="26">
        <v>50</v>
      </c>
      <c r="K4" s="26" t="s">
        <v>49</v>
      </c>
      <c r="L4" s="16">
        <f t="shared" si="0"/>
        <v>63.016666666371748</v>
      </c>
    </row>
    <row r="5" spans="1:12" x14ac:dyDescent="0.25">
      <c r="A5" s="36">
        <v>45608.562523148146</v>
      </c>
      <c r="B5" s="36">
        <v>45608.658796296295</v>
      </c>
      <c r="C5" s="26" t="s">
        <v>54</v>
      </c>
      <c r="D5" s="26" t="s">
        <v>38</v>
      </c>
      <c r="E5" s="15">
        <v>3.1439999999999997</v>
      </c>
      <c r="F5" s="15">
        <v>24.49256686641796</v>
      </c>
      <c r="G5" s="30">
        <f>AVERAGE(5.316,5.443,5.373,5.268,5.364,5.303)</f>
        <v>5.3445</v>
      </c>
      <c r="H5" s="30">
        <f>AVERAGE(5.551,5.468,5.522,5.488,5.593,5.474)</f>
        <v>5.5160000000000009</v>
      </c>
      <c r="I5" s="16">
        <v>99.989699999999999</v>
      </c>
      <c r="J5" s="26">
        <v>50</v>
      </c>
      <c r="K5" s="26" t="s">
        <v>49</v>
      </c>
      <c r="L5" s="16">
        <f t="shared" si="0"/>
        <v>138.63333333400078</v>
      </c>
    </row>
    <row r="6" spans="1:12" x14ac:dyDescent="0.25">
      <c r="A6" s="36">
        <v>45609.46597222222</v>
      </c>
      <c r="B6" s="36">
        <v>45609.641724537039</v>
      </c>
      <c r="C6" s="26" t="s">
        <v>55</v>
      </c>
      <c r="D6" s="26" t="s">
        <v>38</v>
      </c>
      <c r="E6" s="15">
        <v>3.1560000000000001</v>
      </c>
      <c r="F6" s="15">
        <v>24.586049946060783</v>
      </c>
      <c r="G6" s="30">
        <f>AVERAGE(5.484,5.449,5.357,4.928,5.571,5.487)</f>
        <v>5.3793333333333342</v>
      </c>
      <c r="H6" s="30">
        <f>AVERAGE(5.522,5.62,5.554,5.536,5.697,5.572)</f>
        <v>5.5834999999999999</v>
      </c>
      <c r="I6" s="16">
        <v>199.99789999999999</v>
      </c>
      <c r="J6" s="26">
        <v>50</v>
      </c>
      <c r="K6" s="26" t="s">
        <v>49</v>
      </c>
      <c r="L6" s="16">
        <f t="shared" si="0"/>
        <v>253.08333333930932</v>
      </c>
    </row>
    <row r="7" spans="1:12" x14ac:dyDescent="0.25">
      <c r="A7" s="36">
        <v>45611.385115740741</v>
      </c>
      <c r="B7" s="36">
        <v>45611.741365740738</v>
      </c>
      <c r="C7" s="26" t="s">
        <v>35</v>
      </c>
      <c r="D7" s="26" t="s">
        <v>38</v>
      </c>
      <c r="E7" s="15">
        <v>3.2</v>
      </c>
      <c r="F7" s="15">
        <v>24.928821238084442</v>
      </c>
      <c r="G7" s="30">
        <f>AVERAGE(5.416,5.427,5.38,5.274,5.326,5.3646)</f>
        <v>5.3646000000000003</v>
      </c>
      <c r="H7" s="30">
        <f>AVERAGE(5.373,5.215,5.323,5.408,5.297)</f>
        <v>5.3232000000000008</v>
      </c>
      <c r="I7" s="16">
        <v>391.15</v>
      </c>
      <c r="J7" s="26">
        <v>50</v>
      </c>
      <c r="K7" s="26" t="s">
        <v>49</v>
      </c>
      <c r="L7" s="16">
        <f t="shared" si="0"/>
        <v>512.99999999580905</v>
      </c>
    </row>
    <row r="8" spans="1:12" x14ac:dyDescent="0.25">
      <c r="A8" s="36">
        <v>45616.37222222222</v>
      </c>
      <c r="B8" s="36">
        <v>45616.414629629631</v>
      </c>
      <c r="C8" s="26" t="s">
        <v>36</v>
      </c>
      <c r="D8" s="26" t="s">
        <v>38</v>
      </c>
      <c r="E8" s="15">
        <v>3.1719999999999997</v>
      </c>
      <c r="F8" s="15">
        <v>24.710694052251199</v>
      </c>
      <c r="G8" s="30">
        <f>AVERAGE(5.071,4.749,4.952)</f>
        <v>4.9240000000000004</v>
      </c>
      <c r="H8" s="30">
        <f>AVERAGE(5.055,5.412,5.138)</f>
        <v>5.2016666666666662</v>
      </c>
      <c r="I8" s="16">
        <v>10.002700000000001</v>
      </c>
      <c r="J8" s="26">
        <v>10</v>
      </c>
      <c r="K8" s="26" t="s">
        <v>50</v>
      </c>
      <c r="L8" s="16">
        <f t="shared" si="0"/>
        <v>61.066666671540588</v>
      </c>
    </row>
    <row r="9" spans="1:12" x14ac:dyDescent="0.25">
      <c r="A9" s="36">
        <v>45616.444710648146</v>
      </c>
      <c r="B9" s="36">
        <v>45616.48846064815</v>
      </c>
      <c r="C9" s="26" t="s">
        <v>56</v>
      </c>
      <c r="D9" s="26" t="s">
        <v>38</v>
      </c>
      <c r="E9" s="15">
        <v>2.9660000000000002</v>
      </c>
      <c r="F9" s="15">
        <v>23.105901185049515</v>
      </c>
      <c r="G9" s="30">
        <f>AVERAGE(5.082,4.996,5.158,5.058)</f>
        <v>5.0735000000000001</v>
      </c>
      <c r="H9" s="30">
        <f>AVERAGE(5.236,5.42,5.351,5.217)</f>
        <v>5.3059999999999992</v>
      </c>
      <c r="I9" s="16">
        <v>30.003399999999999</v>
      </c>
      <c r="J9" s="26">
        <v>30</v>
      </c>
      <c r="K9" s="26" t="s">
        <v>50</v>
      </c>
      <c r="L9" s="16">
        <f t="shared" si="0"/>
        <v>63.000000006286427</v>
      </c>
    </row>
    <row r="10" spans="1:12" x14ac:dyDescent="0.25">
      <c r="A10" s="36">
        <v>45616.597754629627</v>
      </c>
      <c r="B10" s="36">
        <v>45616.643368055556</v>
      </c>
      <c r="C10" s="26" t="s">
        <v>57</v>
      </c>
      <c r="D10" s="26" t="s">
        <v>38</v>
      </c>
      <c r="E10" s="15">
        <v>3.11</v>
      </c>
      <c r="F10" s="15">
        <v>24.227698140763316</v>
      </c>
      <c r="G10" s="30">
        <f>AVERAGE(5.397,5.481,5.246,5.323)</f>
        <v>5.3617500000000007</v>
      </c>
      <c r="H10" s="30">
        <f>AVERAGE(5.248,5.308,5.195,5.208)</f>
        <v>5.2397500000000008</v>
      </c>
      <c r="I10" s="16">
        <v>49.997100000000003</v>
      </c>
      <c r="J10" s="26">
        <v>50</v>
      </c>
      <c r="K10" s="26" t="s">
        <v>50</v>
      </c>
      <c r="L10" s="16">
        <f t="shared" si="0"/>
        <v>65.683333338238299</v>
      </c>
    </row>
    <row r="11" spans="1:12" x14ac:dyDescent="0.25">
      <c r="A11" s="36">
        <v>45617.406076388892</v>
      </c>
      <c r="B11" s="36">
        <v>45617.455775462964</v>
      </c>
      <c r="C11" s="26" t="s">
        <v>58</v>
      </c>
      <c r="D11" s="26" t="s">
        <v>39</v>
      </c>
      <c r="E11" s="15">
        <v>1.6799999999999997</v>
      </c>
      <c r="F11" s="15">
        <v>6.6761624068510379</v>
      </c>
      <c r="G11" s="30">
        <f>AVERAGE(5.262,5.231,5.164,5.143)</f>
        <v>5.1999999999999993</v>
      </c>
      <c r="H11" s="30">
        <f>AVERAGE(5.371,5.26,5.066,5.111)</f>
        <v>5.202</v>
      </c>
      <c r="I11" s="16">
        <v>50.068300000000001</v>
      </c>
      <c r="J11" s="26">
        <v>50</v>
      </c>
      <c r="K11" s="26" t="s">
        <v>50</v>
      </c>
      <c r="L11" s="16">
        <f t="shared" si="0"/>
        <v>71.566666663857177</v>
      </c>
    </row>
    <row r="12" spans="1:12" x14ac:dyDescent="0.25">
      <c r="A12" s="36">
        <v>45617.489502314813</v>
      </c>
      <c r="B12" s="36">
        <v>45617.531168981484</v>
      </c>
      <c r="C12" s="26" t="s">
        <v>59</v>
      </c>
      <c r="D12" s="26" t="s">
        <v>39</v>
      </c>
      <c r="E12" s="15">
        <v>1.6859999999999999</v>
      </c>
      <c r="F12" s="15">
        <v>6.7000058440183654</v>
      </c>
      <c r="G12" s="30">
        <f>AVERAGE(5.407,5.223,5.371,5.357)</f>
        <v>5.3394999999999992</v>
      </c>
      <c r="H12" s="30">
        <f>AVERAGE(5.257,5.168,5.043,5.114)</f>
        <v>5.1455000000000002</v>
      </c>
      <c r="I12" s="16">
        <v>49.8157</v>
      </c>
      <c r="J12" s="26">
        <v>50</v>
      </c>
      <c r="K12" s="26" t="s">
        <v>50</v>
      </c>
      <c r="L12" s="16">
        <f t="shared" si="0"/>
        <v>60.000000006984919</v>
      </c>
    </row>
    <row r="13" spans="1:12" x14ac:dyDescent="0.25">
      <c r="A13" s="36">
        <v>45642</v>
      </c>
      <c r="B13" s="36">
        <v>45642</v>
      </c>
      <c r="C13" s="26" t="s">
        <v>67</v>
      </c>
      <c r="D13" s="26" t="s">
        <v>68</v>
      </c>
      <c r="E13" s="15" t="s">
        <v>69</v>
      </c>
      <c r="F13" s="15" t="s">
        <v>69</v>
      </c>
      <c r="G13" s="30">
        <v>5.33</v>
      </c>
      <c r="H13" s="30">
        <v>5.35</v>
      </c>
      <c r="I13" s="16">
        <v>8.3277999999999999</v>
      </c>
      <c r="J13" s="26">
        <v>50</v>
      </c>
      <c r="K13" s="26" t="s">
        <v>49</v>
      </c>
      <c r="L13" s="16">
        <f t="shared" si="0"/>
        <v>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Masses</vt:lpstr>
      <vt:lpstr>Expected activities</vt:lpstr>
      <vt:lpstr>Irradiations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2025-03-10T10:47:37Z</dcterms:modified>
</cp:coreProperties>
</file>