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RE valores (Lucro Real)" sheetId="1" state="visible" r:id="rId1"/>
    <sheet name="Plano de ação fiscal" sheetId="2" state="visible" r:id="rId2"/>
    <sheet name="DRE" sheetId="3" state="visible" r:id="rId3"/>
    <sheet name="Premissas DRE" sheetId="4" state="visible" r:id="rId4"/>
    <sheet name="Resumo" sheetId="5" state="visible" r:id="rId5"/>
    <sheet name="Frete por transportadora" sheetId="6" state="visible" r:id="rId6"/>
    <sheet name="Frete de venda por cliente" sheetId="7" state="visible" r:id="rId7"/>
    <sheet name="NF-e por fornecedor" sheetId="8" state="visible" r:id="rId8"/>
    <sheet name="Conciliação frete pago" sheetId="9" state="visible" r:id="rId9"/>
    <sheet name="Notas" sheetId="10" state="visible" r:id="rId10"/>
    <sheet name="Pendentes" sheetId="11" state="visible" r:id="rId11"/>
    <sheet name="Planilha1" sheetId="12" state="visible" r:id="rId12"/>
    <sheet name="Planilha2" sheetId="13" state="visible" r:id="rId13"/>
    <sheet name="Planilha3" sheetId="14" state="visible" r:id="rId14"/>
  </sheets>
  <definedNames>
    <definedName name="_xlnm._FilterDatabase" localSheetId="9" hidden="1">'Notas'!$A$1:$AH$5803</definedName>
    <definedName name="_xlnm._FilterDatabase" localSheetId="10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  <numFmt numFmtId="167" formatCode="mmm/yy"/>
    <numFmt numFmtId="168" formatCode="#,##0.00;[Red](#,##0.00);&quot;-&quot;"/>
  </numFmts>
  <fonts count="21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  <font>
      <b val="1"/>
      <color rgb="001F3864"/>
      <sz val="14"/>
    </font>
    <font>
      <name val="Calibri"/>
      <i val="1"/>
      <color rgb="00595959"/>
    </font>
    <font>
      <name val="Calibri"/>
      <b val="1"/>
    </font>
    <font>
      <name val="Calibri"/>
      <b val="1"/>
      <color rgb="00FFFFFF"/>
    </font>
    <font>
      <name val="Calibri"/>
      <color rgb="000000FF"/>
    </font>
    <font>
      <b val="1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8" borderId="0" applyAlignment="1" pivotButton="0" quotePrefix="0" xfId="0">
      <alignment horizontal="center" vertical="center"/>
    </xf>
    <xf numFmtId="167" fontId="18" fillId="8" borderId="0" applyAlignment="1" pivotButton="0" quotePrefix="0" xfId="0">
      <alignment horizontal="center" vertical="center"/>
    </xf>
    <xf numFmtId="0" fontId="18" fillId="9" borderId="0" pivotButton="0" quotePrefix="0" xfId="0"/>
    <xf numFmtId="0" fontId="0" fillId="0" borderId="0" applyAlignment="1" pivotButton="0" quotePrefix="0" xfId="0">
      <alignment indent="2"/>
    </xf>
    <xf numFmtId="168" fontId="19" fillId="10" borderId="0" pivotButton="0" quotePrefix="0" xfId="0"/>
    <xf numFmtId="168" fontId="0" fillId="0" borderId="0" pivotButton="0" quotePrefix="0" xfId="0"/>
    <xf numFmtId="0" fontId="17" fillId="11" borderId="3" pivotButton="0" quotePrefix="0" xfId="0"/>
    <xf numFmtId="168" fontId="17" fillId="11" borderId="3" pivotButton="0" quotePrefix="0" xfId="0"/>
    <xf numFmtId="0" fontId="17" fillId="12" borderId="0" pivotButton="0" quotePrefix="0" xfId="0"/>
    <xf numFmtId="168" fontId="17" fillId="12" borderId="0" pivotButton="0" quotePrefix="0" xfId="0"/>
    <xf numFmtId="168" fontId="17" fillId="0" borderId="0" pivotButton="0" quotePrefix="0" xfId="0"/>
    <xf numFmtId="0" fontId="19" fillId="10" borderId="0" pivotButton="0" quotePrefix="0" xfId="0"/>
    <xf numFmtId="0" fontId="16" fillId="0" borderId="0" applyAlignment="1" pivotButton="0" quotePrefix="0" xfId="0">
      <alignment vertical="top" wrapText="1"/>
    </xf>
    <xf numFmtId="0" fontId="0" fillId="13" borderId="0" pivotButton="0" quotePrefix="0" xfId="0"/>
    <xf numFmtId="0" fontId="18" fillId="8" borderId="0" pivotButton="0" quotePrefix="0" xfId="0"/>
    <xf numFmtId="0" fontId="0" fillId="0" borderId="0" applyAlignment="1" pivotButton="0" quotePrefix="0" xfId="0">
      <alignment vertical="top" wrapText="1"/>
    </xf>
    <xf numFmtId="167" fontId="18" fillId="8" borderId="0" applyAlignment="1" pivotButton="0" quotePrefix="0" xfId="0">
      <alignment horizontal="center" vertical="center"/>
    </xf>
    <xf numFmtId="168" fontId="19" fillId="10" borderId="0" pivotButton="0" quotePrefix="0" xfId="0"/>
    <xf numFmtId="168" fontId="0" fillId="0" borderId="0" pivotButton="0" quotePrefix="0" xfId="0"/>
    <xf numFmtId="168" fontId="17" fillId="11" borderId="3" pivotButton="0" quotePrefix="0" xfId="0"/>
    <xf numFmtId="168" fontId="17" fillId="12" borderId="0" pivotButton="0" quotePrefix="0" xfId="0"/>
    <xf numFmtId="168" fontId="17" fillId="0" borderId="0" pivotButton="0" quotePrefix="0" xfId="0"/>
    <xf numFmtId="0" fontId="20" fillId="0" borderId="0" pivotButton="0" quotePrefix="0" xfId="0"/>
    <xf numFmtId="4" fontId="20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72" customWidth="1" min="1" max="1"/>
  </cols>
  <sheetData>
    <row r="1">
      <c r="A1" t="inlineStr">
        <is>
          <t>VINCO — DRE gerencial 2026 — LUCRO REAL (jan–set, competência = mês de emissão)</t>
        </is>
      </c>
    </row>
    <row r="2">
      <c r="A2" t="inlineStr">
        <is>
          <t>Receita: NF-e de saída Omie. Custos: compras conferidas no Omie líquidas de ICMS, IPI, PIS e COFINS (crédito pelo XML). Sem variação de estoque. CAPEX e transferências fora.</t>
        </is>
      </c>
    </row>
    <row r="4">
      <c r="A4" t="inlineStr">
        <is>
          <t>Linha</t>
        </is>
      </c>
      <c r="B4" t="inlineStr">
        <is>
          <t>Jan</t>
        </is>
      </c>
      <c r="C4" t="inlineStr">
        <is>
          <t>Fev</t>
        </is>
      </c>
      <c r="D4" t="inlineStr">
        <is>
          <t>Mar</t>
        </is>
      </c>
      <c r="E4" t="inlineStr">
        <is>
          <t>Abr</t>
        </is>
      </c>
      <c r="F4" t="inlineStr">
        <is>
          <t>Mai</t>
        </is>
      </c>
      <c r="G4" t="inlineStr">
        <is>
          <t>Jun</t>
        </is>
      </c>
      <c r="H4" t="inlineStr">
        <is>
          <t>Jul</t>
        </is>
      </c>
      <c r="I4" t="inlineStr">
        <is>
          <t>Ago</t>
        </is>
      </c>
      <c r="J4" t="inlineStr">
        <is>
          <t>Set</t>
        </is>
      </c>
      <c r="K4" t="inlineStr">
        <is>
          <t>Total 2026</t>
        </is>
      </c>
    </row>
    <row r="5">
      <c r="A5" s="72" t="inlineStr">
        <is>
          <t>Receita bruta de vendas</t>
        </is>
      </c>
      <c r="B5" s="73" t="n">
        <v>3647072.42</v>
      </c>
      <c r="C5" s="73" t="n">
        <v>4713136.98</v>
      </c>
      <c r="D5" s="73" t="n">
        <v>5050781.43</v>
      </c>
      <c r="E5" s="73" t="n">
        <v>5639035.14</v>
      </c>
      <c r="F5" s="73" t="n">
        <v>5829490.95</v>
      </c>
      <c r="G5" s="73" t="n">
        <v>6374350.62</v>
      </c>
      <c r="H5" s="73" t="n">
        <v>6015302.71</v>
      </c>
      <c r="I5" s="73" t="n">
        <v>6238651.9</v>
      </c>
      <c r="J5" s="73" t="n">
        <v>6169651.9</v>
      </c>
      <c r="K5" s="73" t="n">
        <v>49677474.05</v>
      </c>
    </row>
    <row r="6">
      <c r="A6" t="inlineStr">
        <is>
          <t>(-) ICMS</t>
        </is>
      </c>
      <c r="B6" s="44" t="n">
        <v>-413871.23</v>
      </c>
      <c r="C6" s="44" t="n">
        <v>-493617.73</v>
      </c>
      <c r="D6" s="44" t="n">
        <v>-597562.53</v>
      </c>
      <c r="E6" s="44" t="n">
        <v>-607141.96</v>
      </c>
      <c r="F6" s="44" t="n">
        <v>-642921.3199999999</v>
      </c>
      <c r="G6" s="44" t="n">
        <v>-713964.34</v>
      </c>
      <c r="H6" s="44" t="n">
        <v>-691443.73</v>
      </c>
      <c r="I6" s="44" t="n">
        <v>-725996.21</v>
      </c>
      <c r="J6" s="44" t="n">
        <v>-666541.54</v>
      </c>
      <c r="K6" s="44" t="n">
        <v>-5553060.59</v>
      </c>
    </row>
    <row r="7">
      <c r="A7" t="inlineStr">
        <is>
          <t>(-) PIS 1,65%</t>
        </is>
      </c>
      <c r="B7" s="44" t="n">
        <v>-55673.68</v>
      </c>
      <c r="C7" s="44" t="n">
        <v>-67040.09</v>
      </c>
      <c r="D7" s="44" t="n">
        <v>-81172.32000000001</v>
      </c>
      <c r="E7" s="44" t="n">
        <v>-82567.92</v>
      </c>
      <c r="F7" s="44" t="n">
        <v>-87130.16</v>
      </c>
      <c r="G7" s="44" t="n">
        <v>-95592.77</v>
      </c>
      <c r="H7" s="44" t="n">
        <v>-91990.95</v>
      </c>
      <c r="I7" s="44" t="n">
        <v>-96411.28</v>
      </c>
      <c r="J7" s="44" t="n">
        <v>-89781.28</v>
      </c>
      <c r="K7" s="44" t="n">
        <v>-747360.45</v>
      </c>
    </row>
    <row r="8">
      <c r="A8" t="inlineStr">
        <is>
          <t>(-) COFINS 7,6%</t>
        </is>
      </c>
      <c r="B8" s="44" t="n">
        <v>-256431.83</v>
      </c>
      <c r="C8" s="44" t="n">
        <v>-308786.78</v>
      </c>
      <c r="D8" s="44" t="n">
        <v>-373882.83</v>
      </c>
      <c r="E8" s="44" t="n">
        <v>-380308.77</v>
      </c>
      <c r="F8" s="44" t="n">
        <v>-401320.11</v>
      </c>
      <c r="G8" s="44" t="n">
        <v>-440302.31</v>
      </c>
      <c r="H8" s="44" t="n">
        <v>-423714.58</v>
      </c>
      <c r="I8" s="44" t="n">
        <v>-444077.2</v>
      </c>
      <c r="J8" s="44" t="n">
        <v>-413536.98</v>
      </c>
      <c r="K8" s="44" t="n">
        <v>-3442361.39</v>
      </c>
    </row>
    <row r="9">
      <c r="A9" t="inlineStr">
        <is>
          <t>(-) Devoluções de venda</t>
        </is>
      </c>
      <c r="B9" s="44" t="n">
        <v>-62146.9</v>
      </c>
      <c r="C9" s="44" t="n">
        <v>-42739.8</v>
      </c>
      <c r="D9" s="44" t="n">
        <v>-47443.2</v>
      </c>
      <c r="E9" s="44" t="n">
        <v>-48002.2</v>
      </c>
      <c r="F9" s="44" t="n">
        <v>-89020.91</v>
      </c>
      <c r="G9" s="44" t="n">
        <v>-22726.6</v>
      </c>
      <c r="H9" s="44" t="n">
        <v>-51622.25</v>
      </c>
      <c r="I9" s="44" t="n">
        <v>-14564.6</v>
      </c>
      <c r="J9" s="44" t="n">
        <v>-26963.65</v>
      </c>
      <c r="K9" s="44" t="n">
        <v>-405230.11</v>
      </c>
    </row>
    <row r="10">
      <c r="A10" t="inlineStr">
        <is>
          <t>(-) Descontos incondicionais</t>
        </is>
      </c>
      <c r="B10" s="44" t="n">
        <v>-126791.49</v>
      </c>
      <c r="C10" s="44" t="n">
        <v>-217047.23</v>
      </c>
      <c r="D10" s="44" t="n">
        <v>-113137.76</v>
      </c>
      <c r="E10" s="44" t="n">
        <v>-227343.36</v>
      </c>
      <c r="F10" s="44" t="n">
        <v>-198144.2</v>
      </c>
      <c r="G10" s="44" t="n">
        <v>-226517.75</v>
      </c>
      <c r="H10" s="44" t="n">
        <v>-209734.77</v>
      </c>
      <c r="I10" s="44" t="n">
        <v>-226208.88</v>
      </c>
      <c r="J10" s="44" t="n">
        <v>-277562.32</v>
      </c>
      <c r="K10" s="44" t="n">
        <v>-1822487.76</v>
      </c>
    </row>
    <row r="11">
      <c r="A11" s="72" t="inlineStr">
        <is>
          <t>RECEITA LÍQUIDA</t>
        </is>
      </c>
      <c r="B11" s="73" t="n">
        <v>2732157.29</v>
      </c>
      <c r="C11" s="73" t="n">
        <v>3583905.35</v>
      </c>
      <c r="D11" s="73" t="n">
        <v>3837582.79</v>
      </c>
      <c r="E11" s="73" t="n">
        <v>4293670.93</v>
      </c>
      <c r="F11" s="73" t="n">
        <v>4410954.25</v>
      </c>
      <c r="G11" s="73" t="n">
        <v>4875246.85</v>
      </c>
      <c r="H11" s="73" t="n">
        <v>4546796.43</v>
      </c>
      <c r="I11" s="73" t="n">
        <v>4731393.73</v>
      </c>
      <c r="J11" s="73" t="n">
        <v>4695266.13</v>
      </c>
      <c r="K11" s="73" t="n">
        <v>37706973.75</v>
      </c>
    </row>
    <row r="12">
      <c r="A12" t="inlineStr">
        <is>
          <t>(-) Custo líquido das compras (CMV s/ variação de estoque)</t>
        </is>
      </c>
      <c r="B12" s="44" t="n">
        <v>-2595234.94</v>
      </c>
      <c r="C12" s="44" t="n">
        <v>-1971421.2</v>
      </c>
      <c r="D12" s="44" t="n">
        <v>-1811097.27</v>
      </c>
      <c r="E12" s="44" t="n">
        <v>-2870937.46</v>
      </c>
      <c r="F12" s="44" t="n">
        <v>-4037361.4</v>
      </c>
      <c r="G12" s="44" t="n">
        <v>-2946679.69</v>
      </c>
      <c r="H12" s="44" t="n">
        <v>-4549977.39</v>
      </c>
      <c r="I12" s="44" t="n">
        <v>-3911998.56</v>
      </c>
      <c r="J12" s="44" t="n">
        <v>-759097.4</v>
      </c>
      <c r="K12" s="44" t="n">
        <v>-25453805.31</v>
      </c>
    </row>
    <row r="13">
      <c r="A13" s="72" t="inlineStr">
        <is>
          <t>LUCRO BRUTO (aprox.)</t>
        </is>
      </c>
      <c r="B13" s="73" t="n">
        <v>136922.35</v>
      </c>
      <c r="C13" s="73" t="n">
        <v>1612484.15</v>
      </c>
      <c r="D13" s="73" t="n">
        <v>2026485.52</v>
      </c>
      <c r="E13" s="73" t="n">
        <v>1422733.47</v>
      </c>
      <c r="F13" s="73" t="n">
        <v>373592.85</v>
      </c>
      <c r="G13" s="73" t="n">
        <v>1928567.16</v>
      </c>
      <c r="H13" s="73" t="n">
        <v>-3180.96</v>
      </c>
      <c r="I13" s="73" t="n">
        <v>819395.17</v>
      </c>
      <c r="J13" s="73" t="n">
        <v>3936168.73</v>
      </c>
      <c r="K13" s="73" t="n">
        <v>12253168.44</v>
      </c>
    </row>
    <row r="14">
      <c r="A14" t="inlineStr">
        <is>
          <t>(-) Despesas comerciais (inclui frete de venda)</t>
        </is>
      </c>
      <c r="B14" s="44" t="n">
        <v>-33184.92</v>
      </c>
      <c r="C14" s="44" t="n">
        <v>-30407.7</v>
      </c>
      <c r="D14" s="44" t="n">
        <v>-65358.18</v>
      </c>
      <c r="E14" s="44" t="n">
        <v>-110459.21</v>
      </c>
      <c r="F14" s="44" t="n">
        <v>-77043</v>
      </c>
      <c r="G14" s="44" t="n">
        <v>-103893.49</v>
      </c>
      <c r="H14" s="44" t="n">
        <v>-97279.85000000001</v>
      </c>
      <c r="I14" s="44" t="n">
        <v>-362172.51</v>
      </c>
      <c r="J14" s="44" t="n">
        <v>-272894.55</v>
      </c>
      <c r="K14" s="44" t="n">
        <v>-1152693.41</v>
      </c>
    </row>
    <row r="15">
      <c r="A15" t="inlineStr">
        <is>
          <t>(-) Despesas com pessoal</t>
        </is>
      </c>
      <c r="B15" s="44" t="n">
        <v>-1421.99</v>
      </c>
      <c r="C15" s="44" t="n">
        <v>-14251.1</v>
      </c>
      <c r="D15" s="44" t="n">
        <v>-3195.53</v>
      </c>
      <c r="E15" s="44" t="n">
        <v>-6326.26</v>
      </c>
      <c r="F15" s="44" t="n">
        <v>-10140.04</v>
      </c>
      <c r="G15" s="44" t="n">
        <v>-10449</v>
      </c>
      <c r="H15" s="44" t="n">
        <v>-28548.09</v>
      </c>
      <c r="I15" s="44" t="n">
        <v>-12674.72</v>
      </c>
      <c r="J15" s="44" t="n">
        <v>-1083.24</v>
      </c>
      <c r="K15" s="44" t="n">
        <v>-88089.97</v>
      </c>
    </row>
    <row r="16">
      <c r="A16" t="inlineStr">
        <is>
          <t>(-) Despesas administrativas</t>
        </is>
      </c>
      <c r="B16" s="44" t="n">
        <v>-3836.29</v>
      </c>
      <c r="C16" s="44" t="n">
        <v>-1840.7</v>
      </c>
      <c r="D16" s="44" t="n">
        <v>-4809.5</v>
      </c>
      <c r="E16" s="44" t="n">
        <v>-16253.55</v>
      </c>
      <c r="F16" s="44" t="n">
        <v>-9946.09</v>
      </c>
      <c r="G16" s="44" t="n">
        <v>-4784.84</v>
      </c>
      <c r="H16" s="44" t="n">
        <v>-10810.29</v>
      </c>
      <c r="I16" s="44" t="n">
        <v>-7401.11</v>
      </c>
      <c r="J16" s="44" t="n">
        <v>-6052.35</v>
      </c>
      <c r="K16" s="44" t="n">
        <v>-65734.72</v>
      </c>
    </row>
    <row r="17">
      <c r="A17" t="inlineStr">
        <is>
          <t>(-) Outras (imóvel, veículos, sede)</t>
        </is>
      </c>
      <c r="B17" s="44" t="n">
        <v>-7065.56</v>
      </c>
      <c r="C17" s="44" t="n">
        <v>-14637.23</v>
      </c>
      <c r="D17" s="44" t="n">
        <v>-14880</v>
      </c>
      <c r="E17" s="44" t="n">
        <v>-7472.47</v>
      </c>
      <c r="F17" s="44" t="n">
        <v>-265</v>
      </c>
      <c r="G17" s="44" t="n">
        <v>-1736.76</v>
      </c>
      <c r="H17" s="44" t="n">
        <v>-21385</v>
      </c>
      <c r="I17" s="44" t="n">
        <v>-3612.4</v>
      </c>
      <c r="J17" s="44" t="n">
        <v>-22266.62</v>
      </c>
      <c r="K17" s="44" t="n">
        <v>-93321.03999999999</v>
      </c>
    </row>
    <row r="18">
      <c r="A18" s="72" t="inlineStr">
        <is>
          <t>RESULTADO OPERACIONAL — crédito pelo XML (cenário C)</t>
        </is>
      </c>
      <c r="B18" s="73" t="n">
        <v>91413.59</v>
      </c>
      <c r="C18" s="73" t="n">
        <v>1551347.42</v>
      </c>
      <c r="D18" s="73" t="n">
        <v>1938242.31</v>
      </c>
      <c r="E18" s="73" t="n">
        <v>1282221.98</v>
      </c>
      <c r="F18" s="73" t="n">
        <v>276198.72</v>
      </c>
      <c r="G18" s="73" t="n">
        <v>1807703.07</v>
      </c>
      <c r="H18" s="73" t="n">
        <v>-161204.19</v>
      </c>
      <c r="I18" s="73" t="n">
        <v>433534.43</v>
      </c>
      <c r="J18" s="73" t="n">
        <v>3633871.97</v>
      </c>
      <c r="K18" s="73" t="n">
        <v>10853329.3</v>
      </c>
    </row>
    <row r="19">
      <c r="A19" t="inlineStr">
        <is>
          <t>(-) Ajuste conservador: ICMS+IPI das NF-e x.556 sem crédito</t>
        </is>
      </c>
      <c r="B19" s="44" t="n">
        <v>-268397.67</v>
      </c>
      <c r="C19" s="44" t="n">
        <v>-167914.72</v>
      </c>
      <c r="D19" s="44" t="n">
        <v>-36092.9</v>
      </c>
      <c r="E19" s="44" t="n">
        <v>-53625.32</v>
      </c>
      <c r="F19" s="44" t="n">
        <v>-657909.8199999999</v>
      </c>
      <c r="G19" s="44" t="n">
        <v>-10000.03</v>
      </c>
      <c r="H19" s="44" t="n">
        <v>-174037.22</v>
      </c>
      <c r="I19" s="44" t="n">
        <v>-26400.94</v>
      </c>
      <c r="J19" s="44" t="n">
        <v>-31801.14</v>
      </c>
      <c r="K19" s="44" t="n">
        <v>-1426179.76</v>
      </c>
    </row>
    <row r="20">
      <c r="A20" s="72" t="inlineStr">
        <is>
          <t>RESULTADO OPERACIONAL — conservador (x.556 sem crédito de ICMS/IPI)</t>
        </is>
      </c>
      <c r="B20" s="73" t="n">
        <v>-176984.08</v>
      </c>
      <c r="C20" s="73" t="n">
        <v>1383432.7</v>
      </c>
      <c r="D20" s="73" t="n">
        <v>1902149.41</v>
      </c>
      <c r="E20" s="73" t="n">
        <v>1228596.66</v>
      </c>
      <c r="F20" s="73" t="n">
        <v>-381711.1</v>
      </c>
      <c r="G20" s="73" t="n">
        <v>1797703.04</v>
      </c>
      <c r="H20" s="73" t="n">
        <v>-335241.41</v>
      </c>
      <c r="I20" s="73" t="n">
        <v>407133.49</v>
      </c>
      <c r="J20" s="73" t="n">
        <v>3602070.83</v>
      </c>
      <c r="K20" s="73" t="n">
        <v>9427149.539999999</v>
      </c>
    </row>
    <row r="22">
      <c r="A22" t="inlineStr">
        <is>
          <t>IRPJ 15% + adicional 10% (&gt; R$ 60 mil/tri) + CSLL 9% — trimestral, sobre o resultado operacional (lucro contábil sem ajustes LALUR)</t>
        </is>
      </c>
    </row>
    <row r="23">
      <c r="A23" t="inlineStr">
        <is>
          <t>Trimestre</t>
        </is>
      </c>
      <c r="B23" t="inlineStr">
        <is>
          <t>Resultado (crédito XML)</t>
        </is>
      </c>
      <c r="C23" t="inlineStr">
        <is>
          <t>IRPJ+CSLL</t>
        </is>
      </c>
      <c r="D23" t="inlineStr">
        <is>
          <t>Resultado (conservador)</t>
        </is>
      </c>
      <c r="E23" t="inlineStr">
        <is>
          <t>IRPJ+CSLL</t>
        </is>
      </c>
    </row>
    <row r="24">
      <c r="A24" t="inlineStr">
        <is>
          <t>1º tri</t>
        </is>
      </c>
      <c r="B24" s="44" t="n">
        <v>3581003.32</v>
      </c>
      <c r="C24" s="44" t="n">
        <v>1211541.13</v>
      </c>
      <c r="D24" s="44" t="n">
        <v>3108598.03</v>
      </c>
      <c r="E24" s="44" t="n">
        <v>1050923.33</v>
      </c>
    </row>
    <row r="25">
      <c r="A25" t="inlineStr">
        <is>
          <t>2º tri</t>
        </is>
      </c>
      <c r="B25" s="44" t="n">
        <v>3366123.77</v>
      </c>
      <c r="C25" s="44" t="n">
        <v>1138482.08</v>
      </c>
      <c r="D25" s="44" t="n">
        <v>2644588.6</v>
      </c>
      <c r="E25" s="44" t="n">
        <v>893160.12</v>
      </c>
    </row>
    <row r="26">
      <c r="A26" t="inlineStr">
        <is>
          <t>3º tri</t>
        </is>
      </c>
      <c r="B26" s="44" t="n">
        <v>3906202.21</v>
      </c>
      <c r="C26" s="44" t="n">
        <v>1322108.75</v>
      </c>
      <c r="D26" s="44" t="n">
        <v>3673962.91</v>
      </c>
      <c r="E26" s="44" t="n">
        <v>1243147.39</v>
      </c>
    </row>
    <row r="27">
      <c r="A27" t="inlineStr">
        <is>
          <t>Total</t>
        </is>
      </c>
      <c r="B27" s="44" t="n">
        <v>10853329.3</v>
      </c>
      <c r="C27" s="44" t="n">
        <v>3672131.96</v>
      </c>
      <c r="D27" s="44" t="n">
        <v>9427149.539999999</v>
      </c>
      <c r="E27" s="44" t="n">
        <v>3187230.84</v>
      </c>
    </row>
    <row r="28">
      <c r="A28" t="inlineStr">
        <is>
          <t>RESULTADO APÓS IRPJ/CSLL (estimado)</t>
        </is>
      </c>
      <c r="B28" s="44" t="n">
        <v>7181197.34</v>
      </c>
      <c r="D28" s="44" t="n">
        <v>6239918.7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95" customWidth="1" min="2" max="2"/>
    <col width="55" customWidth="1" min="3" max="3"/>
    <col width="24" customWidth="1" min="4" max="4"/>
    <col width="60" customWidth="1" min="6" max="6"/>
  </cols>
  <sheetData>
    <row r="1">
      <c r="A1" t="inlineStr">
        <is>
          <t>PLANO DE AÇÃO FISCAL — Vinco — Lucro Real — jan–set/2026 (especialista fiscal)</t>
        </is>
      </c>
    </row>
    <row r="3">
      <c r="A3" s="72" t="inlineStr">
        <is>
          <t>#</t>
        </is>
      </c>
      <c r="B3" s="72" t="inlineStr">
        <is>
          <t>Ação</t>
        </is>
      </c>
      <c r="C3" s="72" t="inlineStr">
        <is>
          <t>Impacto (R$)</t>
        </is>
      </c>
      <c r="D3" s="72" t="inlineStr">
        <is>
          <t>Responsável</t>
        </is>
      </c>
      <c r="E3" s="72" t="inlineStr">
        <is>
          <t>Prioridade</t>
        </is>
      </c>
      <c r="F3" s="72" t="inlineStr">
        <is>
          <t>Arquivo/aba de apoio</t>
        </is>
      </c>
    </row>
    <row r="4">
      <c r="A4" s="65" t="n">
        <v>1</v>
      </c>
      <c r="B4" s="65" t="inlineStr">
        <is>
          <t>Validar CFOP real (XML/SPED) das NF-e de papel e caixas (CMPC, Conpel, Irani) lançadas como x.556: se forem insumo, retificar entrada e apropriar ICMS/IPI; se consumo, DRE usa o cenário conservador</t>
        </is>
      </c>
      <c r="C4" s="65" t="inlineStr">
        <is>
          <t>ICMS+IPI x.556 no escopo da DRE: 1.426.180 (resultado op. 10,85 mi → 9,43 mi); lista de 104 NF-e: ICMS 1,00 mi</t>
        </is>
      </c>
      <c r="D4" s="65" t="inlineStr">
        <is>
          <t>Contador / fiscal</t>
        </is>
      </c>
      <c r="E4" s="65" t="inlineStr">
        <is>
          <t>Alta</t>
        </is>
      </c>
      <c r="F4" s="65" t="inlineStr">
        <is>
          <t>compilado_iapp_omie_2026.xlsx › Lista contador - ICMS insumos</t>
        </is>
      </c>
    </row>
    <row r="5">
      <c r="A5" s="65" t="n">
        <v>2</v>
      </c>
      <c r="B5" s="65" t="inlineStr">
        <is>
          <t>Registrar entrada no Omie das NF-e faturadas pelo fornecedor e ainda não recebidas (85 documentos; 70 de set/26). Confirmar recebimento físico; só depois entram no estoque e geram crédito</t>
        </is>
      </c>
      <c r="C5" s="65" t="inlineStr">
        <is>
          <t>Bruto 4.905.083; líquido de créditos 3.821.790 (vai para estoque, não para resultado)</t>
        </is>
      </c>
      <c r="D5" s="65" t="inlineStr">
        <is>
          <t>Fiscal / compras</t>
        </is>
      </c>
      <c r="E5" s="65" t="inlineStr">
        <is>
          <t>Alta</t>
        </is>
      </c>
      <c r="F5" s="65" t="inlineStr">
        <is>
          <t>compilado_iapp_omie_2026.xlsx › Ação - NF pendentes Omie</t>
        </is>
      </c>
    </row>
    <row r="6">
      <c r="A6" s="65" t="n">
        <v>3</v>
      </c>
      <c r="B6" s="65" t="inlineStr">
        <is>
          <t>Conferir no Omie as NFs lançadas no estoque e não conferidas (541; Bobina 451; Conpel 131) — crédito de ICMS/PIS/COFINS só após conferência</t>
        </is>
      </c>
      <c r="C6" s="65" t="inlineStr">
        <is>
          <t>Insumos e Consumo: ≈ R$ 941 mil bruto; Bobina sem valor na planilha</t>
        </is>
      </c>
      <c r="D6" s="65" t="inlineStr">
        <is>
          <t>Estoque / fiscal</t>
        </is>
      </c>
      <c r="E6" s="65" t="inlineStr">
        <is>
          <t>Alta</t>
        </is>
      </c>
      <c r="F6" s="65" t="inlineStr">
        <is>
          <t>compilado_iapp_omie_2026.xlsx › Fiscal - NF sem conf. Omie</t>
        </is>
      </c>
    </row>
    <row r="7">
      <c r="A7" s="65" t="n">
        <v>4</v>
      </c>
      <c r="B7" s="65" t="inlineStr">
        <is>
          <t>Corrigir divergências de valor estoque x Omie (310 NFs, ≈ R$ 812 mil em módulo) e NFs com número repetido entre fornecedores (24)</t>
        </is>
      </c>
      <c r="C7" s="65" t="inlineStr">
        <is>
          <t>812.000 (módulo)</t>
        </is>
      </c>
      <c r="D7" s="65" t="inlineStr">
        <is>
          <t>Estoque / fiscal</t>
        </is>
      </c>
      <c r="E7" s="65" t="inlineStr">
        <is>
          <t>Média</t>
        </is>
      </c>
      <c r="F7" s="65" t="inlineStr">
        <is>
          <t>compilado_iapp_omie_2026.xlsx › Fiscal - Diverg. de valor</t>
        </is>
      </c>
    </row>
    <row r="8">
      <c r="A8" s="65" t="n">
        <v>5</v>
      </c>
      <c r="B8" s="65" t="inlineStr">
        <is>
          <t>Zerar lotes negativos no iApp (1.109 lotes / 734 produtos) com entradas ou ajustes faltantes</t>
        </is>
      </c>
      <c r="C8" s="65" t="inlineStr">
        <is>
          <t>Saldo negativo total: -531.225 un.</t>
        </is>
      </c>
      <c r="D8" s="65" t="inlineStr">
        <is>
          <t>Almoxarifado</t>
        </is>
      </c>
      <c r="E8" s="65" t="inlineStr">
        <is>
          <t>Média</t>
        </is>
      </c>
      <c r="F8" s="65" t="inlineStr">
        <is>
          <t>listas_almoxarifado_iapp.xlsx › Lotes negativos</t>
        </is>
      </c>
    </row>
    <row r="9">
      <c r="A9" s="65" t="n">
        <v>6</v>
      </c>
      <c r="B9" s="65" t="inlineStr">
        <is>
          <t>Cadastrar custo: 527 produtos com preço sugerido por NF; 222 sem NF (cotar/consultar último pedido); bobinas sem preço</t>
        </is>
      </c>
      <c r="C9" s="65" t="inlineStr">
        <is>
          <t>—</t>
        </is>
      </c>
      <c r="D9" s="65" t="inlineStr">
        <is>
          <t>Almoxarifado / compras</t>
        </is>
      </c>
      <c r="E9" s="65" t="inlineStr">
        <is>
          <t>Média</t>
        </is>
      </c>
      <c r="F9" s="65" t="inlineStr">
        <is>
          <t>custos_estoque_iapp.xlsx; listas_almoxarifado_iapp.xlsx › Sem custo e sem NF</t>
        </is>
      </c>
    </row>
    <row r="10">
      <c r="A10" s="65" t="n">
        <v>7</v>
      </c>
      <c r="B10" s="65" t="inlineStr">
        <is>
          <t>Inventário valorizado 31/12/2025 e 30/09/2026 para lançar variação de estoque na DRE (hoje custo = compras)</t>
        </is>
      </c>
      <c r="C10" s="65" t="inlineStr">
        <is>
          <t>Muda lucro bruto (sinal e valor desconhecidos)</t>
        </is>
      </c>
      <c r="D10" s="65" t="inlineStr">
        <is>
          <t>Contabilidade / almoxarifado</t>
        </is>
      </c>
      <c r="E10" s="65" t="inlineStr">
        <is>
          <t>Alta</t>
        </is>
      </c>
      <c r="F10" s="65" t="inlineStr">
        <is>
          <t>dre_2026_lucro_real.xlsx › DRE (linha 36)</t>
        </is>
      </c>
    </row>
    <row r="11">
      <c r="A11" s="65" t="n">
        <v>8</v>
      </c>
      <c r="B11" s="65" t="inlineStr">
        <is>
          <t>Confirmar natureza das 383 remessas com CFOP 1.556 (R$ 4,4 mi) e das 1.109 NF de saída fora da receita (bonificação x.910 etc.: ICMS e ST devidos?)</t>
        </is>
      </c>
      <c r="C11" s="65" t="inlineStr">
        <is>
          <t>—</t>
        </is>
      </c>
      <c r="D11" s="65" t="inlineStr">
        <is>
          <t>Fiscal</t>
        </is>
      </c>
      <c r="E11" s="65" t="inlineStr">
        <is>
          <t>Média</t>
        </is>
      </c>
      <c r="F11" s="65" t="inlineStr">
        <is>
          <t>compilado_iapp_omie_2026.xlsx › Omie NF-e conferidas</t>
        </is>
      </c>
    </row>
    <row r="12">
      <c r="A12" s="65" t="n">
        <v>9</v>
      </c>
      <c r="B12" s="65" t="inlineStr">
        <is>
          <t>Apurar IRPJ/CSLL oficial (LALUR: adições/exclusões, adicional, compensação de prejuízo, depreciação do imobilizado de R$ 3,4 mi) — a DRE usa lucro contábil</t>
        </is>
      </c>
      <c r="C12" s="65" t="inlineStr">
        <is>
          <t>Estimativa: 3,19 a 3,67 mi</t>
        </is>
      </c>
      <c r="D12" s="65" t="inlineStr">
        <is>
          <t>Contador</t>
        </is>
      </c>
      <c r="E12" s="65" t="inlineStr">
        <is>
          <t>Alta</t>
        </is>
      </c>
      <c r="F12" s="65" t="inlineStr">
        <is>
          <t>dre_2026_lucro_real.xlsx › DRE valores (Lucro Real)</t>
        </is>
      </c>
    </row>
    <row r="13">
      <c r="A13" s="65" t="n">
        <v>10</v>
      </c>
      <c r="B13" s="65" t="inlineStr">
        <is>
          <t>Prazos: 646 NF-e conferidas com mais de 30 dias de atraso; crédito de ICMS prescreve em 5 anos da emissão</t>
        </is>
      </c>
      <c r="C13" s="65" t="inlineStr">
        <is>
          <t>—</t>
        </is>
      </c>
      <c r="D13" s="65" t="inlineStr">
        <is>
          <t>Fiscal</t>
        </is>
      </c>
      <c r="E13" s="65" t="inlineStr">
        <is>
          <t>Média</t>
        </is>
      </c>
      <c r="F13" s="65" t="inlineStr">
        <is>
          <t>compilado_iapp_omie_2026.xlsx › Omie NF-e conferidas</t>
        </is>
      </c>
    </row>
    <row r="15">
      <c r="A15" t="inlineStr">
        <is>
          <t>SENSIBILIDADE — pendências no custo (hipótese extrema: consumidas no período)</t>
        </is>
      </c>
    </row>
    <row r="16">
      <c r="A16" t="inlineStr">
        <is>
          <t>Resultado operacional conservador (R$)</t>
        </is>
      </c>
      <c r="B16" t="n">
        <v>9427149.539999999</v>
      </c>
    </row>
    <row r="17">
      <c r="A17" t="inlineStr">
        <is>
          <t>(-) Pendentes líquidas de crédito</t>
        </is>
      </c>
      <c r="B17" t="n">
        <v>-3821789.85</v>
      </c>
    </row>
    <row r="18">
      <c r="A18" t="inlineStr">
        <is>
          <t>Resultado se 100% das pendências fosse custo</t>
        </is>
      </c>
      <c r="B18" t="n">
        <v>5605359.69</v>
      </c>
    </row>
    <row r="19">
      <c r="A19" t="inlineStr">
        <is>
          <t>Nota: compras entram em estoque; só viram custo quando consumidas/vendidas. Lançá-las exige a variação de estoque.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47" t="inlineStr">
        <is>
          <t>VINCO INDÚSTRIA E DISTRIBUIDORA — DRE gerencial 2026 — Lucro Real (receita: NF-e de saída do Omie; custos: entradas conferidas no Omie)</t>
        </is>
      </c>
    </row>
    <row r="2">
      <c r="A2" s="48" t="inlineStr">
        <is>
          <t>Regime de competência = mês de emissão. Valores em R$, custos/despesas LÍQUIDOS de impostos recuperáveis conforme regime em 'Premissas DRE'. Células em azul/amarelo = entrada manual (receitas e estoques não constam nas entradas).</t>
        </is>
      </c>
    </row>
    <row r="3">
      <c r="A3" s="49">
        <f>"Regime: "&amp;'Premissas DRE'!$C$5&amp;"  |  x.922 tratado como duplicidade: "&amp;'Premissas DRE'!$C$4</f>
        <v/>
      </c>
    </row>
    <row r="4">
      <c r="A4" s="50" t="inlineStr">
        <is>
          <t>Linha</t>
        </is>
      </c>
      <c r="B4" s="50" t="inlineStr">
        <is>
          <t>Critério na aba Notas</t>
        </is>
      </c>
      <c r="C4" s="66" t="n">
        <v>46023</v>
      </c>
      <c r="D4" s="66" t="n">
        <v>46054</v>
      </c>
      <c r="E4" s="66" t="n">
        <v>46082</v>
      </c>
      <c r="F4" s="66" t="n">
        <v>46113</v>
      </c>
      <c r="G4" s="66" t="n">
        <v>46143</v>
      </c>
      <c r="H4" s="66" t="n">
        <v>46174</v>
      </c>
      <c r="I4" s="66" t="n">
        <v>46204</v>
      </c>
      <c r="J4" s="66" t="n">
        <v>46235</v>
      </c>
      <c r="K4" s="66" t="n">
        <v>46266</v>
      </c>
      <c r="L4" s="50" t="inlineStr">
        <is>
          <t>Total 2026</t>
        </is>
      </c>
    </row>
    <row r="5">
      <c r="A5" s="52" t="inlineStr">
        <is>
          <t>RECEITA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</row>
    <row r="6">
      <c r="A6" s="53" t="inlineStr">
        <is>
          <t>Receita bruta de vendas (NF-e de saída Omie, CFOP 5/6.101,.102,.109,.110,.116)</t>
        </is>
      </c>
      <c r="B6" s="48" t="inlineStr">
        <is>
          <t>Omie via Cloudflare D1 (vProd+vOutro, sem canceladas)</t>
        </is>
      </c>
      <c r="C6" s="67" t="n">
        <v>3647072.42</v>
      </c>
      <c r="D6" s="67" t="n">
        <v>4713136.98</v>
      </c>
      <c r="E6" s="67" t="n">
        <v>5050781.43</v>
      </c>
      <c r="F6" s="67" t="n">
        <v>5639035.14</v>
      </c>
      <c r="G6" s="67" t="n">
        <v>5829490.95</v>
      </c>
      <c r="H6" s="67" t="n">
        <v>6374350.62</v>
      </c>
      <c r="I6" s="67" t="n">
        <v>6015302.71</v>
      </c>
      <c r="J6" s="67" t="n">
        <v>6238651.9</v>
      </c>
      <c r="K6" s="67" t="n">
        <v>6169651.9</v>
      </c>
      <c r="L6" s="68">
        <f>SUM(C6:K6)</f>
        <v/>
      </c>
    </row>
    <row r="7">
      <c r="A7" s="53" t="inlineStr">
        <is>
          <t>(-) Impostos sobre vendas (ICMS + PIS 1,65% + COFINS 7,6%, destacados nas NF-e)</t>
        </is>
      </c>
      <c r="B7" s="48" t="inlineStr">
        <is>
          <t>entrada manual, valor positivo</t>
        </is>
      </c>
      <c r="C7" s="67" t="n">
        <v>725976.74</v>
      </c>
      <c r="D7" s="67" t="n">
        <v>869444.6</v>
      </c>
      <c r="E7" s="67" t="n">
        <v>1052617.68</v>
      </c>
      <c r="F7" s="67" t="n">
        <v>1070018.65</v>
      </c>
      <c r="G7" s="67" t="n">
        <v>1131371.59</v>
      </c>
      <c r="H7" s="67" t="n">
        <v>1249859.42</v>
      </c>
      <c r="I7" s="67" t="n">
        <v>1207149.26</v>
      </c>
      <c r="J7" s="67" t="n">
        <v>1266484.69</v>
      </c>
      <c r="K7" s="67" t="n">
        <v>1169859.8</v>
      </c>
      <c r="L7" s="68">
        <f>SUM(C7:K7)</f>
        <v/>
      </c>
    </row>
    <row r="8">
      <c r="A8" s="53" t="inlineStr">
        <is>
          <t>(-) Devoluções de venda (CFOP 1.201/2.201/2.202) e descontos incondicionais</t>
        </is>
      </c>
      <c r="B8" s="48" t="inlineStr">
        <is>
          <t>entrada manual; 2.09 fora de Notas por decisão</t>
        </is>
      </c>
      <c r="C8" s="67" t="n">
        <v>188938.39</v>
      </c>
      <c r="D8" s="67" t="n">
        <v>259787.03</v>
      </c>
      <c r="E8" s="67" t="n">
        <v>160580.96</v>
      </c>
      <c r="F8" s="67" t="n">
        <v>275345.56</v>
      </c>
      <c r="G8" s="67" t="n">
        <v>287165.11</v>
      </c>
      <c r="H8" s="67" t="n">
        <v>249244.35</v>
      </c>
      <c r="I8" s="67" t="n">
        <v>261357.02</v>
      </c>
      <c r="J8" s="67" t="n">
        <v>240773.48</v>
      </c>
      <c r="K8" s="67" t="n">
        <v>304525.97</v>
      </c>
      <c r="L8" s="68">
        <f>SUM(C8:K8)</f>
        <v/>
      </c>
    </row>
    <row r="9">
      <c r="A9" s="56" t="inlineStr">
        <is>
          <t>RECEITA LÍQUIDA</t>
        </is>
      </c>
      <c r="B9" s="56" t="inlineStr"/>
      <c r="C9" s="69">
        <f>C6-C7-C8</f>
        <v/>
      </c>
      <c r="D9" s="69">
        <f>D6-D7-D8</f>
        <v/>
      </c>
      <c r="E9" s="69">
        <f>E6-E7-E8</f>
        <v/>
      </c>
      <c r="F9" s="69">
        <f>F6-F7-F8</f>
        <v/>
      </c>
      <c r="G9" s="69">
        <f>G6-G7-G8</f>
        <v/>
      </c>
      <c r="H9" s="69">
        <f>H6-H7-H8</f>
        <v/>
      </c>
      <c r="I9" s="69">
        <f>I6-I7-I8</f>
        <v/>
      </c>
      <c r="J9" s="69">
        <f>J6-J7-J8</f>
        <v/>
      </c>
      <c r="K9" s="69">
        <f>K6-K7-K8</f>
        <v/>
      </c>
      <c r="L9" s="69">
        <f>SUM(C9:K9)</f>
        <v/>
      </c>
    </row>
    <row r="11">
      <c r="A11" s="52" t="inlineStr">
        <is>
          <t>CUSTOS DAS COMPRAS / CMV  (compras líquidas de créditos)</t>
        </is>
      </c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</row>
    <row r="12">
      <c r="A12" s="53" t="inlineStr">
        <is>
          <t>Papel</t>
        </is>
      </c>
      <c r="B12" s="48" t="inlineStr">
        <is>
          <t>NF-e · 2.01.03</t>
        </is>
      </c>
      <c r="C12" s="68">
        <f>SUMIFS(Notas!$W:$W,Notas!$C:$C,"NF-e",Notas!$E:$E,"2.01.03*",Notas!$U:$U,'Premissas DRE'!$C$10,Notas!$A:$A,C$4)-'Premissas DRE'!$C$8*SUMIFS(Notas!$AA:$AA,Notas!$C:$C,"NF-e",Notas!$E:$E,"2.01.03*",Notas!$U:$U,'Premissas DRE'!$C$10,Notas!$A:$A,C$4)-'Premissas DRE'!$C$6*SUMIFS(Notas!$AB:$AB,Notas!$C:$C,"NF-e",Notas!$E:$E,"2.01.03*",Notas!$U:$U,'Premissas DRE'!$C$10,Notas!$A:$A,C$4)-'Premissas DRE'!$C$7*SUMIFS(Notas!$AD:$AD,Notas!$C:$C,"NF-e",Notas!$E:$E,"2.01.03*",Notas!$U:$U,'Premissas DRE'!$C$10,Notas!$A:$A,C$4)-'Premissas DRE'!$C$7*SUMIFS(Notas!$AE:$AE,Notas!$C:$C,"NF-e",Notas!$E:$E,"2.01.03*",Notas!$U:$U,'Premissas DRE'!$C$10,Notas!$A:$A,C$4)</f>
        <v/>
      </c>
      <c r="D12" s="68">
        <f>SUMIFS(Notas!$W:$W,Notas!$C:$C,"NF-e",Notas!$E:$E,"2.01.03*",Notas!$U:$U,'Premissas DRE'!$C$10,Notas!$A:$A,D$4)-'Premissas DRE'!$C$8*SUMIFS(Notas!$AA:$AA,Notas!$C:$C,"NF-e",Notas!$E:$E,"2.01.03*",Notas!$U:$U,'Premissas DRE'!$C$10,Notas!$A:$A,D$4)-'Premissas DRE'!$C$6*SUMIFS(Notas!$AB:$AB,Notas!$C:$C,"NF-e",Notas!$E:$E,"2.01.03*",Notas!$U:$U,'Premissas DRE'!$C$10,Notas!$A:$A,D$4)-'Premissas DRE'!$C$7*SUMIFS(Notas!$AD:$AD,Notas!$C:$C,"NF-e",Notas!$E:$E,"2.01.03*",Notas!$U:$U,'Premissas DRE'!$C$10,Notas!$A:$A,D$4)-'Premissas DRE'!$C$7*SUMIFS(Notas!$AE:$AE,Notas!$C:$C,"NF-e",Notas!$E:$E,"2.01.03*",Notas!$U:$U,'Premissas DRE'!$C$10,Notas!$A:$A,D$4)</f>
        <v/>
      </c>
      <c r="E12" s="68">
        <f>SUMIFS(Notas!$W:$W,Notas!$C:$C,"NF-e",Notas!$E:$E,"2.01.03*",Notas!$U:$U,'Premissas DRE'!$C$10,Notas!$A:$A,E$4)-'Premissas DRE'!$C$8*SUMIFS(Notas!$AA:$AA,Notas!$C:$C,"NF-e",Notas!$E:$E,"2.01.03*",Notas!$U:$U,'Premissas DRE'!$C$10,Notas!$A:$A,E$4)-'Premissas DRE'!$C$6*SUMIFS(Notas!$AB:$AB,Notas!$C:$C,"NF-e",Notas!$E:$E,"2.01.03*",Notas!$U:$U,'Premissas DRE'!$C$10,Notas!$A:$A,E$4)-'Premissas DRE'!$C$7*SUMIFS(Notas!$AD:$AD,Notas!$C:$C,"NF-e",Notas!$E:$E,"2.01.03*",Notas!$U:$U,'Premissas DRE'!$C$10,Notas!$A:$A,E$4)-'Premissas DRE'!$C$7*SUMIFS(Notas!$AE:$AE,Notas!$C:$C,"NF-e",Notas!$E:$E,"2.01.03*",Notas!$U:$U,'Premissas DRE'!$C$10,Notas!$A:$A,E$4)</f>
        <v/>
      </c>
      <c r="F12" s="68">
        <f>SUMIFS(Notas!$W:$W,Notas!$C:$C,"NF-e",Notas!$E:$E,"2.01.03*",Notas!$U:$U,'Premissas DRE'!$C$10,Notas!$A:$A,F$4)-'Premissas DRE'!$C$8*SUMIFS(Notas!$AA:$AA,Notas!$C:$C,"NF-e",Notas!$E:$E,"2.01.03*",Notas!$U:$U,'Premissas DRE'!$C$10,Notas!$A:$A,F$4)-'Premissas DRE'!$C$6*SUMIFS(Notas!$AB:$AB,Notas!$C:$C,"NF-e",Notas!$E:$E,"2.01.03*",Notas!$U:$U,'Premissas DRE'!$C$10,Notas!$A:$A,F$4)-'Premissas DRE'!$C$7*SUMIFS(Notas!$AD:$AD,Notas!$C:$C,"NF-e",Notas!$E:$E,"2.01.03*",Notas!$U:$U,'Premissas DRE'!$C$10,Notas!$A:$A,F$4)-'Premissas DRE'!$C$7*SUMIFS(Notas!$AE:$AE,Notas!$C:$C,"NF-e",Notas!$E:$E,"2.01.03*",Notas!$U:$U,'Premissas DRE'!$C$10,Notas!$A:$A,F$4)</f>
        <v/>
      </c>
      <c r="G12" s="68">
        <f>SUMIFS(Notas!$W:$W,Notas!$C:$C,"NF-e",Notas!$E:$E,"2.01.03*",Notas!$U:$U,'Premissas DRE'!$C$10,Notas!$A:$A,G$4)-'Premissas DRE'!$C$8*SUMIFS(Notas!$AA:$AA,Notas!$C:$C,"NF-e",Notas!$E:$E,"2.01.03*",Notas!$U:$U,'Premissas DRE'!$C$10,Notas!$A:$A,G$4)-'Premissas DRE'!$C$6*SUMIFS(Notas!$AB:$AB,Notas!$C:$C,"NF-e",Notas!$E:$E,"2.01.03*",Notas!$U:$U,'Premissas DRE'!$C$10,Notas!$A:$A,G$4)-'Premissas DRE'!$C$7*SUMIFS(Notas!$AD:$AD,Notas!$C:$C,"NF-e",Notas!$E:$E,"2.01.03*",Notas!$U:$U,'Premissas DRE'!$C$10,Notas!$A:$A,G$4)-'Premissas DRE'!$C$7*SUMIFS(Notas!$AE:$AE,Notas!$C:$C,"NF-e",Notas!$E:$E,"2.01.03*",Notas!$U:$U,'Premissas DRE'!$C$10,Notas!$A:$A,G$4)</f>
        <v/>
      </c>
      <c r="H12" s="68">
        <f>SUMIFS(Notas!$W:$W,Notas!$C:$C,"NF-e",Notas!$E:$E,"2.01.03*",Notas!$U:$U,'Premissas DRE'!$C$10,Notas!$A:$A,H$4)-'Premissas DRE'!$C$8*SUMIFS(Notas!$AA:$AA,Notas!$C:$C,"NF-e",Notas!$E:$E,"2.01.03*",Notas!$U:$U,'Premissas DRE'!$C$10,Notas!$A:$A,H$4)-'Premissas DRE'!$C$6*SUMIFS(Notas!$AB:$AB,Notas!$C:$C,"NF-e",Notas!$E:$E,"2.01.03*",Notas!$U:$U,'Premissas DRE'!$C$10,Notas!$A:$A,H$4)-'Premissas DRE'!$C$7*SUMIFS(Notas!$AD:$AD,Notas!$C:$C,"NF-e",Notas!$E:$E,"2.01.03*",Notas!$U:$U,'Premissas DRE'!$C$10,Notas!$A:$A,H$4)-'Premissas DRE'!$C$7*SUMIFS(Notas!$AE:$AE,Notas!$C:$C,"NF-e",Notas!$E:$E,"2.01.03*",Notas!$U:$U,'Premissas DRE'!$C$10,Notas!$A:$A,H$4)</f>
        <v/>
      </c>
      <c r="I12" s="68">
        <f>SUMIFS(Notas!$W:$W,Notas!$C:$C,"NF-e",Notas!$E:$E,"2.01.03*",Notas!$U:$U,'Premissas DRE'!$C$10,Notas!$A:$A,I$4)-'Premissas DRE'!$C$8*SUMIFS(Notas!$AA:$AA,Notas!$C:$C,"NF-e",Notas!$E:$E,"2.01.03*",Notas!$U:$U,'Premissas DRE'!$C$10,Notas!$A:$A,I$4)-'Premissas DRE'!$C$6*SUMIFS(Notas!$AB:$AB,Notas!$C:$C,"NF-e",Notas!$E:$E,"2.01.03*",Notas!$U:$U,'Premissas DRE'!$C$10,Notas!$A:$A,I$4)-'Premissas DRE'!$C$7*SUMIFS(Notas!$AD:$AD,Notas!$C:$C,"NF-e",Notas!$E:$E,"2.01.03*",Notas!$U:$U,'Premissas DRE'!$C$10,Notas!$A:$A,I$4)-'Premissas DRE'!$C$7*SUMIFS(Notas!$AE:$AE,Notas!$C:$C,"NF-e",Notas!$E:$E,"2.01.03*",Notas!$U:$U,'Premissas DRE'!$C$10,Notas!$A:$A,I$4)</f>
        <v/>
      </c>
      <c r="J12" s="68">
        <f>SUMIFS(Notas!$W:$W,Notas!$C:$C,"NF-e",Notas!$E:$E,"2.01.03*",Notas!$U:$U,'Premissas DRE'!$C$10,Notas!$A:$A,J$4)-'Premissas DRE'!$C$8*SUMIFS(Notas!$AA:$AA,Notas!$C:$C,"NF-e",Notas!$E:$E,"2.01.03*",Notas!$U:$U,'Premissas DRE'!$C$10,Notas!$A:$A,J$4)-'Premissas DRE'!$C$6*SUMIFS(Notas!$AB:$AB,Notas!$C:$C,"NF-e",Notas!$E:$E,"2.01.03*",Notas!$U:$U,'Premissas DRE'!$C$10,Notas!$A:$A,J$4)-'Premissas DRE'!$C$7*SUMIFS(Notas!$AD:$AD,Notas!$C:$C,"NF-e",Notas!$E:$E,"2.01.03*",Notas!$U:$U,'Premissas DRE'!$C$10,Notas!$A:$A,J$4)-'Premissas DRE'!$C$7*SUMIFS(Notas!$AE:$AE,Notas!$C:$C,"NF-e",Notas!$E:$E,"2.01.03*",Notas!$U:$U,'Premissas DRE'!$C$10,Notas!$A:$A,J$4)</f>
        <v/>
      </c>
      <c r="K12" s="68">
        <f>SUMIFS(Notas!$W:$W,Notas!$C:$C,"NF-e",Notas!$E:$E,"2.01.03*",Notas!$U:$U,'Premissas DRE'!$C$10,Notas!$A:$A,K$4)-'Premissas DRE'!$C$8*SUMIFS(Notas!$AA:$AA,Notas!$C:$C,"NF-e",Notas!$E:$E,"2.01.03*",Notas!$U:$U,'Premissas DRE'!$C$10,Notas!$A:$A,K$4)-'Premissas DRE'!$C$6*SUMIFS(Notas!$AB:$AB,Notas!$C:$C,"NF-e",Notas!$E:$E,"2.01.03*",Notas!$U:$U,'Premissas DRE'!$C$10,Notas!$A:$A,K$4)-'Premissas DRE'!$C$7*SUMIFS(Notas!$AD:$AD,Notas!$C:$C,"NF-e",Notas!$E:$E,"2.01.03*",Notas!$U:$U,'Premissas DRE'!$C$10,Notas!$A:$A,K$4)-'Premissas DRE'!$C$7*SUMIFS(Notas!$AE:$AE,Notas!$C:$C,"NF-e",Notas!$E:$E,"2.01.03*",Notas!$U:$U,'Premissas DRE'!$C$10,Notas!$A:$A,K$4)</f>
        <v/>
      </c>
      <c r="L12" s="68">
        <f>SUM(C12:K12)</f>
        <v/>
      </c>
    </row>
    <row r="13">
      <c r="A13" s="53" t="inlineStr">
        <is>
          <t>Tinta</t>
        </is>
      </c>
      <c r="B13" s="48" t="inlineStr">
        <is>
          <t>NF-e · 2.01.92</t>
        </is>
      </c>
      <c r="C13" s="68">
        <f>SUMIFS(Notas!$W:$W,Notas!$C:$C,"NF-e",Notas!$E:$E,"2.01.92*",Notas!$U:$U,'Premissas DRE'!$C$10,Notas!$A:$A,C$4)-'Premissas DRE'!$C$8*SUMIFS(Notas!$AA:$AA,Notas!$C:$C,"NF-e",Notas!$E:$E,"2.01.92*",Notas!$U:$U,'Premissas DRE'!$C$10,Notas!$A:$A,C$4)-'Premissas DRE'!$C$6*SUMIFS(Notas!$AB:$AB,Notas!$C:$C,"NF-e",Notas!$E:$E,"2.01.92*",Notas!$U:$U,'Premissas DRE'!$C$10,Notas!$A:$A,C$4)-'Premissas DRE'!$C$7*SUMIFS(Notas!$AD:$AD,Notas!$C:$C,"NF-e",Notas!$E:$E,"2.01.92*",Notas!$U:$U,'Premissas DRE'!$C$10,Notas!$A:$A,C$4)-'Premissas DRE'!$C$7*SUMIFS(Notas!$AE:$AE,Notas!$C:$C,"NF-e",Notas!$E:$E,"2.01.92*",Notas!$U:$U,'Premissas DRE'!$C$10,Notas!$A:$A,C$4)</f>
        <v/>
      </c>
      <c r="D13" s="68">
        <f>SUMIFS(Notas!$W:$W,Notas!$C:$C,"NF-e",Notas!$E:$E,"2.01.92*",Notas!$U:$U,'Premissas DRE'!$C$10,Notas!$A:$A,D$4)-'Premissas DRE'!$C$8*SUMIFS(Notas!$AA:$AA,Notas!$C:$C,"NF-e",Notas!$E:$E,"2.01.92*",Notas!$U:$U,'Premissas DRE'!$C$10,Notas!$A:$A,D$4)-'Premissas DRE'!$C$6*SUMIFS(Notas!$AB:$AB,Notas!$C:$C,"NF-e",Notas!$E:$E,"2.01.92*",Notas!$U:$U,'Premissas DRE'!$C$10,Notas!$A:$A,D$4)-'Premissas DRE'!$C$7*SUMIFS(Notas!$AD:$AD,Notas!$C:$C,"NF-e",Notas!$E:$E,"2.01.92*",Notas!$U:$U,'Premissas DRE'!$C$10,Notas!$A:$A,D$4)-'Premissas DRE'!$C$7*SUMIFS(Notas!$AE:$AE,Notas!$C:$C,"NF-e",Notas!$E:$E,"2.01.92*",Notas!$U:$U,'Premissas DRE'!$C$10,Notas!$A:$A,D$4)</f>
        <v/>
      </c>
      <c r="E13" s="68">
        <f>SUMIFS(Notas!$W:$W,Notas!$C:$C,"NF-e",Notas!$E:$E,"2.01.92*",Notas!$U:$U,'Premissas DRE'!$C$10,Notas!$A:$A,E$4)-'Premissas DRE'!$C$8*SUMIFS(Notas!$AA:$AA,Notas!$C:$C,"NF-e",Notas!$E:$E,"2.01.92*",Notas!$U:$U,'Premissas DRE'!$C$10,Notas!$A:$A,E$4)-'Premissas DRE'!$C$6*SUMIFS(Notas!$AB:$AB,Notas!$C:$C,"NF-e",Notas!$E:$E,"2.01.92*",Notas!$U:$U,'Premissas DRE'!$C$10,Notas!$A:$A,E$4)-'Premissas DRE'!$C$7*SUMIFS(Notas!$AD:$AD,Notas!$C:$C,"NF-e",Notas!$E:$E,"2.01.92*",Notas!$U:$U,'Premissas DRE'!$C$10,Notas!$A:$A,E$4)-'Premissas DRE'!$C$7*SUMIFS(Notas!$AE:$AE,Notas!$C:$C,"NF-e",Notas!$E:$E,"2.01.92*",Notas!$U:$U,'Premissas DRE'!$C$10,Notas!$A:$A,E$4)</f>
        <v/>
      </c>
      <c r="F13" s="68">
        <f>SUMIFS(Notas!$W:$W,Notas!$C:$C,"NF-e",Notas!$E:$E,"2.01.92*",Notas!$U:$U,'Premissas DRE'!$C$10,Notas!$A:$A,F$4)-'Premissas DRE'!$C$8*SUMIFS(Notas!$AA:$AA,Notas!$C:$C,"NF-e",Notas!$E:$E,"2.01.92*",Notas!$U:$U,'Premissas DRE'!$C$10,Notas!$A:$A,F$4)-'Premissas DRE'!$C$6*SUMIFS(Notas!$AB:$AB,Notas!$C:$C,"NF-e",Notas!$E:$E,"2.01.92*",Notas!$U:$U,'Premissas DRE'!$C$10,Notas!$A:$A,F$4)-'Premissas DRE'!$C$7*SUMIFS(Notas!$AD:$AD,Notas!$C:$C,"NF-e",Notas!$E:$E,"2.01.92*",Notas!$U:$U,'Premissas DRE'!$C$10,Notas!$A:$A,F$4)-'Premissas DRE'!$C$7*SUMIFS(Notas!$AE:$AE,Notas!$C:$C,"NF-e",Notas!$E:$E,"2.01.92*",Notas!$U:$U,'Premissas DRE'!$C$10,Notas!$A:$A,F$4)</f>
        <v/>
      </c>
      <c r="G13" s="68">
        <f>SUMIFS(Notas!$W:$W,Notas!$C:$C,"NF-e",Notas!$E:$E,"2.01.92*",Notas!$U:$U,'Premissas DRE'!$C$10,Notas!$A:$A,G$4)-'Premissas DRE'!$C$8*SUMIFS(Notas!$AA:$AA,Notas!$C:$C,"NF-e",Notas!$E:$E,"2.01.92*",Notas!$U:$U,'Premissas DRE'!$C$10,Notas!$A:$A,G$4)-'Premissas DRE'!$C$6*SUMIFS(Notas!$AB:$AB,Notas!$C:$C,"NF-e",Notas!$E:$E,"2.01.92*",Notas!$U:$U,'Premissas DRE'!$C$10,Notas!$A:$A,G$4)-'Premissas DRE'!$C$7*SUMIFS(Notas!$AD:$AD,Notas!$C:$C,"NF-e",Notas!$E:$E,"2.01.92*",Notas!$U:$U,'Premissas DRE'!$C$10,Notas!$A:$A,G$4)-'Premissas DRE'!$C$7*SUMIFS(Notas!$AE:$AE,Notas!$C:$C,"NF-e",Notas!$E:$E,"2.01.92*",Notas!$U:$U,'Premissas DRE'!$C$10,Notas!$A:$A,G$4)</f>
        <v/>
      </c>
      <c r="H13" s="68">
        <f>SUMIFS(Notas!$W:$W,Notas!$C:$C,"NF-e",Notas!$E:$E,"2.01.92*",Notas!$U:$U,'Premissas DRE'!$C$10,Notas!$A:$A,H$4)-'Premissas DRE'!$C$8*SUMIFS(Notas!$AA:$AA,Notas!$C:$C,"NF-e",Notas!$E:$E,"2.01.92*",Notas!$U:$U,'Premissas DRE'!$C$10,Notas!$A:$A,H$4)-'Premissas DRE'!$C$6*SUMIFS(Notas!$AB:$AB,Notas!$C:$C,"NF-e",Notas!$E:$E,"2.01.92*",Notas!$U:$U,'Premissas DRE'!$C$10,Notas!$A:$A,H$4)-'Premissas DRE'!$C$7*SUMIFS(Notas!$AD:$AD,Notas!$C:$C,"NF-e",Notas!$E:$E,"2.01.92*",Notas!$U:$U,'Premissas DRE'!$C$10,Notas!$A:$A,H$4)-'Premissas DRE'!$C$7*SUMIFS(Notas!$AE:$AE,Notas!$C:$C,"NF-e",Notas!$E:$E,"2.01.92*",Notas!$U:$U,'Premissas DRE'!$C$10,Notas!$A:$A,H$4)</f>
        <v/>
      </c>
      <c r="I13" s="68">
        <f>SUMIFS(Notas!$W:$W,Notas!$C:$C,"NF-e",Notas!$E:$E,"2.01.92*",Notas!$U:$U,'Premissas DRE'!$C$10,Notas!$A:$A,I$4)-'Premissas DRE'!$C$8*SUMIFS(Notas!$AA:$AA,Notas!$C:$C,"NF-e",Notas!$E:$E,"2.01.92*",Notas!$U:$U,'Premissas DRE'!$C$10,Notas!$A:$A,I$4)-'Premissas DRE'!$C$6*SUMIFS(Notas!$AB:$AB,Notas!$C:$C,"NF-e",Notas!$E:$E,"2.01.92*",Notas!$U:$U,'Premissas DRE'!$C$10,Notas!$A:$A,I$4)-'Premissas DRE'!$C$7*SUMIFS(Notas!$AD:$AD,Notas!$C:$C,"NF-e",Notas!$E:$E,"2.01.92*",Notas!$U:$U,'Premissas DRE'!$C$10,Notas!$A:$A,I$4)-'Premissas DRE'!$C$7*SUMIFS(Notas!$AE:$AE,Notas!$C:$C,"NF-e",Notas!$E:$E,"2.01.92*",Notas!$U:$U,'Premissas DRE'!$C$10,Notas!$A:$A,I$4)</f>
        <v/>
      </c>
      <c r="J13" s="68">
        <f>SUMIFS(Notas!$W:$W,Notas!$C:$C,"NF-e",Notas!$E:$E,"2.01.92*",Notas!$U:$U,'Premissas DRE'!$C$10,Notas!$A:$A,J$4)-'Premissas DRE'!$C$8*SUMIFS(Notas!$AA:$AA,Notas!$C:$C,"NF-e",Notas!$E:$E,"2.01.92*",Notas!$U:$U,'Premissas DRE'!$C$10,Notas!$A:$A,J$4)-'Premissas DRE'!$C$6*SUMIFS(Notas!$AB:$AB,Notas!$C:$C,"NF-e",Notas!$E:$E,"2.01.92*",Notas!$U:$U,'Premissas DRE'!$C$10,Notas!$A:$A,J$4)-'Premissas DRE'!$C$7*SUMIFS(Notas!$AD:$AD,Notas!$C:$C,"NF-e",Notas!$E:$E,"2.01.92*",Notas!$U:$U,'Premissas DRE'!$C$10,Notas!$A:$A,J$4)-'Premissas DRE'!$C$7*SUMIFS(Notas!$AE:$AE,Notas!$C:$C,"NF-e",Notas!$E:$E,"2.01.92*",Notas!$U:$U,'Premissas DRE'!$C$10,Notas!$A:$A,J$4)</f>
        <v/>
      </c>
      <c r="K13" s="68">
        <f>SUMIFS(Notas!$W:$W,Notas!$C:$C,"NF-e",Notas!$E:$E,"2.01.92*",Notas!$U:$U,'Premissas DRE'!$C$10,Notas!$A:$A,K$4)-'Premissas DRE'!$C$8*SUMIFS(Notas!$AA:$AA,Notas!$C:$C,"NF-e",Notas!$E:$E,"2.01.92*",Notas!$U:$U,'Premissas DRE'!$C$10,Notas!$A:$A,K$4)-'Premissas DRE'!$C$6*SUMIFS(Notas!$AB:$AB,Notas!$C:$C,"NF-e",Notas!$E:$E,"2.01.92*",Notas!$U:$U,'Premissas DRE'!$C$10,Notas!$A:$A,K$4)-'Premissas DRE'!$C$7*SUMIFS(Notas!$AD:$AD,Notas!$C:$C,"NF-e",Notas!$E:$E,"2.01.92*",Notas!$U:$U,'Premissas DRE'!$C$10,Notas!$A:$A,K$4)-'Premissas DRE'!$C$7*SUMIFS(Notas!$AE:$AE,Notas!$C:$C,"NF-e",Notas!$E:$E,"2.01.92*",Notas!$U:$U,'Premissas DRE'!$C$10,Notas!$A:$A,K$4)</f>
        <v/>
      </c>
      <c r="L13" s="68">
        <f>SUM(C13:K13)</f>
        <v/>
      </c>
    </row>
    <row r="14">
      <c r="A14" s="53" t="inlineStr">
        <is>
          <t>Plástico poliolefínico</t>
        </is>
      </c>
      <c r="B14" s="48" t="inlineStr">
        <is>
          <t>NF-e · 2.01.93</t>
        </is>
      </c>
      <c r="C14" s="68">
        <f>SUMIFS(Notas!$W:$W,Notas!$C:$C,"NF-e",Notas!$E:$E,"2.01.93*",Notas!$U:$U,'Premissas DRE'!$C$10,Notas!$A:$A,C$4)-'Premissas DRE'!$C$8*SUMIFS(Notas!$AA:$AA,Notas!$C:$C,"NF-e",Notas!$E:$E,"2.01.93*",Notas!$U:$U,'Premissas DRE'!$C$10,Notas!$A:$A,C$4)-'Premissas DRE'!$C$6*SUMIFS(Notas!$AB:$AB,Notas!$C:$C,"NF-e",Notas!$E:$E,"2.01.93*",Notas!$U:$U,'Premissas DRE'!$C$10,Notas!$A:$A,C$4)-'Premissas DRE'!$C$7*SUMIFS(Notas!$AD:$AD,Notas!$C:$C,"NF-e",Notas!$E:$E,"2.01.93*",Notas!$U:$U,'Premissas DRE'!$C$10,Notas!$A:$A,C$4)-'Premissas DRE'!$C$7*SUMIFS(Notas!$AE:$AE,Notas!$C:$C,"NF-e",Notas!$E:$E,"2.01.93*",Notas!$U:$U,'Premissas DRE'!$C$10,Notas!$A:$A,C$4)</f>
        <v/>
      </c>
      <c r="D14" s="68">
        <f>SUMIFS(Notas!$W:$W,Notas!$C:$C,"NF-e",Notas!$E:$E,"2.01.93*",Notas!$U:$U,'Premissas DRE'!$C$10,Notas!$A:$A,D$4)-'Premissas DRE'!$C$8*SUMIFS(Notas!$AA:$AA,Notas!$C:$C,"NF-e",Notas!$E:$E,"2.01.93*",Notas!$U:$U,'Premissas DRE'!$C$10,Notas!$A:$A,D$4)-'Premissas DRE'!$C$6*SUMIFS(Notas!$AB:$AB,Notas!$C:$C,"NF-e",Notas!$E:$E,"2.01.93*",Notas!$U:$U,'Premissas DRE'!$C$10,Notas!$A:$A,D$4)-'Premissas DRE'!$C$7*SUMIFS(Notas!$AD:$AD,Notas!$C:$C,"NF-e",Notas!$E:$E,"2.01.93*",Notas!$U:$U,'Premissas DRE'!$C$10,Notas!$A:$A,D$4)-'Premissas DRE'!$C$7*SUMIFS(Notas!$AE:$AE,Notas!$C:$C,"NF-e",Notas!$E:$E,"2.01.93*",Notas!$U:$U,'Premissas DRE'!$C$10,Notas!$A:$A,D$4)</f>
        <v/>
      </c>
      <c r="E14" s="68">
        <f>SUMIFS(Notas!$W:$W,Notas!$C:$C,"NF-e",Notas!$E:$E,"2.01.93*",Notas!$U:$U,'Premissas DRE'!$C$10,Notas!$A:$A,E$4)-'Premissas DRE'!$C$8*SUMIFS(Notas!$AA:$AA,Notas!$C:$C,"NF-e",Notas!$E:$E,"2.01.93*",Notas!$U:$U,'Premissas DRE'!$C$10,Notas!$A:$A,E$4)-'Premissas DRE'!$C$6*SUMIFS(Notas!$AB:$AB,Notas!$C:$C,"NF-e",Notas!$E:$E,"2.01.93*",Notas!$U:$U,'Premissas DRE'!$C$10,Notas!$A:$A,E$4)-'Premissas DRE'!$C$7*SUMIFS(Notas!$AD:$AD,Notas!$C:$C,"NF-e",Notas!$E:$E,"2.01.93*",Notas!$U:$U,'Premissas DRE'!$C$10,Notas!$A:$A,E$4)-'Premissas DRE'!$C$7*SUMIFS(Notas!$AE:$AE,Notas!$C:$C,"NF-e",Notas!$E:$E,"2.01.93*",Notas!$U:$U,'Premissas DRE'!$C$10,Notas!$A:$A,E$4)</f>
        <v/>
      </c>
      <c r="F14" s="68">
        <f>SUMIFS(Notas!$W:$W,Notas!$C:$C,"NF-e",Notas!$E:$E,"2.01.93*",Notas!$U:$U,'Premissas DRE'!$C$10,Notas!$A:$A,F$4)-'Premissas DRE'!$C$8*SUMIFS(Notas!$AA:$AA,Notas!$C:$C,"NF-e",Notas!$E:$E,"2.01.93*",Notas!$U:$U,'Premissas DRE'!$C$10,Notas!$A:$A,F$4)-'Premissas DRE'!$C$6*SUMIFS(Notas!$AB:$AB,Notas!$C:$C,"NF-e",Notas!$E:$E,"2.01.93*",Notas!$U:$U,'Premissas DRE'!$C$10,Notas!$A:$A,F$4)-'Premissas DRE'!$C$7*SUMIFS(Notas!$AD:$AD,Notas!$C:$C,"NF-e",Notas!$E:$E,"2.01.93*",Notas!$U:$U,'Premissas DRE'!$C$10,Notas!$A:$A,F$4)-'Premissas DRE'!$C$7*SUMIFS(Notas!$AE:$AE,Notas!$C:$C,"NF-e",Notas!$E:$E,"2.01.93*",Notas!$U:$U,'Premissas DRE'!$C$10,Notas!$A:$A,F$4)</f>
        <v/>
      </c>
      <c r="G14" s="68">
        <f>SUMIFS(Notas!$W:$W,Notas!$C:$C,"NF-e",Notas!$E:$E,"2.01.93*",Notas!$U:$U,'Premissas DRE'!$C$10,Notas!$A:$A,G$4)-'Premissas DRE'!$C$8*SUMIFS(Notas!$AA:$AA,Notas!$C:$C,"NF-e",Notas!$E:$E,"2.01.93*",Notas!$U:$U,'Premissas DRE'!$C$10,Notas!$A:$A,G$4)-'Premissas DRE'!$C$6*SUMIFS(Notas!$AB:$AB,Notas!$C:$C,"NF-e",Notas!$E:$E,"2.01.93*",Notas!$U:$U,'Premissas DRE'!$C$10,Notas!$A:$A,G$4)-'Premissas DRE'!$C$7*SUMIFS(Notas!$AD:$AD,Notas!$C:$C,"NF-e",Notas!$E:$E,"2.01.93*",Notas!$U:$U,'Premissas DRE'!$C$10,Notas!$A:$A,G$4)-'Premissas DRE'!$C$7*SUMIFS(Notas!$AE:$AE,Notas!$C:$C,"NF-e",Notas!$E:$E,"2.01.93*",Notas!$U:$U,'Premissas DRE'!$C$10,Notas!$A:$A,G$4)</f>
        <v/>
      </c>
      <c r="H14" s="68">
        <f>SUMIFS(Notas!$W:$W,Notas!$C:$C,"NF-e",Notas!$E:$E,"2.01.93*",Notas!$U:$U,'Premissas DRE'!$C$10,Notas!$A:$A,H$4)-'Premissas DRE'!$C$8*SUMIFS(Notas!$AA:$AA,Notas!$C:$C,"NF-e",Notas!$E:$E,"2.01.93*",Notas!$U:$U,'Premissas DRE'!$C$10,Notas!$A:$A,H$4)-'Premissas DRE'!$C$6*SUMIFS(Notas!$AB:$AB,Notas!$C:$C,"NF-e",Notas!$E:$E,"2.01.93*",Notas!$U:$U,'Premissas DRE'!$C$10,Notas!$A:$A,H$4)-'Premissas DRE'!$C$7*SUMIFS(Notas!$AD:$AD,Notas!$C:$C,"NF-e",Notas!$E:$E,"2.01.93*",Notas!$U:$U,'Premissas DRE'!$C$10,Notas!$A:$A,H$4)-'Premissas DRE'!$C$7*SUMIFS(Notas!$AE:$AE,Notas!$C:$C,"NF-e",Notas!$E:$E,"2.01.93*",Notas!$U:$U,'Premissas DRE'!$C$10,Notas!$A:$A,H$4)</f>
        <v/>
      </c>
      <c r="I14" s="68">
        <f>SUMIFS(Notas!$W:$W,Notas!$C:$C,"NF-e",Notas!$E:$E,"2.01.93*",Notas!$U:$U,'Premissas DRE'!$C$10,Notas!$A:$A,I$4)-'Premissas DRE'!$C$8*SUMIFS(Notas!$AA:$AA,Notas!$C:$C,"NF-e",Notas!$E:$E,"2.01.93*",Notas!$U:$U,'Premissas DRE'!$C$10,Notas!$A:$A,I$4)-'Premissas DRE'!$C$6*SUMIFS(Notas!$AB:$AB,Notas!$C:$C,"NF-e",Notas!$E:$E,"2.01.93*",Notas!$U:$U,'Premissas DRE'!$C$10,Notas!$A:$A,I$4)-'Premissas DRE'!$C$7*SUMIFS(Notas!$AD:$AD,Notas!$C:$C,"NF-e",Notas!$E:$E,"2.01.93*",Notas!$U:$U,'Premissas DRE'!$C$10,Notas!$A:$A,I$4)-'Premissas DRE'!$C$7*SUMIFS(Notas!$AE:$AE,Notas!$C:$C,"NF-e",Notas!$E:$E,"2.01.93*",Notas!$U:$U,'Premissas DRE'!$C$10,Notas!$A:$A,I$4)</f>
        <v/>
      </c>
      <c r="J14" s="68">
        <f>SUMIFS(Notas!$W:$W,Notas!$C:$C,"NF-e",Notas!$E:$E,"2.01.93*",Notas!$U:$U,'Premissas DRE'!$C$10,Notas!$A:$A,J$4)-'Premissas DRE'!$C$8*SUMIFS(Notas!$AA:$AA,Notas!$C:$C,"NF-e",Notas!$E:$E,"2.01.93*",Notas!$U:$U,'Premissas DRE'!$C$10,Notas!$A:$A,J$4)-'Premissas DRE'!$C$6*SUMIFS(Notas!$AB:$AB,Notas!$C:$C,"NF-e",Notas!$E:$E,"2.01.93*",Notas!$U:$U,'Premissas DRE'!$C$10,Notas!$A:$A,J$4)-'Premissas DRE'!$C$7*SUMIFS(Notas!$AD:$AD,Notas!$C:$C,"NF-e",Notas!$E:$E,"2.01.93*",Notas!$U:$U,'Premissas DRE'!$C$10,Notas!$A:$A,J$4)-'Premissas DRE'!$C$7*SUMIFS(Notas!$AE:$AE,Notas!$C:$C,"NF-e",Notas!$E:$E,"2.01.93*",Notas!$U:$U,'Premissas DRE'!$C$10,Notas!$A:$A,J$4)</f>
        <v/>
      </c>
      <c r="K14" s="68">
        <f>SUMIFS(Notas!$W:$W,Notas!$C:$C,"NF-e",Notas!$E:$E,"2.01.93*",Notas!$U:$U,'Premissas DRE'!$C$10,Notas!$A:$A,K$4)-'Premissas DRE'!$C$8*SUMIFS(Notas!$AA:$AA,Notas!$C:$C,"NF-e",Notas!$E:$E,"2.01.93*",Notas!$U:$U,'Premissas DRE'!$C$10,Notas!$A:$A,K$4)-'Premissas DRE'!$C$6*SUMIFS(Notas!$AB:$AB,Notas!$C:$C,"NF-e",Notas!$E:$E,"2.01.93*",Notas!$U:$U,'Premissas DRE'!$C$10,Notas!$A:$A,K$4)-'Premissas DRE'!$C$7*SUMIFS(Notas!$AD:$AD,Notas!$C:$C,"NF-e",Notas!$E:$E,"2.01.93*",Notas!$U:$U,'Premissas DRE'!$C$10,Notas!$A:$A,K$4)-'Premissas DRE'!$C$7*SUMIFS(Notas!$AE:$AE,Notas!$C:$C,"NF-e",Notas!$E:$E,"2.01.93*",Notas!$U:$U,'Premissas DRE'!$C$10,Notas!$A:$A,K$4)</f>
        <v/>
      </c>
      <c r="L14" s="68">
        <f>SUM(C14:K14)</f>
        <v/>
      </c>
    </row>
    <row r="15">
      <c r="A15" s="53" t="inlineStr">
        <is>
          <t>Cola</t>
        </is>
      </c>
      <c r="B15" s="48" t="inlineStr">
        <is>
          <t>NF-e · 2.01.96</t>
        </is>
      </c>
      <c r="C15" s="68">
        <f>SUMIFS(Notas!$W:$W,Notas!$C:$C,"NF-e",Notas!$E:$E,"2.01.96*",Notas!$U:$U,'Premissas DRE'!$C$10,Notas!$A:$A,C$4)-'Premissas DRE'!$C$8*SUMIFS(Notas!$AA:$AA,Notas!$C:$C,"NF-e",Notas!$E:$E,"2.01.96*",Notas!$U:$U,'Premissas DRE'!$C$10,Notas!$A:$A,C$4)-'Premissas DRE'!$C$6*SUMIFS(Notas!$AB:$AB,Notas!$C:$C,"NF-e",Notas!$E:$E,"2.01.96*",Notas!$U:$U,'Premissas DRE'!$C$10,Notas!$A:$A,C$4)-'Premissas DRE'!$C$7*SUMIFS(Notas!$AD:$AD,Notas!$C:$C,"NF-e",Notas!$E:$E,"2.01.96*",Notas!$U:$U,'Premissas DRE'!$C$10,Notas!$A:$A,C$4)-'Premissas DRE'!$C$7*SUMIFS(Notas!$AE:$AE,Notas!$C:$C,"NF-e",Notas!$E:$E,"2.01.96*",Notas!$U:$U,'Premissas DRE'!$C$10,Notas!$A:$A,C$4)</f>
        <v/>
      </c>
      <c r="D15" s="68">
        <f>SUMIFS(Notas!$W:$W,Notas!$C:$C,"NF-e",Notas!$E:$E,"2.01.96*",Notas!$U:$U,'Premissas DRE'!$C$10,Notas!$A:$A,D$4)-'Premissas DRE'!$C$8*SUMIFS(Notas!$AA:$AA,Notas!$C:$C,"NF-e",Notas!$E:$E,"2.01.96*",Notas!$U:$U,'Premissas DRE'!$C$10,Notas!$A:$A,D$4)-'Premissas DRE'!$C$6*SUMIFS(Notas!$AB:$AB,Notas!$C:$C,"NF-e",Notas!$E:$E,"2.01.96*",Notas!$U:$U,'Premissas DRE'!$C$10,Notas!$A:$A,D$4)-'Premissas DRE'!$C$7*SUMIFS(Notas!$AD:$AD,Notas!$C:$C,"NF-e",Notas!$E:$E,"2.01.96*",Notas!$U:$U,'Premissas DRE'!$C$10,Notas!$A:$A,D$4)-'Premissas DRE'!$C$7*SUMIFS(Notas!$AE:$AE,Notas!$C:$C,"NF-e",Notas!$E:$E,"2.01.96*",Notas!$U:$U,'Premissas DRE'!$C$10,Notas!$A:$A,D$4)</f>
        <v/>
      </c>
      <c r="E15" s="68">
        <f>SUMIFS(Notas!$W:$W,Notas!$C:$C,"NF-e",Notas!$E:$E,"2.01.96*",Notas!$U:$U,'Premissas DRE'!$C$10,Notas!$A:$A,E$4)-'Premissas DRE'!$C$8*SUMIFS(Notas!$AA:$AA,Notas!$C:$C,"NF-e",Notas!$E:$E,"2.01.96*",Notas!$U:$U,'Premissas DRE'!$C$10,Notas!$A:$A,E$4)-'Premissas DRE'!$C$6*SUMIFS(Notas!$AB:$AB,Notas!$C:$C,"NF-e",Notas!$E:$E,"2.01.96*",Notas!$U:$U,'Premissas DRE'!$C$10,Notas!$A:$A,E$4)-'Premissas DRE'!$C$7*SUMIFS(Notas!$AD:$AD,Notas!$C:$C,"NF-e",Notas!$E:$E,"2.01.96*",Notas!$U:$U,'Premissas DRE'!$C$10,Notas!$A:$A,E$4)-'Premissas DRE'!$C$7*SUMIFS(Notas!$AE:$AE,Notas!$C:$C,"NF-e",Notas!$E:$E,"2.01.96*",Notas!$U:$U,'Premissas DRE'!$C$10,Notas!$A:$A,E$4)</f>
        <v/>
      </c>
      <c r="F15" s="68">
        <f>SUMIFS(Notas!$W:$W,Notas!$C:$C,"NF-e",Notas!$E:$E,"2.01.96*",Notas!$U:$U,'Premissas DRE'!$C$10,Notas!$A:$A,F$4)-'Premissas DRE'!$C$8*SUMIFS(Notas!$AA:$AA,Notas!$C:$C,"NF-e",Notas!$E:$E,"2.01.96*",Notas!$U:$U,'Premissas DRE'!$C$10,Notas!$A:$A,F$4)-'Premissas DRE'!$C$6*SUMIFS(Notas!$AB:$AB,Notas!$C:$C,"NF-e",Notas!$E:$E,"2.01.96*",Notas!$U:$U,'Premissas DRE'!$C$10,Notas!$A:$A,F$4)-'Premissas DRE'!$C$7*SUMIFS(Notas!$AD:$AD,Notas!$C:$C,"NF-e",Notas!$E:$E,"2.01.96*",Notas!$U:$U,'Premissas DRE'!$C$10,Notas!$A:$A,F$4)-'Premissas DRE'!$C$7*SUMIFS(Notas!$AE:$AE,Notas!$C:$C,"NF-e",Notas!$E:$E,"2.01.96*",Notas!$U:$U,'Premissas DRE'!$C$10,Notas!$A:$A,F$4)</f>
        <v/>
      </c>
      <c r="G15" s="68">
        <f>SUMIFS(Notas!$W:$W,Notas!$C:$C,"NF-e",Notas!$E:$E,"2.01.96*",Notas!$U:$U,'Premissas DRE'!$C$10,Notas!$A:$A,G$4)-'Premissas DRE'!$C$8*SUMIFS(Notas!$AA:$AA,Notas!$C:$C,"NF-e",Notas!$E:$E,"2.01.96*",Notas!$U:$U,'Premissas DRE'!$C$10,Notas!$A:$A,G$4)-'Premissas DRE'!$C$6*SUMIFS(Notas!$AB:$AB,Notas!$C:$C,"NF-e",Notas!$E:$E,"2.01.96*",Notas!$U:$U,'Premissas DRE'!$C$10,Notas!$A:$A,G$4)-'Premissas DRE'!$C$7*SUMIFS(Notas!$AD:$AD,Notas!$C:$C,"NF-e",Notas!$E:$E,"2.01.96*",Notas!$U:$U,'Premissas DRE'!$C$10,Notas!$A:$A,G$4)-'Premissas DRE'!$C$7*SUMIFS(Notas!$AE:$AE,Notas!$C:$C,"NF-e",Notas!$E:$E,"2.01.96*",Notas!$U:$U,'Premissas DRE'!$C$10,Notas!$A:$A,G$4)</f>
        <v/>
      </c>
      <c r="H15" s="68">
        <f>SUMIFS(Notas!$W:$W,Notas!$C:$C,"NF-e",Notas!$E:$E,"2.01.96*",Notas!$U:$U,'Premissas DRE'!$C$10,Notas!$A:$A,H$4)-'Premissas DRE'!$C$8*SUMIFS(Notas!$AA:$AA,Notas!$C:$C,"NF-e",Notas!$E:$E,"2.01.96*",Notas!$U:$U,'Premissas DRE'!$C$10,Notas!$A:$A,H$4)-'Premissas DRE'!$C$6*SUMIFS(Notas!$AB:$AB,Notas!$C:$C,"NF-e",Notas!$E:$E,"2.01.96*",Notas!$U:$U,'Premissas DRE'!$C$10,Notas!$A:$A,H$4)-'Premissas DRE'!$C$7*SUMIFS(Notas!$AD:$AD,Notas!$C:$C,"NF-e",Notas!$E:$E,"2.01.96*",Notas!$U:$U,'Premissas DRE'!$C$10,Notas!$A:$A,H$4)-'Premissas DRE'!$C$7*SUMIFS(Notas!$AE:$AE,Notas!$C:$C,"NF-e",Notas!$E:$E,"2.01.96*",Notas!$U:$U,'Premissas DRE'!$C$10,Notas!$A:$A,H$4)</f>
        <v/>
      </c>
      <c r="I15" s="68">
        <f>SUMIFS(Notas!$W:$W,Notas!$C:$C,"NF-e",Notas!$E:$E,"2.01.96*",Notas!$U:$U,'Premissas DRE'!$C$10,Notas!$A:$A,I$4)-'Premissas DRE'!$C$8*SUMIFS(Notas!$AA:$AA,Notas!$C:$C,"NF-e",Notas!$E:$E,"2.01.96*",Notas!$U:$U,'Premissas DRE'!$C$10,Notas!$A:$A,I$4)-'Premissas DRE'!$C$6*SUMIFS(Notas!$AB:$AB,Notas!$C:$C,"NF-e",Notas!$E:$E,"2.01.96*",Notas!$U:$U,'Premissas DRE'!$C$10,Notas!$A:$A,I$4)-'Premissas DRE'!$C$7*SUMIFS(Notas!$AD:$AD,Notas!$C:$C,"NF-e",Notas!$E:$E,"2.01.96*",Notas!$U:$U,'Premissas DRE'!$C$10,Notas!$A:$A,I$4)-'Premissas DRE'!$C$7*SUMIFS(Notas!$AE:$AE,Notas!$C:$C,"NF-e",Notas!$E:$E,"2.01.96*",Notas!$U:$U,'Premissas DRE'!$C$10,Notas!$A:$A,I$4)</f>
        <v/>
      </c>
      <c r="J15" s="68">
        <f>SUMIFS(Notas!$W:$W,Notas!$C:$C,"NF-e",Notas!$E:$E,"2.01.96*",Notas!$U:$U,'Premissas DRE'!$C$10,Notas!$A:$A,J$4)-'Premissas DRE'!$C$8*SUMIFS(Notas!$AA:$AA,Notas!$C:$C,"NF-e",Notas!$E:$E,"2.01.96*",Notas!$U:$U,'Premissas DRE'!$C$10,Notas!$A:$A,J$4)-'Premissas DRE'!$C$6*SUMIFS(Notas!$AB:$AB,Notas!$C:$C,"NF-e",Notas!$E:$E,"2.01.96*",Notas!$U:$U,'Premissas DRE'!$C$10,Notas!$A:$A,J$4)-'Premissas DRE'!$C$7*SUMIFS(Notas!$AD:$AD,Notas!$C:$C,"NF-e",Notas!$E:$E,"2.01.96*",Notas!$U:$U,'Premissas DRE'!$C$10,Notas!$A:$A,J$4)-'Premissas DRE'!$C$7*SUMIFS(Notas!$AE:$AE,Notas!$C:$C,"NF-e",Notas!$E:$E,"2.01.96*",Notas!$U:$U,'Premissas DRE'!$C$10,Notas!$A:$A,J$4)</f>
        <v/>
      </c>
      <c r="K15" s="68">
        <f>SUMIFS(Notas!$W:$W,Notas!$C:$C,"NF-e",Notas!$E:$E,"2.01.96*",Notas!$U:$U,'Premissas DRE'!$C$10,Notas!$A:$A,K$4)-'Premissas DRE'!$C$8*SUMIFS(Notas!$AA:$AA,Notas!$C:$C,"NF-e",Notas!$E:$E,"2.01.96*",Notas!$U:$U,'Premissas DRE'!$C$10,Notas!$A:$A,K$4)-'Premissas DRE'!$C$6*SUMIFS(Notas!$AB:$AB,Notas!$C:$C,"NF-e",Notas!$E:$E,"2.01.96*",Notas!$U:$U,'Premissas DRE'!$C$10,Notas!$A:$A,K$4)-'Premissas DRE'!$C$7*SUMIFS(Notas!$AD:$AD,Notas!$C:$C,"NF-e",Notas!$E:$E,"2.01.96*",Notas!$U:$U,'Premissas DRE'!$C$10,Notas!$A:$A,K$4)-'Premissas DRE'!$C$7*SUMIFS(Notas!$AE:$AE,Notas!$C:$C,"NF-e",Notas!$E:$E,"2.01.96*",Notas!$U:$U,'Premissas DRE'!$C$10,Notas!$A:$A,K$4)</f>
        <v/>
      </c>
      <c r="L15" s="68">
        <f>SUM(C15:K15)</f>
        <v/>
      </c>
    </row>
    <row r="16">
      <c r="A16" s="58" t="inlineStr">
        <is>
          <t>Matérias-primas</t>
        </is>
      </c>
      <c r="B16" s="58" t="inlineStr"/>
      <c r="C16" s="70">
        <f>C12+C13+C14+C15</f>
        <v/>
      </c>
      <c r="D16" s="70">
        <f>D12+D13+D14+D15</f>
        <v/>
      </c>
      <c r="E16" s="70">
        <f>E12+E13+E14+E15</f>
        <v/>
      </c>
      <c r="F16" s="70">
        <f>F12+F13+F14+F15</f>
        <v/>
      </c>
      <c r="G16" s="70">
        <f>G12+G13+G14+G15</f>
        <v/>
      </c>
      <c r="H16" s="70">
        <f>H12+H13+H14+H15</f>
        <v/>
      </c>
      <c r="I16" s="70">
        <f>I12+I13+I14+I15</f>
        <v/>
      </c>
      <c r="J16" s="70">
        <f>J12+J13+J14+J15</f>
        <v/>
      </c>
      <c r="K16" s="70">
        <f>K12+K13+K14+K15</f>
        <v/>
      </c>
      <c r="L16" s="70">
        <f>SUM(C16:K16)</f>
        <v/>
      </c>
    </row>
    <row r="17">
      <c r="A17" s="53" t="inlineStr">
        <is>
          <t>Caixas</t>
        </is>
      </c>
      <c r="B17" s="48" t="inlineStr">
        <is>
          <t>NF-e · 2.01.99</t>
        </is>
      </c>
      <c r="C17" s="68">
        <f>SUMIFS(Notas!$W:$W,Notas!$C:$C,"NF-e",Notas!$E:$E,"2.01.99*",Notas!$U:$U,'Premissas DRE'!$C$10,Notas!$A:$A,C$4)-'Premissas DRE'!$C$8*SUMIFS(Notas!$AA:$AA,Notas!$C:$C,"NF-e",Notas!$E:$E,"2.01.99*",Notas!$U:$U,'Premissas DRE'!$C$10,Notas!$A:$A,C$4)-'Premissas DRE'!$C$6*SUMIFS(Notas!$AB:$AB,Notas!$C:$C,"NF-e",Notas!$E:$E,"2.01.99*",Notas!$U:$U,'Premissas DRE'!$C$10,Notas!$A:$A,C$4)-'Premissas DRE'!$C$7*SUMIFS(Notas!$AD:$AD,Notas!$C:$C,"NF-e",Notas!$E:$E,"2.01.99*",Notas!$U:$U,'Premissas DRE'!$C$10,Notas!$A:$A,C$4)-'Premissas DRE'!$C$7*SUMIFS(Notas!$AE:$AE,Notas!$C:$C,"NF-e",Notas!$E:$E,"2.01.99*",Notas!$U:$U,'Premissas DRE'!$C$10,Notas!$A:$A,C$4)</f>
        <v/>
      </c>
      <c r="D17" s="68">
        <f>SUMIFS(Notas!$W:$W,Notas!$C:$C,"NF-e",Notas!$E:$E,"2.01.99*",Notas!$U:$U,'Premissas DRE'!$C$10,Notas!$A:$A,D$4)-'Premissas DRE'!$C$8*SUMIFS(Notas!$AA:$AA,Notas!$C:$C,"NF-e",Notas!$E:$E,"2.01.99*",Notas!$U:$U,'Premissas DRE'!$C$10,Notas!$A:$A,D$4)-'Premissas DRE'!$C$6*SUMIFS(Notas!$AB:$AB,Notas!$C:$C,"NF-e",Notas!$E:$E,"2.01.99*",Notas!$U:$U,'Premissas DRE'!$C$10,Notas!$A:$A,D$4)-'Premissas DRE'!$C$7*SUMIFS(Notas!$AD:$AD,Notas!$C:$C,"NF-e",Notas!$E:$E,"2.01.99*",Notas!$U:$U,'Premissas DRE'!$C$10,Notas!$A:$A,D$4)-'Premissas DRE'!$C$7*SUMIFS(Notas!$AE:$AE,Notas!$C:$C,"NF-e",Notas!$E:$E,"2.01.99*",Notas!$U:$U,'Premissas DRE'!$C$10,Notas!$A:$A,D$4)</f>
        <v/>
      </c>
      <c r="E17" s="68">
        <f>SUMIFS(Notas!$W:$W,Notas!$C:$C,"NF-e",Notas!$E:$E,"2.01.99*",Notas!$U:$U,'Premissas DRE'!$C$10,Notas!$A:$A,E$4)-'Premissas DRE'!$C$8*SUMIFS(Notas!$AA:$AA,Notas!$C:$C,"NF-e",Notas!$E:$E,"2.01.99*",Notas!$U:$U,'Premissas DRE'!$C$10,Notas!$A:$A,E$4)-'Premissas DRE'!$C$6*SUMIFS(Notas!$AB:$AB,Notas!$C:$C,"NF-e",Notas!$E:$E,"2.01.99*",Notas!$U:$U,'Premissas DRE'!$C$10,Notas!$A:$A,E$4)-'Premissas DRE'!$C$7*SUMIFS(Notas!$AD:$AD,Notas!$C:$C,"NF-e",Notas!$E:$E,"2.01.99*",Notas!$U:$U,'Premissas DRE'!$C$10,Notas!$A:$A,E$4)-'Premissas DRE'!$C$7*SUMIFS(Notas!$AE:$AE,Notas!$C:$C,"NF-e",Notas!$E:$E,"2.01.99*",Notas!$U:$U,'Premissas DRE'!$C$10,Notas!$A:$A,E$4)</f>
        <v/>
      </c>
      <c r="F17" s="68">
        <f>SUMIFS(Notas!$W:$W,Notas!$C:$C,"NF-e",Notas!$E:$E,"2.01.99*",Notas!$U:$U,'Premissas DRE'!$C$10,Notas!$A:$A,F$4)-'Premissas DRE'!$C$8*SUMIFS(Notas!$AA:$AA,Notas!$C:$C,"NF-e",Notas!$E:$E,"2.01.99*",Notas!$U:$U,'Premissas DRE'!$C$10,Notas!$A:$A,F$4)-'Premissas DRE'!$C$6*SUMIFS(Notas!$AB:$AB,Notas!$C:$C,"NF-e",Notas!$E:$E,"2.01.99*",Notas!$U:$U,'Premissas DRE'!$C$10,Notas!$A:$A,F$4)-'Premissas DRE'!$C$7*SUMIFS(Notas!$AD:$AD,Notas!$C:$C,"NF-e",Notas!$E:$E,"2.01.99*",Notas!$U:$U,'Premissas DRE'!$C$10,Notas!$A:$A,F$4)-'Premissas DRE'!$C$7*SUMIFS(Notas!$AE:$AE,Notas!$C:$C,"NF-e",Notas!$E:$E,"2.01.99*",Notas!$U:$U,'Premissas DRE'!$C$10,Notas!$A:$A,F$4)</f>
        <v/>
      </c>
      <c r="G17" s="68">
        <f>SUMIFS(Notas!$W:$W,Notas!$C:$C,"NF-e",Notas!$E:$E,"2.01.99*",Notas!$U:$U,'Premissas DRE'!$C$10,Notas!$A:$A,G$4)-'Premissas DRE'!$C$8*SUMIFS(Notas!$AA:$AA,Notas!$C:$C,"NF-e",Notas!$E:$E,"2.01.99*",Notas!$U:$U,'Premissas DRE'!$C$10,Notas!$A:$A,G$4)-'Premissas DRE'!$C$6*SUMIFS(Notas!$AB:$AB,Notas!$C:$C,"NF-e",Notas!$E:$E,"2.01.99*",Notas!$U:$U,'Premissas DRE'!$C$10,Notas!$A:$A,G$4)-'Premissas DRE'!$C$7*SUMIFS(Notas!$AD:$AD,Notas!$C:$C,"NF-e",Notas!$E:$E,"2.01.99*",Notas!$U:$U,'Premissas DRE'!$C$10,Notas!$A:$A,G$4)-'Premissas DRE'!$C$7*SUMIFS(Notas!$AE:$AE,Notas!$C:$C,"NF-e",Notas!$E:$E,"2.01.99*",Notas!$U:$U,'Premissas DRE'!$C$10,Notas!$A:$A,G$4)</f>
        <v/>
      </c>
      <c r="H17" s="68">
        <f>SUMIFS(Notas!$W:$W,Notas!$C:$C,"NF-e",Notas!$E:$E,"2.01.99*",Notas!$U:$U,'Premissas DRE'!$C$10,Notas!$A:$A,H$4)-'Premissas DRE'!$C$8*SUMIFS(Notas!$AA:$AA,Notas!$C:$C,"NF-e",Notas!$E:$E,"2.01.99*",Notas!$U:$U,'Premissas DRE'!$C$10,Notas!$A:$A,H$4)-'Premissas DRE'!$C$6*SUMIFS(Notas!$AB:$AB,Notas!$C:$C,"NF-e",Notas!$E:$E,"2.01.99*",Notas!$U:$U,'Premissas DRE'!$C$10,Notas!$A:$A,H$4)-'Premissas DRE'!$C$7*SUMIFS(Notas!$AD:$AD,Notas!$C:$C,"NF-e",Notas!$E:$E,"2.01.99*",Notas!$U:$U,'Premissas DRE'!$C$10,Notas!$A:$A,H$4)-'Premissas DRE'!$C$7*SUMIFS(Notas!$AE:$AE,Notas!$C:$C,"NF-e",Notas!$E:$E,"2.01.99*",Notas!$U:$U,'Premissas DRE'!$C$10,Notas!$A:$A,H$4)</f>
        <v/>
      </c>
      <c r="I17" s="68">
        <f>SUMIFS(Notas!$W:$W,Notas!$C:$C,"NF-e",Notas!$E:$E,"2.01.99*",Notas!$U:$U,'Premissas DRE'!$C$10,Notas!$A:$A,I$4)-'Premissas DRE'!$C$8*SUMIFS(Notas!$AA:$AA,Notas!$C:$C,"NF-e",Notas!$E:$E,"2.01.99*",Notas!$U:$U,'Premissas DRE'!$C$10,Notas!$A:$A,I$4)-'Premissas DRE'!$C$6*SUMIFS(Notas!$AB:$AB,Notas!$C:$C,"NF-e",Notas!$E:$E,"2.01.99*",Notas!$U:$U,'Premissas DRE'!$C$10,Notas!$A:$A,I$4)-'Premissas DRE'!$C$7*SUMIFS(Notas!$AD:$AD,Notas!$C:$C,"NF-e",Notas!$E:$E,"2.01.99*",Notas!$U:$U,'Premissas DRE'!$C$10,Notas!$A:$A,I$4)-'Premissas DRE'!$C$7*SUMIFS(Notas!$AE:$AE,Notas!$C:$C,"NF-e",Notas!$E:$E,"2.01.99*",Notas!$U:$U,'Premissas DRE'!$C$10,Notas!$A:$A,I$4)</f>
        <v/>
      </c>
      <c r="J17" s="68">
        <f>SUMIFS(Notas!$W:$W,Notas!$C:$C,"NF-e",Notas!$E:$E,"2.01.99*",Notas!$U:$U,'Premissas DRE'!$C$10,Notas!$A:$A,J$4)-'Premissas DRE'!$C$8*SUMIFS(Notas!$AA:$AA,Notas!$C:$C,"NF-e",Notas!$E:$E,"2.01.99*",Notas!$U:$U,'Premissas DRE'!$C$10,Notas!$A:$A,J$4)-'Premissas DRE'!$C$6*SUMIFS(Notas!$AB:$AB,Notas!$C:$C,"NF-e",Notas!$E:$E,"2.01.99*",Notas!$U:$U,'Premissas DRE'!$C$10,Notas!$A:$A,J$4)-'Premissas DRE'!$C$7*SUMIFS(Notas!$AD:$AD,Notas!$C:$C,"NF-e",Notas!$E:$E,"2.01.99*",Notas!$U:$U,'Premissas DRE'!$C$10,Notas!$A:$A,J$4)-'Premissas DRE'!$C$7*SUMIFS(Notas!$AE:$AE,Notas!$C:$C,"NF-e",Notas!$E:$E,"2.01.99*",Notas!$U:$U,'Premissas DRE'!$C$10,Notas!$A:$A,J$4)</f>
        <v/>
      </c>
      <c r="K17" s="68">
        <f>SUMIFS(Notas!$W:$W,Notas!$C:$C,"NF-e",Notas!$E:$E,"2.01.99*",Notas!$U:$U,'Premissas DRE'!$C$10,Notas!$A:$A,K$4)-'Premissas DRE'!$C$8*SUMIFS(Notas!$AA:$AA,Notas!$C:$C,"NF-e",Notas!$E:$E,"2.01.99*",Notas!$U:$U,'Premissas DRE'!$C$10,Notas!$A:$A,K$4)-'Premissas DRE'!$C$6*SUMIFS(Notas!$AB:$AB,Notas!$C:$C,"NF-e",Notas!$E:$E,"2.01.99*",Notas!$U:$U,'Premissas DRE'!$C$10,Notas!$A:$A,K$4)-'Premissas DRE'!$C$7*SUMIFS(Notas!$AD:$AD,Notas!$C:$C,"NF-e",Notas!$E:$E,"2.01.99*",Notas!$U:$U,'Premissas DRE'!$C$10,Notas!$A:$A,K$4)-'Premissas DRE'!$C$7*SUMIFS(Notas!$AE:$AE,Notas!$C:$C,"NF-e",Notas!$E:$E,"2.01.99*",Notas!$U:$U,'Premissas DRE'!$C$10,Notas!$A:$A,K$4)</f>
        <v/>
      </c>
      <c r="L17" s="68">
        <f>SUM(C17:K17)</f>
        <v/>
      </c>
    </row>
    <row r="18">
      <c r="A18" s="53" t="inlineStr">
        <is>
          <t>Filme stretch</t>
        </is>
      </c>
      <c r="B18" s="48" t="inlineStr">
        <is>
          <t>NF-e · 2.01.91</t>
        </is>
      </c>
      <c r="C18" s="68">
        <f>SUMIFS(Notas!$W:$W,Notas!$C:$C,"NF-e",Notas!$E:$E,"2.01.91*",Notas!$U:$U,'Premissas DRE'!$C$10,Notas!$A:$A,C$4)-'Premissas DRE'!$C$8*SUMIFS(Notas!$AA:$AA,Notas!$C:$C,"NF-e",Notas!$E:$E,"2.01.91*",Notas!$U:$U,'Premissas DRE'!$C$10,Notas!$A:$A,C$4)-'Premissas DRE'!$C$6*SUMIFS(Notas!$AB:$AB,Notas!$C:$C,"NF-e",Notas!$E:$E,"2.01.91*",Notas!$U:$U,'Premissas DRE'!$C$10,Notas!$A:$A,C$4)-'Premissas DRE'!$C$7*SUMIFS(Notas!$AD:$AD,Notas!$C:$C,"NF-e",Notas!$E:$E,"2.01.91*",Notas!$U:$U,'Premissas DRE'!$C$10,Notas!$A:$A,C$4)-'Premissas DRE'!$C$7*SUMIFS(Notas!$AE:$AE,Notas!$C:$C,"NF-e",Notas!$E:$E,"2.01.91*",Notas!$U:$U,'Premissas DRE'!$C$10,Notas!$A:$A,C$4)</f>
        <v/>
      </c>
      <c r="D18" s="68">
        <f>SUMIFS(Notas!$W:$W,Notas!$C:$C,"NF-e",Notas!$E:$E,"2.01.91*",Notas!$U:$U,'Premissas DRE'!$C$10,Notas!$A:$A,D$4)-'Premissas DRE'!$C$8*SUMIFS(Notas!$AA:$AA,Notas!$C:$C,"NF-e",Notas!$E:$E,"2.01.91*",Notas!$U:$U,'Premissas DRE'!$C$10,Notas!$A:$A,D$4)-'Premissas DRE'!$C$6*SUMIFS(Notas!$AB:$AB,Notas!$C:$C,"NF-e",Notas!$E:$E,"2.01.91*",Notas!$U:$U,'Premissas DRE'!$C$10,Notas!$A:$A,D$4)-'Premissas DRE'!$C$7*SUMIFS(Notas!$AD:$AD,Notas!$C:$C,"NF-e",Notas!$E:$E,"2.01.91*",Notas!$U:$U,'Premissas DRE'!$C$10,Notas!$A:$A,D$4)-'Premissas DRE'!$C$7*SUMIFS(Notas!$AE:$AE,Notas!$C:$C,"NF-e",Notas!$E:$E,"2.01.91*",Notas!$U:$U,'Premissas DRE'!$C$10,Notas!$A:$A,D$4)</f>
        <v/>
      </c>
      <c r="E18" s="68">
        <f>SUMIFS(Notas!$W:$W,Notas!$C:$C,"NF-e",Notas!$E:$E,"2.01.91*",Notas!$U:$U,'Premissas DRE'!$C$10,Notas!$A:$A,E$4)-'Premissas DRE'!$C$8*SUMIFS(Notas!$AA:$AA,Notas!$C:$C,"NF-e",Notas!$E:$E,"2.01.91*",Notas!$U:$U,'Premissas DRE'!$C$10,Notas!$A:$A,E$4)-'Premissas DRE'!$C$6*SUMIFS(Notas!$AB:$AB,Notas!$C:$C,"NF-e",Notas!$E:$E,"2.01.91*",Notas!$U:$U,'Premissas DRE'!$C$10,Notas!$A:$A,E$4)-'Premissas DRE'!$C$7*SUMIFS(Notas!$AD:$AD,Notas!$C:$C,"NF-e",Notas!$E:$E,"2.01.91*",Notas!$U:$U,'Premissas DRE'!$C$10,Notas!$A:$A,E$4)-'Premissas DRE'!$C$7*SUMIFS(Notas!$AE:$AE,Notas!$C:$C,"NF-e",Notas!$E:$E,"2.01.91*",Notas!$U:$U,'Premissas DRE'!$C$10,Notas!$A:$A,E$4)</f>
        <v/>
      </c>
      <c r="F18" s="68">
        <f>SUMIFS(Notas!$W:$W,Notas!$C:$C,"NF-e",Notas!$E:$E,"2.01.91*",Notas!$U:$U,'Premissas DRE'!$C$10,Notas!$A:$A,F$4)-'Premissas DRE'!$C$8*SUMIFS(Notas!$AA:$AA,Notas!$C:$C,"NF-e",Notas!$E:$E,"2.01.91*",Notas!$U:$U,'Premissas DRE'!$C$10,Notas!$A:$A,F$4)-'Premissas DRE'!$C$6*SUMIFS(Notas!$AB:$AB,Notas!$C:$C,"NF-e",Notas!$E:$E,"2.01.91*",Notas!$U:$U,'Premissas DRE'!$C$10,Notas!$A:$A,F$4)-'Premissas DRE'!$C$7*SUMIFS(Notas!$AD:$AD,Notas!$C:$C,"NF-e",Notas!$E:$E,"2.01.91*",Notas!$U:$U,'Premissas DRE'!$C$10,Notas!$A:$A,F$4)-'Premissas DRE'!$C$7*SUMIFS(Notas!$AE:$AE,Notas!$C:$C,"NF-e",Notas!$E:$E,"2.01.91*",Notas!$U:$U,'Premissas DRE'!$C$10,Notas!$A:$A,F$4)</f>
        <v/>
      </c>
      <c r="G18" s="68">
        <f>SUMIFS(Notas!$W:$W,Notas!$C:$C,"NF-e",Notas!$E:$E,"2.01.91*",Notas!$U:$U,'Premissas DRE'!$C$10,Notas!$A:$A,G$4)-'Premissas DRE'!$C$8*SUMIFS(Notas!$AA:$AA,Notas!$C:$C,"NF-e",Notas!$E:$E,"2.01.91*",Notas!$U:$U,'Premissas DRE'!$C$10,Notas!$A:$A,G$4)-'Premissas DRE'!$C$6*SUMIFS(Notas!$AB:$AB,Notas!$C:$C,"NF-e",Notas!$E:$E,"2.01.91*",Notas!$U:$U,'Premissas DRE'!$C$10,Notas!$A:$A,G$4)-'Premissas DRE'!$C$7*SUMIFS(Notas!$AD:$AD,Notas!$C:$C,"NF-e",Notas!$E:$E,"2.01.91*",Notas!$U:$U,'Premissas DRE'!$C$10,Notas!$A:$A,G$4)-'Premissas DRE'!$C$7*SUMIFS(Notas!$AE:$AE,Notas!$C:$C,"NF-e",Notas!$E:$E,"2.01.91*",Notas!$U:$U,'Premissas DRE'!$C$10,Notas!$A:$A,G$4)</f>
        <v/>
      </c>
      <c r="H18" s="68">
        <f>SUMIFS(Notas!$W:$W,Notas!$C:$C,"NF-e",Notas!$E:$E,"2.01.91*",Notas!$U:$U,'Premissas DRE'!$C$10,Notas!$A:$A,H$4)-'Premissas DRE'!$C$8*SUMIFS(Notas!$AA:$AA,Notas!$C:$C,"NF-e",Notas!$E:$E,"2.01.91*",Notas!$U:$U,'Premissas DRE'!$C$10,Notas!$A:$A,H$4)-'Premissas DRE'!$C$6*SUMIFS(Notas!$AB:$AB,Notas!$C:$C,"NF-e",Notas!$E:$E,"2.01.91*",Notas!$U:$U,'Premissas DRE'!$C$10,Notas!$A:$A,H$4)-'Premissas DRE'!$C$7*SUMIFS(Notas!$AD:$AD,Notas!$C:$C,"NF-e",Notas!$E:$E,"2.01.91*",Notas!$U:$U,'Premissas DRE'!$C$10,Notas!$A:$A,H$4)-'Premissas DRE'!$C$7*SUMIFS(Notas!$AE:$AE,Notas!$C:$C,"NF-e",Notas!$E:$E,"2.01.91*",Notas!$U:$U,'Premissas DRE'!$C$10,Notas!$A:$A,H$4)</f>
        <v/>
      </c>
      <c r="I18" s="68">
        <f>SUMIFS(Notas!$W:$W,Notas!$C:$C,"NF-e",Notas!$E:$E,"2.01.91*",Notas!$U:$U,'Premissas DRE'!$C$10,Notas!$A:$A,I$4)-'Premissas DRE'!$C$8*SUMIFS(Notas!$AA:$AA,Notas!$C:$C,"NF-e",Notas!$E:$E,"2.01.91*",Notas!$U:$U,'Premissas DRE'!$C$10,Notas!$A:$A,I$4)-'Premissas DRE'!$C$6*SUMIFS(Notas!$AB:$AB,Notas!$C:$C,"NF-e",Notas!$E:$E,"2.01.91*",Notas!$U:$U,'Premissas DRE'!$C$10,Notas!$A:$A,I$4)-'Premissas DRE'!$C$7*SUMIFS(Notas!$AD:$AD,Notas!$C:$C,"NF-e",Notas!$E:$E,"2.01.91*",Notas!$U:$U,'Premissas DRE'!$C$10,Notas!$A:$A,I$4)-'Premissas DRE'!$C$7*SUMIFS(Notas!$AE:$AE,Notas!$C:$C,"NF-e",Notas!$E:$E,"2.01.91*",Notas!$U:$U,'Premissas DRE'!$C$10,Notas!$A:$A,I$4)</f>
        <v/>
      </c>
      <c r="J18" s="68">
        <f>SUMIFS(Notas!$W:$W,Notas!$C:$C,"NF-e",Notas!$E:$E,"2.01.91*",Notas!$U:$U,'Premissas DRE'!$C$10,Notas!$A:$A,J$4)-'Premissas DRE'!$C$8*SUMIFS(Notas!$AA:$AA,Notas!$C:$C,"NF-e",Notas!$E:$E,"2.01.91*",Notas!$U:$U,'Premissas DRE'!$C$10,Notas!$A:$A,J$4)-'Premissas DRE'!$C$6*SUMIFS(Notas!$AB:$AB,Notas!$C:$C,"NF-e",Notas!$E:$E,"2.01.91*",Notas!$U:$U,'Premissas DRE'!$C$10,Notas!$A:$A,J$4)-'Premissas DRE'!$C$7*SUMIFS(Notas!$AD:$AD,Notas!$C:$C,"NF-e",Notas!$E:$E,"2.01.91*",Notas!$U:$U,'Premissas DRE'!$C$10,Notas!$A:$A,J$4)-'Premissas DRE'!$C$7*SUMIFS(Notas!$AE:$AE,Notas!$C:$C,"NF-e",Notas!$E:$E,"2.01.91*",Notas!$U:$U,'Premissas DRE'!$C$10,Notas!$A:$A,J$4)</f>
        <v/>
      </c>
      <c r="K18" s="68">
        <f>SUMIFS(Notas!$W:$W,Notas!$C:$C,"NF-e",Notas!$E:$E,"2.01.91*",Notas!$U:$U,'Premissas DRE'!$C$10,Notas!$A:$A,K$4)-'Premissas DRE'!$C$8*SUMIFS(Notas!$AA:$AA,Notas!$C:$C,"NF-e",Notas!$E:$E,"2.01.91*",Notas!$U:$U,'Premissas DRE'!$C$10,Notas!$A:$A,K$4)-'Premissas DRE'!$C$6*SUMIFS(Notas!$AB:$AB,Notas!$C:$C,"NF-e",Notas!$E:$E,"2.01.91*",Notas!$U:$U,'Premissas DRE'!$C$10,Notas!$A:$A,K$4)-'Premissas DRE'!$C$7*SUMIFS(Notas!$AD:$AD,Notas!$C:$C,"NF-e",Notas!$E:$E,"2.01.91*",Notas!$U:$U,'Premissas DRE'!$C$10,Notas!$A:$A,K$4)-'Premissas DRE'!$C$7*SUMIFS(Notas!$AE:$AE,Notas!$C:$C,"NF-e",Notas!$E:$E,"2.01.91*",Notas!$U:$U,'Premissas DRE'!$C$10,Notas!$A:$A,K$4)</f>
        <v/>
      </c>
      <c r="L18" s="68">
        <f>SUM(C18:K18)</f>
        <v/>
      </c>
    </row>
    <row r="19">
      <c r="A19" s="53" t="inlineStr">
        <is>
          <t>Fita adesiva</t>
        </is>
      </c>
      <c r="B19" s="48" t="inlineStr">
        <is>
          <t>NF-e · 2.01.94</t>
        </is>
      </c>
      <c r="C19" s="68">
        <f>SUMIFS(Notas!$W:$W,Notas!$C:$C,"NF-e",Notas!$E:$E,"2.01.94*",Notas!$U:$U,'Premissas DRE'!$C$10,Notas!$A:$A,C$4)-'Premissas DRE'!$C$8*SUMIFS(Notas!$AA:$AA,Notas!$C:$C,"NF-e",Notas!$E:$E,"2.01.94*",Notas!$U:$U,'Premissas DRE'!$C$10,Notas!$A:$A,C$4)-'Premissas DRE'!$C$6*SUMIFS(Notas!$AB:$AB,Notas!$C:$C,"NF-e",Notas!$E:$E,"2.01.94*",Notas!$U:$U,'Premissas DRE'!$C$10,Notas!$A:$A,C$4)-'Premissas DRE'!$C$7*SUMIFS(Notas!$AD:$AD,Notas!$C:$C,"NF-e",Notas!$E:$E,"2.01.94*",Notas!$U:$U,'Premissas DRE'!$C$10,Notas!$A:$A,C$4)-'Premissas DRE'!$C$7*SUMIFS(Notas!$AE:$AE,Notas!$C:$C,"NF-e",Notas!$E:$E,"2.01.94*",Notas!$U:$U,'Premissas DRE'!$C$10,Notas!$A:$A,C$4)</f>
        <v/>
      </c>
      <c r="D19" s="68">
        <f>SUMIFS(Notas!$W:$W,Notas!$C:$C,"NF-e",Notas!$E:$E,"2.01.94*",Notas!$U:$U,'Premissas DRE'!$C$10,Notas!$A:$A,D$4)-'Premissas DRE'!$C$8*SUMIFS(Notas!$AA:$AA,Notas!$C:$C,"NF-e",Notas!$E:$E,"2.01.94*",Notas!$U:$U,'Premissas DRE'!$C$10,Notas!$A:$A,D$4)-'Premissas DRE'!$C$6*SUMIFS(Notas!$AB:$AB,Notas!$C:$C,"NF-e",Notas!$E:$E,"2.01.94*",Notas!$U:$U,'Premissas DRE'!$C$10,Notas!$A:$A,D$4)-'Premissas DRE'!$C$7*SUMIFS(Notas!$AD:$AD,Notas!$C:$C,"NF-e",Notas!$E:$E,"2.01.94*",Notas!$U:$U,'Premissas DRE'!$C$10,Notas!$A:$A,D$4)-'Premissas DRE'!$C$7*SUMIFS(Notas!$AE:$AE,Notas!$C:$C,"NF-e",Notas!$E:$E,"2.01.94*",Notas!$U:$U,'Premissas DRE'!$C$10,Notas!$A:$A,D$4)</f>
        <v/>
      </c>
      <c r="E19" s="68">
        <f>SUMIFS(Notas!$W:$W,Notas!$C:$C,"NF-e",Notas!$E:$E,"2.01.94*",Notas!$U:$U,'Premissas DRE'!$C$10,Notas!$A:$A,E$4)-'Premissas DRE'!$C$8*SUMIFS(Notas!$AA:$AA,Notas!$C:$C,"NF-e",Notas!$E:$E,"2.01.94*",Notas!$U:$U,'Premissas DRE'!$C$10,Notas!$A:$A,E$4)-'Premissas DRE'!$C$6*SUMIFS(Notas!$AB:$AB,Notas!$C:$C,"NF-e",Notas!$E:$E,"2.01.94*",Notas!$U:$U,'Premissas DRE'!$C$10,Notas!$A:$A,E$4)-'Premissas DRE'!$C$7*SUMIFS(Notas!$AD:$AD,Notas!$C:$C,"NF-e",Notas!$E:$E,"2.01.94*",Notas!$U:$U,'Premissas DRE'!$C$10,Notas!$A:$A,E$4)-'Premissas DRE'!$C$7*SUMIFS(Notas!$AE:$AE,Notas!$C:$C,"NF-e",Notas!$E:$E,"2.01.94*",Notas!$U:$U,'Premissas DRE'!$C$10,Notas!$A:$A,E$4)</f>
        <v/>
      </c>
      <c r="F19" s="68">
        <f>SUMIFS(Notas!$W:$W,Notas!$C:$C,"NF-e",Notas!$E:$E,"2.01.94*",Notas!$U:$U,'Premissas DRE'!$C$10,Notas!$A:$A,F$4)-'Premissas DRE'!$C$8*SUMIFS(Notas!$AA:$AA,Notas!$C:$C,"NF-e",Notas!$E:$E,"2.01.94*",Notas!$U:$U,'Premissas DRE'!$C$10,Notas!$A:$A,F$4)-'Premissas DRE'!$C$6*SUMIFS(Notas!$AB:$AB,Notas!$C:$C,"NF-e",Notas!$E:$E,"2.01.94*",Notas!$U:$U,'Premissas DRE'!$C$10,Notas!$A:$A,F$4)-'Premissas DRE'!$C$7*SUMIFS(Notas!$AD:$AD,Notas!$C:$C,"NF-e",Notas!$E:$E,"2.01.94*",Notas!$U:$U,'Premissas DRE'!$C$10,Notas!$A:$A,F$4)-'Premissas DRE'!$C$7*SUMIFS(Notas!$AE:$AE,Notas!$C:$C,"NF-e",Notas!$E:$E,"2.01.94*",Notas!$U:$U,'Premissas DRE'!$C$10,Notas!$A:$A,F$4)</f>
        <v/>
      </c>
      <c r="G19" s="68">
        <f>SUMIFS(Notas!$W:$W,Notas!$C:$C,"NF-e",Notas!$E:$E,"2.01.94*",Notas!$U:$U,'Premissas DRE'!$C$10,Notas!$A:$A,G$4)-'Premissas DRE'!$C$8*SUMIFS(Notas!$AA:$AA,Notas!$C:$C,"NF-e",Notas!$E:$E,"2.01.94*",Notas!$U:$U,'Premissas DRE'!$C$10,Notas!$A:$A,G$4)-'Premissas DRE'!$C$6*SUMIFS(Notas!$AB:$AB,Notas!$C:$C,"NF-e",Notas!$E:$E,"2.01.94*",Notas!$U:$U,'Premissas DRE'!$C$10,Notas!$A:$A,G$4)-'Premissas DRE'!$C$7*SUMIFS(Notas!$AD:$AD,Notas!$C:$C,"NF-e",Notas!$E:$E,"2.01.94*",Notas!$U:$U,'Premissas DRE'!$C$10,Notas!$A:$A,G$4)-'Premissas DRE'!$C$7*SUMIFS(Notas!$AE:$AE,Notas!$C:$C,"NF-e",Notas!$E:$E,"2.01.94*",Notas!$U:$U,'Premissas DRE'!$C$10,Notas!$A:$A,G$4)</f>
        <v/>
      </c>
      <c r="H19" s="68">
        <f>SUMIFS(Notas!$W:$W,Notas!$C:$C,"NF-e",Notas!$E:$E,"2.01.94*",Notas!$U:$U,'Premissas DRE'!$C$10,Notas!$A:$A,H$4)-'Premissas DRE'!$C$8*SUMIFS(Notas!$AA:$AA,Notas!$C:$C,"NF-e",Notas!$E:$E,"2.01.94*",Notas!$U:$U,'Premissas DRE'!$C$10,Notas!$A:$A,H$4)-'Premissas DRE'!$C$6*SUMIFS(Notas!$AB:$AB,Notas!$C:$C,"NF-e",Notas!$E:$E,"2.01.94*",Notas!$U:$U,'Premissas DRE'!$C$10,Notas!$A:$A,H$4)-'Premissas DRE'!$C$7*SUMIFS(Notas!$AD:$AD,Notas!$C:$C,"NF-e",Notas!$E:$E,"2.01.94*",Notas!$U:$U,'Premissas DRE'!$C$10,Notas!$A:$A,H$4)-'Premissas DRE'!$C$7*SUMIFS(Notas!$AE:$AE,Notas!$C:$C,"NF-e",Notas!$E:$E,"2.01.94*",Notas!$U:$U,'Premissas DRE'!$C$10,Notas!$A:$A,H$4)</f>
        <v/>
      </c>
      <c r="I19" s="68">
        <f>SUMIFS(Notas!$W:$W,Notas!$C:$C,"NF-e",Notas!$E:$E,"2.01.94*",Notas!$U:$U,'Premissas DRE'!$C$10,Notas!$A:$A,I$4)-'Premissas DRE'!$C$8*SUMIFS(Notas!$AA:$AA,Notas!$C:$C,"NF-e",Notas!$E:$E,"2.01.94*",Notas!$U:$U,'Premissas DRE'!$C$10,Notas!$A:$A,I$4)-'Premissas DRE'!$C$6*SUMIFS(Notas!$AB:$AB,Notas!$C:$C,"NF-e",Notas!$E:$E,"2.01.94*",Notas!$U:$U,'Premissas DRE'!$C$10,Notas!$A:$A,I$4)-'Premissas DRE'!$C$7*SUMIFS(Notas!$AD:$AD,Notas!$C:$C,"NF-e",Notas!$E:$E,"2.01.94*",Notas!$U:$U,'Premissas DRE'!$C$10,Notas!$A:$A,I$4)-'Premissas DRE'!$C$7*SUMIFS(Notas!$AE:$AE,Notas!$C:$C,"NF-e",Notas!$E:$E,"2.01.94*",Notas!$U:$U,'Premissas DRE'!$C$10,Notas!$A:$A,I$4)</f>
        <v/>
      </c>
      <c r="J19" s="68">
        <f>SUMIFS(Notas!$W:$W,Notas!$C:$C,"NF-e",Notas!$E:$E,"2.01.94*",Notas!$U:$U,'Premissas DRE'!$C$10,Notas!$A:$A,J$4)-'Premissas DRE'!$C$8*SUMIFS(Notas!$AA:$AA,Notas!$C:$C,"NF-e",Notas!$E:$E,"2.01.94*",Notas!$U:$U,'Premissas DRE'!$C$10,Notas!$A:$A,J$4)-'Premissas DRE'!$C$6*SUMIFS(Notas!$AB:$AB,Notas!$C:$C,"NF-e",Notas!$E:$E,"2.01.94*",Notas!$U:$U,'Premissas DRE'!$C$10,Notas!$A:$A,J$4)-'Premissas DRE'!$C$7*SUMIFS(Notas!$AD:$AD,Notas!$C:$C,"NF-e",Notas!$E:$E,"2.01.94*",Notas!$U:$U,'Premissas DRE'!$C$10,Notas!$A:$A,J$4)-'Premissas DRE'!$C$7*SUMIFS(Notas!$AE:$AE,Notas!$C:$C,"NF-e",Notas!$E:$E,"2.01.94*",Notas!$U:$U,'Premissas DRE'!$C$10,Notas!$A:$A,J$4)</f>
        <v/>
      </c>
      <c r="K19" s="68">
        <f>SUMIFS(Notas!$W:$W,Notas!$C:$C,"NF-e",Notas!$E:$E,"2.01.94*",Notas!$U:$U,'Premissas DRE'!$C$10,Notas!$A:$A,K$4)-'Premissas DRE'!$C$8*SUMIFS(Notas!$AA:$AA,Notas!$C:$C,"NF-e",Notas!$E:$E,"2.01.94*",Notas!$U:$U,'Premissas DRE'!$C$10,Notas!$A:$A,K$4)-'Premissas DRE'!$C$6*SUMIFS(Notas!$AB:$AB,Notas!$C:$C,"NF-e",Notas!$E:$E,"2.01.94*",Notas!$U:$U,'Premissas DRE'!$C$10,Notas!$A:$A,K$4)-'Premissas DRE'!$C$7*SUMIFS(Notas!$AD:$AD,Notas!$C:$C,"NF-e",Notas!$E:$E,"2.01.94*",Notas!$U:$U,'Premissas DRE'!$C$10,Notas!$A:$A,K$4)-'Premissas DRE'!$C$7*SUMIFS(Notas!$AE:$AE,Notas!$C:$C,"NF-e",Notas!$E:$E,"2.01.94*",Notas!$U:$U,'Premissas DRE'!$C$10,Notas!$A:$A,K$4)</f>
        <v/>
      </c>
      <c r="L19" s="68">
        <f>SUM(C19:K19)</f>
        <v/>
      </c>
    </row>
    <row r="20">
      <c r="A20" s="53" t="inlineStr">
        <is>
          <t>Etiqueta</t>
        </is>
      </c>
      <c r="B20" s="48" t="inlineStr">
        <is>
          <t>NF-e · 2.01.95</t>
        </is>
      </c>
      <c r="C20" s="68">
        <f>SUMIFS(Notas!$W:$W,Notas!$C:$C,"NF-e",Notas!$E:$E,"2.01.95*",Notas!$U:$U,'Premissas DRE'!$C$10,Notas!$A:$A,C$4)-'Premissas DRE'!$C$8*SUMIFS(Notas!$AA:$AA,Notas!$C:$C,"NF-e",Notas!$E:$E,"2.01.95*",Notas!$U:$U,'Premissas DRE'!$C$10,Notas!$A:$A,C$4)-'Premissas DRE'!$C$6*SUMIFS(Notas!$AB:$AB,Notas!$C:$C,"NF-e",Notas!$E:$E,"2.01.95*",Notas!$U:$U,'Premissas DRE'!$C$10,Notas!$A:$A,C$4)-'Premissas DRE'!$C$7*SUMIFS(Notas!$AD:$AD,Notas!$C:$C,"NF-e",Notas!$E:$E,"2.01.95*",Notas!$U:$U,'Premissas DRE'!$C$10,Notas!$A:$A,C$4)-'Premissas DRE'!$C$7*SUMIFS(Notas!$AE:$AE,Notas!$C:$C,"NF-e",Notas!$E:$E,"2.01.95*",Notas!$U:$U,'Premissas DRE'!$C$10,Notas!$A:$A,C$4)</f>
        <v/>
      </c>
      <c r="D20" s="68">
        <f>SUMIFS(Notas!$W:$W,Notas!$C:$C,"NF-e",Notas!$E:$E,"2.01.95*",Notas!$U:$U,'Premissas DRE'!$C$10,Notas!$A:$A,D$4)-'Premissas DRE'!$C$8*SUMIFS(Notas!$AA:$AA,Notas!$C:$C,"NF-e",Notas!$E:$E,"2.01.95*",Notas!$U:$U,'Premissas DRE'!$C$10,Notas!$A:$A,D$4)-'Premissas DRE'!$C$6*SUMIFS(Notas!$AB:$AB,Notas!$C:$C,"NF-e",Notas!$E:$E,"2.01.95*",Notas!$U:$U,'Premissas DRE'!$C$10,Notas!$A:$A,D$4)-'Premissas DRE'!$C$7*SUMIFS(Notas!$AD:$AD,Notas!$C:$C,"NF-e",Notas!$E:$E,"2.01.95*",Notas!$U:$U,'Premissas DRE'!$C$10,Notas!$A:$A,D$4)-'Premissas DRE'!$C$7*SUMIFS(Notas!$AE:$AE,Notas!$C:$C,"NF-e",Notas!$E:$E,"2.01.95*",Notas!$U:$U,'Premissas DRE'!$C$10,Notas!$A:$A,D$4)</f>
        <v/>
      </c>
      <c r="E20" s="68">
        <f>SUMIFS(Notas!$W:$W,Notas!$C:$C,"NF-e",Notas!$E:$E,"2.01.95*",Notas!$U:$U,'Premissas DRE'!$C$10,Notas!$A:$A,E$4)-'Premissas DRE'!$C$8*SUMIFS(Notas!$AA:$AA,Notas!$C:$C,"NF-e",Notas!$E:$E,"2.01.95*",Notas!$U:$U,'Premissas DRE'!$C$10,Notas!$A:$A,E$4)-'Premissas DRE'!$C$6*SUMIFS(Notas!$AB:$AB,Notas!$C:$C,"NF-e",Notas!$E:$E,"2.01.95*",Notas!$U:$U,'Premissas DRE'!$C$10,Notas!$A:$A,E$4)-'Premissas DRE'!$C$7*SUMIFS(Notas!$AD:$AD,Notas!$C:$C,"NF-e",Notas!$E:$E,"2.01.95*",Notas!$U:$U,'Premissas DRE'!$C$10,Notas!$A:$A,E$4)-'Premissas DRE'!$C$7*SUMIFS(Notas!$AE:$AE,Notas!$C:$C,"NF-e",Notas!$E:$E,"2.01.95*",Notas!$U:$U,'Premissas DRE'!$C$10,Notas!$A:$A,E$4)</f>
        <v/>
      </c>
      <c r="F20" s="68">
        <f>SUMIFS(Notas!$W:$W,Notas!$C:$C,"NF-e",Notas!$E:$E,"2.01.95*",Notas!$U:$U,'Premissas DRE'!$C$10,Notas!$A:$A,F$4)-'Premissas DRE'!$C$8*SUMIFS(Notas!$AA:$AA,Notas!$C:$C,"NF-e",Notas!$E:$E,"2.01.95*",Notas!$U:$U,'Premissas DRE'!$C$10,Notas!$A:$A,F$4)-'Premissas DRE'!$C$6*SUMIFS(Notas!$AB:$AB,Notas!$C:$C,"NF-e",Notas!$E:$E,"2.01.95*",Notas!$U:$U,'Premissas DRE'!$C$10,Notas!$A:$A,F$4)-'Premissas DRE'!$C$7*SUMIFS(Notas!$AD:$AD,Notas!$C:$C,"NF-e",Notas!$E:$E,"2.01.95*",Notas!$U:$U,'Premissas DRE'!$C$10,Notas!$A:$A,F$4)-'Premissas DRE'!$C$7*SUMIFS(Notas!$AE:$AE,Notas!$C:$C,"NF-e",Notas!$E:$E,"2.01.95*",Notas!$U:$U,'Premissas DRE'!$C$10,Notas!$A:$A,F$4)</f>
        <v/>
      </c>
      <c r="G20" s="68">
        <f>SUMIFS(Notas!$W:$W,Notas!$C:$C,"NF-e",Notas!$E:$E,"2.01.95*",Notas!$U:$U,'Premissas DRE'!$C$10,Notas!$A:$A,G$4)-'Premissas DRE'!$C$8*SUMIFS(Notas!$AA:$AA,Notas!$C:$C,"NF-e",Notas!$E:$E,"2.01.95*",Notas!$U:$U,'Premissas DRE'!$C$10,Notas!$A:$A,G$4)-'Premissas DRE'!$C$6*SUMIFS(Notas!$AB:$AB,Notas!$C:$C,"NF-e",Notas!$E:$E,"2.01.95*",Notas!$U:$U,'Premissas DRE'!$C$10,Notas!$A:$A,G$4)-'Premissas DRE'!$C$7*SUMIFS(Notas!$AD:$AD,Notas!$C:$C,"NF-e",Notas!$E:$E,"2.01.95*",Notas!$U:$U,'Premissas DRE'!$C$10,Notas!$A:$A,G$4)-'Premissas DRE'!$C$7*SUMIFS(Notas!$AE:$AE,Notas!$C:$C,"NF-e",Notas!$E:$E,"2.01.95*",Notas!$U:$U,'Premissas DRE'!$C$10,Notas!$A:$A,G$4)</f>
        <v/>
      </c>
      <c r="H20" s="68">
        <f>SUMIFS(Notas!$W:$W,Notas!$C:$C,"NF-e",Notas!$E:$E,"2.01.95*",Notas!$U:$U,'Premissas DRE'!$C$10,Notas!$A:$A,H$4)-'Premissas DRE'!$C$8*SUMIFS(Notas!$AA:$AA,Notas!$C:$C,"NF-e",Notas!$E:$E,"2.01.95*",Notas!$U:$U,'Premissas DRE'!$C$10,Notas!$A:$A,H$4)-'Premissas DRE'!$C$6*SUMIFS(Notas!$AB:$AB,Notas!$C:$C,"NF-e",Notas!$E:$E,"2.01.95*",Notas!$U:$U,'Premissas DRE'!$C$10,Notas!$A:$A,H$4)-'Premissas DRE'!$C$7*SUMIFS(Notas!$AD:$AD,Notas!$C:$C,"NF-e",Notas!$E:$E,"2.01.95*",Notas!$U:$U,'Premissas DRE'!$C$10,Notas!$A:$A,H$4)-'Premissas DRE'!$C$7*SUMIFS(Notas!$AE:$AE,Notas!$C:$C,"NF-e",Notas!$E:$E,"2.01.95*",Notas!$U:$U,'Premissas DRE'!$C$10,Notas!$A:$A,H$4)</f>
        <v/>
      </c>
      <c r="I20" s="68">
        <f>SUMIFS(Notas!$W:$W,Notas!$C:$C,"NF-e",Notas!$E:$E,"2.01.95*",Notas!$U:$U,'Premissas DRE'!$C$10,Notas!$A:$A,I$4)-'Premissas DRE'!$C$8*SUMIFS(Notas!$AA:$AA,Notas!$C:$C,"NF-e",Notas!$E:$E,"2.01.95*",Notas!$U:$U,'Premissas DRE'!$C$10,Notas!$A:$A,I$4)-'Premissas DRE'!$C$6*SUMIFS(Notas!$AB:$AB,Notas!$C:$C,"NF-e",Notas!$E:$E,"2.01.95*",Notas!$U:$U,'Premissas DRE'!$C$10,Notas!$A:$A,I$4)-'Premissas DRE'!$C$7*SUMIFS(Notas!$AD:$AD,Notas!$C:$C,"NF-e",Notas!$E:$E,"2.01.95*",Notas!$U:$U,'Premissas DRE'!$C$10,Notas!$A:$A,I$4)-'Premissas DRE'!$C$7*SUMIFS(Notas!$AE:$AE,Notas!$C:$C,"NF-e",Notas!$E:$E,"2.01.95*",Notas!$U:$U,'Premissas DRE'!$C$10,Notas!$A:$A,I$4)</f>
        <v/>
      </c>
      <c r="J20" s="68">
        <f>SUMIFS(Notas!$W:$W,Notas!$C:$C,"NF-e",Notas!$E:$E,"2.01.95*",Notas!$U:$U,'Premissas DRE'!$C$10,Notas!$A:$A,J$4)-'Premissas DRE'!$C$8*SUMIFS(Notas!$AA:$AA,Notas!$C:$C,"NF-e",Notas!$E:$E,"2.01.95*",Notas!$U:$U,'Premissas DRE'!$C$10,Notas!$A:$A,J$4)-'Premissas DRE'!$C$6*SUMIFS(Notas!$AB:$AB,Notas!$C:$C,"NF-e",Notas!$E:$E,"2.01.95*",Notas!$U:$U,'Premissas DRE'!$C$10,Notas!$A:$A,J$4)-'Premissas DRE'!$C$7*SUMIFS(Notas!$AD:$AD,Notas!$C:$C,"NF-e",Notas!$E:$E,"2.01.95*",Notas!$U:$U,'Premissas DRE'!$C$10,Notas!$A:$A,J$4)-'Premissas DRE'!$C$7*SUMIFS(Notas!$AE:$AE,Notas!$C:$C,"NF-e",Notas!$E:$E,"2.01.95*",Notas!$U:$U,'Premissas DRE'!$C$10,Notas!$A:$A,J$4)</f>
        <v/>
      </c>
      <c r="K20" s="68">
        <f>SUMIFS(Notas!$W:$W,Notas!$C:$C,"NF-e",Notas!$E:$E,"2.01.95*",Notas!$U:$U,'Premissas DRE'!$C$10,Notas!$A:$A,K$4)-'Premissas DRE'!$C$8*SUMIFS(Notas!$AA:$AA,Notas!$C:$C,"NF-e",Notas!$E:$E,"2.01.95*",Notas!$U:$U,'Premissas DRE'!$C$10,Notas!$A:$A,K$4)-'Premissas DRE'!$C$6*SUMIFS(Notas!$AB:$AB,Notas!$C:$C,"NF-e",Notas!$E:$E,"2.01.95*",Notas!$U:$U,'Premissas DRE'!$C$10,Notas!$A:$A,K$4)-'Premissas DRE'!$C$7*SUMIFS(Notas!$AD:$AD,Notas!$C:$C,"NF-e",Notas!$E:$E,"2.01.95*",Notas!$U:$U,'Premissas DRE'!$C$10,Notas!$A:$A,K$4)-'Premissas DRE'!$C$7*SUMIFS(Notas!$AE:$AE,Notas!$C:$C,"NF-e",Notas!$E:$E,"2.01.95*",Notas!$U:$U,'Premissas DRE'!$C$10,Notas!$A:$A,K$4)</f>
        <v/>
      </c>
      <c r="L20" s="68">
        <f>SUM(C20:K20)</f>
        <v/>
      </c>
    </row>
    <row r="21">
      <c r="A21" s="53" t="inlineStr">
        <is>
          <t>Etiqueta personalizada</t>
        </is>
      </c>
      <c r="B21" s="48" t="inlineStr">
        <is>
          <t>NF-e · 2.01.83</t>
        </is>
      </c>
      <c r="C21" s="68">
        <f>SUMIFS(Notas!$W:$W,Notas!$C:$C,"NF-e",Notas!$E:$E,"2.01.83*",Notas!$U:$U,'Premissas DRE'!$C$10,Notas!$A:$A,C$4)-'Premissas DRE'!$C$8*SUMIFS(Notas!$AA:$AA,Notas!$C:$C,"NF-e",Notas!$E:$E,"2.01.83*",Notas!$U:$U,'Premissas DRE'!$C$10,Notas!$A:$A,C$4)-'Premissas DRE'!$C$6*SUMIFS(Notas!$AB:$AB,Notas!$C:$C,"NF-e",Notas!$E:$E,"2.01.83*",Notas!$U:$U,'Premissas DRE'!$C$10,Notas!$A:$A,C$4)-'Premissas DRE'!$C$7*SUMIFS(Notas!$AD:$AD,Notas!$C:$C,"NF-e",Notas!$E:$E,"2.01.83*",Notas!$U:$U,'Premissas DRE'!$C$10,Notas!$A:$A,C$4)-'Premissas DRE'!$C$7*SUMIFS(Notas!$AE:$AE,Notas!$C:$C,"NF-e",Notas!$E:$E,"2.01.83*",Notas!$U:$U,'Premissas DRE'!$C$10,Notas!$A:$A,C$4)</f>
        <v/>
      </c>
      <c r="D21" s="68">
        <f>SUMIFS(Notas!$W:$W,Notas!$C:$C,"NF-e",Notas!$E:$E,"2.01.83*",Notas!$U:$U,'Premissas DRE'!$C$10,Notas!$A:$A,D$4)-'Premissas DRE'!$C$8*SUMIFS(Notas!$AA:$AA,Notas!$C:$C,"NF-e",Notas!$E:$E,"2.01.83*",Notas!$U:$U,'Premissas DRE'!$C$10,Notas!$A:$A,D$4)-'Premissas DRE'!$C$6*SUMIFS(Notas!$AB:$AB,Notas!$C:$C,"NF-e",Notas!$E:$E,"2.01.83*",Notas!$U:$U,'Premissas DRE'!$C$10,Notas!$A:$A,D$4)-'Premissas DRE'!$C$7*SUMIFS(Notas!$AD:$AD,Notas!$C:$C,"NF-e",Notas!$E:$E,"2.01.83*",Notas!$U:$U,'Premissas DRE'!$C$10,Notas!$A:$A,D$4)-'Premissas DRE'!$C$7*SUMIFS(Notas!$AE:$AE,Notas!$C:$C,"NF-e",Notas!$E:$E,"2.01.83*",Notas!$U:$U,'Premissas DRE'!$C$10,Notas!$A:$A,D$4)</f>
        <v/>
      </c>
      <c r="E21" s="68">
        <f>SUMIFS(Notas!$W:$W,Notas!$C:$C,"NF-e",Notas!$E:$E,"2.01.83*",Notas!$U:$U,'Premissas DRE'!$C$10,Notas!$A:$A,E$4)-'Premissas DRE'!$C$8*SUMIFS(Notas!$AA:$AA,Notas!$C:$C,"NF-e",Notas!$E:$E,"2.01.83*",Notas!$U:$U,'Premissas DRE'!$C$10,Notas!$A:$A,E$4)-'Premissas DRE'!$C$6*SUMIFS(Notas!$AB:$AB,Notas!$C:$C,"NF-e",Notas!$E:$E,"2.01.83*",Notas!$U:$U,'Premissas DRE'!$C$10,Notas!$A:$A,E$4)-'Premissas DRE'!$C$7*SUMIFS(Notas!$AD:$AD,Notas!$C:$C,"NF-e",Notas!$E:$E,"2.01.83*",Notas!$U:$U,'Premissas DRE'!$C$10,Notas!$A:$A,E$4)-'Premissas DRE'!$C$7*SUMIFS(Notas!$AE:$AE,Notas!$C:$C,"NF-e",Notas!$E:$E,"2.01.83*",Notas!$U:$U,'Premissas DRE'!$C$10,Notas!$A:$A,E$4)</f>
        <v/>
      </c>
      <c r="F21" s="68">
        <f>SUMIFS(Notas!$W:$W,Notas!$C:$C,"NF-e",Notas!$E:$E,"2.01.83*",Notas!$U:$U,'Premissas DRE'!$C$10,Notas!$A:$A,F$4)-'Premissas DRE'!$C$8*SUMIFS(Notas!$AA:$AA,Notas!$C:$C,"NF-e",Notas!$E:$E,"2.01.83*",Notas!$U:$U,'Premissas DRE'!$C$10,Notas!$A:$A,F$4)-'Premissas DRE'!$C$6*SUMIFS(Notas!$AB:$AB,Notas!$C:$C,"NF-e",Notas!$E:$E,"2.01.83*",Notas!$U:$U,'Premissas DRE'!$C$10,Notas!$A:$A,F$4)-'Premissas DRE'!$C$7*SUMIFS(Notas!$AD:$AD,Notas!$C:$C,"NF-e",Notas!$E:$E,"2.01.83*",Notas!$U:$U,'Premissas DRE'!$C$10,Notas!$A:$A,F$4)-'Premissas DRE'!$C$7*SUMIFS(Notas!$AE:$AE,Notas!$C:$C,"NF-e",Notas!$E:$E,"2.01.83*",Notas!$U:$U,'Premissas DRE'!$C$10,Notas!$A:$A,F$4)</f>
        <v/>
      </c>
      <c r="G21" s="68">
        <f>SUMIFS(Notas!$W:$W,Notas!$C:$C,"NF-e",Notas!$E:$E,"2.01.83*",Notas!$U:$U,'Premissas DRE'!$C$10,Notas!$A:$A,G$4)-'Premissas DRE'!$C$8*SUMIFS(Notas!$AA:$AA,Notas!$C:$C,"NF-e",Notas!$E:$E,"2.01.83*",Notas!$U:$U,'Premissas DRE'!$C$10,Notas!$A:$A,G$4)-'Premissas DRE'!$C$6*SUMIFS(Notas!$AB:$AB,Notas!$C:$C,"NF-e",Notas!$E:$E,"2.01.83*",Notas!$U:$U,'Premissas DRE'!$C$10,Notas!$A:$A,G$4)-'Premissas DRE'!$C$7*SUMIFS(Notas!$AD:$AD,Notas!$C:$C,"NF-e",Notas!$E:$E,"2.01.83*",Notas!$U:$U,'Premissas DRE'!$C$10,Notas!$A:$A,G$4)-'Premissas DRE'!$C$7*SUMIFS(Notas!$AE:$AE,Notas!$C:$C,"NF-e",Notas!$E:$E,"2.01.83*",Notas!$U:$U,'Premissas DRE'!$C$10,Notas!$A:$A,G$4)</f>
        <v/>
      </c>
      <c r="H21" s="68">
        <f>SUMIFS(Notas!$W:$W,Notas!$C:$C,"NF-e",Notas!$E:$E,"2.01.83*",Notas!$U:$U,'Premissas DRE'!$C$10,Notas!$A:$A,H$4)-'Premissas DRE'!$C$8*SUMIFS(Notas!$AA:$AA,Notas!$C:$C,"NF-e",Notas!$E:$E,"2.01.83*",Notas!$U:$U,'Premissas DRE'!$C$10,Notas!$A:$A,H$4)-'Premissas DRE'!$C$6*SUMIFS(Notas!$AB:$AB,Notas!$C:$C,"NF-e",Notas!$E:$E,"2.01.83*",Notas!$U:$U,'Premissas DRE'!$C$10,Notas!$A:$A,H$4)-'Premissas DRE'!$C$7*SUMIFS(Notas!$AD:$AD,Notas!$C:$C,"NF-e",Notas!$E:$E,"2.01.83*",Notas!$U:$U,'Premissas DRE'!$C$10,Notas!$A:$A,H$4)-'Premissas DRE'!$C$7*SUMIFS(Notas!$AE:$AE,Notas!$C:$C,"NF-e",Notas!$E:$E,"2.01.83*",Notas!$U:$U,'Premissas DRE'!$C$10,Notas!$A:$A,H$4)</f>
        <v/>
      </c>
      <c r="I21" s="68">
        <f>SUMIFS(Notas!$W:$W,Notas!$C:$C,"NF-e",Notas!$E:$E,"2.01.83*",Notas!$U:$U,'Premissas DRE'!$C$10,Notas!$A:$A,I$4)-'Premissas DRE'!$C$8*SUMIFS(Notas!$AA:$AA,Notas!$C:$C,"NF-e",Notas!$E:$E,"2.01.83*",Notas!$U:$U,'Premissas DRE'!$C$10,Notas!$A:$A,I$4)-'Premissas DRE'!$C$6*SUMIFS(Notas!$AB:$AB,Notas!$C:$C,"NF-e",Notas!$E:$E,"2.01.83*",Notas!$U:$U,'Premissas DRE'!$C$10,Notas!$A:$A,I$4)-'Premissas DRE'!$C$7*SUMIFS(Notas!$AD:$AD,Notas!$C:$C,"NF-e",Notas!$E:$E,"2.01.83*",Notas!$U:$U,'Premissas DRE'!$C$10,Notas!$A:$A,I$4)-'Premissas DRE'!$C$7*SUMIFS(Notas!$AE:$AE,Notas!$C:$C,"NF-e",Notas!$E:$E,"2.01.83*",Notas!$U:$U,'Premissas DRE'!$C$10,Notas!$A:$A,I$4)</f>
        <v/>
      </c>
      <c r="J21" s="68">
        <f>SUMIFS(Notas!$W:$W,Notas!$C:$C,"NF-e",Notas!$E:$E,"2.01.83*",Notas!$U:$U,'Premissas DRE'!$C$10,Notas!$A:$A,J$4)-'Premissas DRE'!$C$8*SUMIFS(Notas!$AA:$AA,Notas!$C:$C,"NF-e",Notas!$E:$E,"2.01.83*",Notas!$U:$U,'Premissas DRE'!$C$10,Notas!$A:$A,J$4)-'Premissas DRE'!$C$6*SUMIFS(Notas!$AB:$AB,Notas!$C:$C,"NF-e",Notas!$E:$E,"2.01.83*",Notas!$U:$U,'Premissas DRE'!$C$10,Notas!$A:$A,J$4)-'Premissas DRE'!$C$7*SUMIFS(Notas!$AD:$AD,Notas!$C:$C,"NF-e",Notas!$E:$E,"2.01.83*",Notas!$U:$U,'Premissas DRE'!$C$10,Notas!$A:$A,J$4)-'Premissas DRE'!$C$7*SUMIFS(Notas!$AE:$AE,Notas!$C:$C,"NF-e",Notas!$E:$E,"2.01.83*",Notas!$U:$U,'Premissas DRE'!$C$10,Notas!$A:$A,J$4)</f>
        <v/>
      </c>
      <c r="K21" s="68">
        <f>SUMIFS(Notas!$W:$W,Notas!$C:$C,"NF-e",Notas!$E:$E,"2.01.83*",Notas!$U:$U,'Premissas DRE'!$C$10,Notas!$A:$A,K$4)-'Premissas DRE'!$C$8*SUMIFS(Notas!$AA:$AA,Notas!$C:$C,"NF-e",Notas!$E:$E,"2.01.83*",Notas!$U:$U,'Premissas DRE'!$C$10,Notas!$A:$A,K$4)-'Premissas DRE'!$C$6*SUMIFS(Notas!$AB:$AB,Notas!$C:$C,"NF-e",Notas!$E:$E,"2.01.83*",Notas!$U:$U,'Premissas DRE'!$C$10,Notas!$A:$A,K$4)-'Premissas DRE'!$C$7*SUMIFS(Notas!$AD:$AD,Notas!$C:$C,"NF-e",Notas!$E:$E,"2.01.83*",Notas!$U:$U,'Premissas DRE'!$C$10,Notas!$A:$A,K$4)-'Premissas DRE'!$C$7*SUMIFS(Notas!$AE:$AE,Notas!$C:$C,"NF-e",Notas!$E:$E,"2.01.83*",Notas!$U:$U,'Premissas DRE'!$C$10,Notas!$A:$A,K$4)</f>
        <v/>
      </c>
      <c r="L21" s="68">
        <f>SUM(C21:K21)</f>
        <v/>
      </c>
    </row>
    <row r="22">
      <c r="A22" s="53" t="inlineStr">
        <is>
          <t>Pallet</t>
        </is>
      </c>
      <c r="B22" s="48" t="inlineStr">
        <is>
          <t>NF-e · 2.01.89</t>
        </is>
      </c>
      <c r="C22" s="68">
        <f>SUMIFS(Notas!$W:$W,Notas!$C:$C,"NF-e",Notas!$E:$E,"2.01.89*",Notas!$U:$U,'Premissas DRE'!$C$10,Notas!$A:$A,C$4)-'Premissas DRE'!$C$8*SUMIFS(Notas!$AA:$AA,Notas!$C:$C,"NF-e",Notas!$E:$E,"2.01.89*",Notas!$U:$U,'Premissas DRE'!$C$10,Notas!$A:$A,C$4)-'Premissas DRE'!$C$6*SUMIFS(Notas!$AB:$AB,Notas!$C:$C,"NF-e",Notas!$E:$E,"2.01.89*",Notas!$U:$U,'Premissas DRE'!$C$10,Notas!$A:$A,C$4)-'Premissas DRE'!$C$7*SUMIFS(Notas!$AD:$AD,Notas!$C:$C,"NF-e",Notas!$E:$E,"2.01.89*",Notas!$U:$U,'Premissas DRE'!$C$10,Notas!$A:$A,C$4)-'Premissas DRE'!$C$7*SUMIFS(Notas!$AE:$AE,Notas!$C:$C,"NF-e",Notas!$E:$E,"2.01.89*",Notas!$U:$U,'Premissas DRE'!$C$10,Notas!$A:$A,C$4)</f>
        <v/>
      </c>
      <c r="D22" s="68">
        <f>SUMIFS(Notas!$W:$W,Notas!$C:$C,"NF-e",Notas!$E:$E,"2.01.89*",Notas!$U:$U,'Premissas DRE'!$C$10,Notas!$A:$A,D$4)-'Premissas DRE'!$C$8*SUMIFS(Notas!$AA:$AA,Notas!$C:$C,"NF-e",Notas!$E:$E,"2.01.89*",Notas!$U:$U,'Premissas DRE'!$C$10,Notas!$A:$A,D$4)-'Premissas DRE'!$C$6*SUMIFS(Notas!$AB:$AB,Notas!$C:$C,"NF-e",Notas!$E:$E,"2.01.89*",Notas!$U:$U,'Premissas DRE'!$C$10,Notas!$A:$A,D$4)-'Premissas DRE'!$C$7*SUMIFS(Notas!$AD:$AD,Notas!$C:$C,"NF-e",Notas!$E:$E,"2.01.89*",Notas!$U:$U,'Premissas DRE'!$C$10,Notas!$A:$A,D$4)-'Premissas DRE'!$C$7*SUMIFS(Notas!$AE:$AE,Notas!$C:$C,"NF-e",Notas!$E:$E,"2.01.89*",Notas!$U:$U,'Premissas DRE'!$C$10,Notas!$A:$A,D$4)</f>
        <v/>
      </c>
      <c r="E22" s="68">
        <f>SUMIFS(Notas!$W:$W,Notas!$C:$C,"NF-e",Notas!$E:$E,"2.01.89*",Notas!$U:$U,'Premissas DRE'!$C$10,Notas!$A:$A,E$4)-'Premissas DRE'!$C$8*SUMIFS(Notas!$AA:$AA,Notas!$C:$C,"NF-e",Notas!$E:$E,"2.01.89*",Notas!$U:$U,'Premissas DRE'!$C$10,Notas!$A:$A,E$4)-'Premissas DRE'!$C$6*SUMIFS(Notas!$AB:$AB,Notas!$C:$C,"NF-e",Notas!$E:$E,"2.01.89*",Notas!$U:$U,'Premissas DRE'!$C$10,Notas!$A:$A,E$4)-'Premissas DRE'!$C$7*SUMIFS(Notas!$AD:$AD,Notas!$C:$C,"NF-e",Notas!$E:$E,"2.01.89*",Notas!$U:$U,'Premissas DRE'!$C$10,Notas!$A:$A,E$4)-'Premissas DRE'!$C$7*SUMIFS(Notas!$AE:$AE,Notas!$C:$C,"NF-e",Notas!$E:$E,"2.01.89*",Notas!$U:$U,'Premissas DRE'!$C$10,Notas!$A:$A,E$4)</f>
        <v/>
      </c>
      <c r="F22" s="68">
        <f>SUMIFS(Notas!$W:$W,Notas!$C:$C,"NF-e",Notas!$E:$E,"2.01.89*",Notas!$U:$U,'Premissas DRE'!$C$10,Notas!$A:$A,F$4)-'Premissas DRE'!$C$8*SUMIFS(Notas!$AA:$AA,Notas!$C:$C,"NF-e",Notas!$E:$E,"2.01.89*",Notas!$U:$U,'Premissas DRE'!$C$10,Notas!$A:$A,F$4)-'Premissas DRE'!$C$6*SUMIFS(Notas!$AB:$AB,Notas!$C:$C,"NF-e",Notas!$E:$E,"2.01.89*",Notas!$U:$U,'Premissas DRE'!$C$10,Notas!$A:$A,F$4)-'Premissas DRE'!$C$7*SUMIFS(Notas!$AD:$AD,Notas!$C:$C,"NF-e",Notas!$E:$E,"2.01.89*",Notas!$U:$U,'Premissas DRE'!$C$10,Notas!$A:$A,F$4)-'Premissas DRE'!$C$7*SUMIFS(Notas!$AE:$AE,Notas!$C:$C,"NF-e",Notas!$E:$E,"2.01.89*",Notas!$U:$U,'Premissas DRE'!$C$10,Notas!$A:$A,F$4)</f>
        <v/>
      </c>
      <c r="G22" s="68">
        <f>SUMIFS(Notas!$W:$W,Notas!$C:$C,"NF-e",Notas!$E:$E,"2.01.89*",Notas!$U:$U,'Premissas DRE'!$C$10,Notas!$A:$A,G$4)-'Premissas DRE'!$C$8*SUMIFS(Notas!$AA:$AA,Notas!$C:$C,"NF-e",Notas!$E:$E,"2.01.89*",Notas!$U:$U,'Premissas DRE'!$C$10,Notas!$A:$A,G$4)-'Premissas DRE'!$C$6*SUMIFS(Notas!$AB:$AB,Notas!$C:$C,"NF-e",Notas!$E:$E,"2.01.89*",Notas!$U:$U,'Premissas DRE'!$C$10,Notas!$A:$A,G$4)-'Premissas DRE'!$C$7*SUMIFS(Notas!$AD:$AD,Notas!$C:$C,"NF-e",Notas!$E:$E,"2.01.89*",Notas!$U:$U,'Premissas DRE'!$C$10,Notas!$A:$A,G$4)-'Premissas DRE'!$C$7*SUMIFS(Notas!$AE:$AE,Notas!$C:$C,"NF-e",Notas!$E:$E,"2.01.89*",Notas!$U:$U,'Premissas DRE'!$C$10,Notas!$A:$A,G$4)</f>
        <v/>
      </c>
      <c r="H22" s="68">
        <f>SUMIFS(Notas!$W:$W,Notas!$C:$C,"NF-e",Notas!$E:$E,"2.01.89*",Notas!$U:$U,'Premissas DRE'!$C$10,Notas!$A:$A,H$4)-'Premissas DRE'!$C$8*SUMIFS(Notas!$AA:$AA,Notas!$C:$C,"NF-e",Notas!$E:$E,"2.01.89*",Notas!$U:$U,'Premissas DRE'!$C$10,Notas!$A:$A,H$4)-'Premissas DRE'!$C$6*SUMIFS(Notas!$AB:$AB,Notas!$C:$C,"NF-e",Notas!$E:$E,"2.01.89*",Notas!$U:$U,'Premissas DRE'!$C$10,Notas!$A:$A,H$4)-'Premissas DRE'!$C$7*SUMIFS(Notas!$AD:$AD,Notas!$C:$C,"NF-e",Notas!$E:$E,"2.01.89*",Notas!$U:$U,'Premissas DRE'!$C$10,Notas!$A:$A,H$4)-'Premissas DRE'!$C$7*SUMIFS(Notas!$AE:$AE,Notas!$C:$C,"NF-e",Notas!$E:$E,"2.01.89*",Notas!$U:$U,'Premissas DRE'!$C$10,Notas!$A:$A,H$4)</f>
        <v/>
      </c>
      <c r="I22" s="68">
        <f>SUMIFS(Notas!$W:$W,Notas!$C:$C,"NF-e",Notas!$E:$E,"2.01.89*",Notas!$U:$U,'Premissas DRE'!$C$10,Notas!$A:$A,I$4)-'Premissas DRE'!$C$8*SUMIFS(Notas!$AA:$AA,Notas!$C:$C,"NF-e",Notas!$E:$E,"2.01.89*",Notas!$U:$U,'Premissas DRE'!$C$10,Notas!$A:$A,I$4)-'Premissas DRE'!$C$6*SUMIFS(Notas!$AB:$AB,Notas!$C:$C,"NF-e",Notas!$E:$E,"2.01.89*",Notas!$U:$U,'Premissas DRE'!$C$10,Notas!$A:$A,I$4)-'Premissas DRE'!$C$7*SUMIFS(Notas!$AD:$AD,Notas!$C:$C,"NF-e",Notas!$E:$E,"2.01.89*",Notas!$U:$U,'Premissas DRE'!$C$10,Notas!$A:$A,I$4)-'Premissas DRE'!$C$7*SUMIFS(Notas!$AE:$AE,Notas!$C:$C,"NF-e",Notas!$E:$E,"2.01.89*",Notas!$U:$U,'Premissas DRE'!$C$10,Notas!$A:$A,I$4)</f>
        <v/>
      </c>
      <c r="J22" s="68">
        <f>SUMIFS(Notas!$W:$W,Notas!$C:$C,"NF-e",Notas!$E:$E,"2.01.89*",Notas!$U:$U,'Premissas DRE'!$C$10,Notas!$A:$A,J$4)-'Premissas DRE'!$C$8*SUMIFS(Notas!$AA:$AA,Notas!$C:$C,"NF-e",Notas!$E:$E,"2.01.89*",Notas!$U:$U,'Premissas DRE'!$C$10,Notas!$A:$A,J$4)-'Premissas DRE'!$C$6*SUMIFS(Notas!$AB:$AB,Notas!$C:$C,"NF-e",Notas!$E:$E,"2.01.89*",Notas!$U:$U,'Premissas DRE'!$C$10,Notas!$A:$A,J$4)-'Premissas DRE'!$C$7*SUMIFS(Notas!$AD:$AD,Notas!$C:$C,"NF-e",Notas!$E:$E,"2.01.89*",Notas!$U:$U,'Premissas DRE'!$C$10,Notas!$A:$A,J$4)-'Premissas DRE'!$C$7*SUMIFS(Notas!$AE:$AE,Notas!$C:$C,"NF-e",Notas!$E:$E,"2.01.89*",Notas!$U:$U,'Premissas DRE'!$C$10,Notas!$A:$A,J$4)</f>
        <v/>
      </c>
      <c r="K22" s="68">
        <f>SUMIFS(Notas!$W:$W,Notas!$C:$C,"NF-e",Notas!$E:$E,"2.01.89*",Notas!$U:$U,'Premissas DRE'!$C$10,Notas!$A:$A,K$4)-'Premissas DRE'!$C$8*SUMIFS(Notas!$AA:$AA,Notas!$C:$C,"NF-e",Notas!$E:$E,"2.01.89*",Notas!$U:$U,'Premissas DRE'!$C$10,Notas!$A:$A,K$4)-'Premissas DRE'!$C$6*SUMIFS(Notas!$AB:$AB,Notas!$C:$C,"NF-e",Notas!$E:$E,"2.01.89*",Notas!$U:$U,'Premissas DRE'!$C$10,Notas!$A:$A,K$4)-'Premissas DRE'!$C$7*SUMIFS(Notas!$AD:$AD,Notas!$C:$C,"NF-e",Notas!$E:$E,"2.01.89*",Notas!$U:$U,'Premissas DRE'!$C$10,Notas!$A:$A,K$4)-'Premissas DRE'!$C$7*SUMIFS(Notas!$AE:$AE,Notas!$C:$C,"NF-e",Notas!$E:$E,"2.01.89*",Notas!$U:$U,'Premissas DRE'!$C$10,Notas!$A:$A,K$4)</f>
        <v/>
      </c>
      <c r="L22" s="68">
        <f>SUM(C22:K22)</f>
        <v/>
      </c>
    </row>
    <row r="23">
      <c r="A23" s="53" t="inlineStr">
        <is>
          <t>Clichê</t>
        </is>
      </c>
      <c r="B23" s="48" t="inlineStr">
        <is>
          <t>NF-e · 2.01.97</t>
        </is>
      </c>
      <c r="C23" s="68">
        <f>SUMIFS(Notas!$W:$W,Notas!$C:$C,"NF-e",Notas!$E:$E,"2.01.97*",Notas!$U:$U,'Premissas DRE'!$C$10,Notas!$A:$A,C$4)-'Premissas DRE'!$C$8*SUMIFS(Notas!$AA:$AA,Notas!$C:$C,"NF-e",Notas!$E:$E,"2.01.97*",Notas!$U:$U,'Premissas DRE'!$C$10,Notas!$A:$A,C$4)-'Premissas DRE'!$C$6*SUMIFS(Notas!$AB:$AB,Notas!$C:$C,"NF-e",Notas!$E:$E,"2.01.97*",Notas!$U:$U,'Premissas DRE'!$C$10,Notas!$A:$A,C$4)-'Premissas DRE'!$C$7*SUMIFS(Notas!$AD:$AD,Notas!$C:$C,"NF-e",Notas!$E:$E,"2.01.97*",Notas!$U:$U,'Premissas DRE'!$C$10,Notas!$A:$A,C$4)-'Premissas DRE'!$C$7*SUMIFS(Notas!$AE:$AE,Notas!$C:$C,"NF-e",Notas!$E:$E,"2.01.97*",Notas!$U:$U,'Premissas DRE'!$C$10,Notas!$A:$A,C$4)</f>
        <v/>
      </c>
      <c r="D23" s="68">
        <f>SUMIFS(Notas!$W:$W,Notas!$C:$C,"NF-e",Notas!$E:$E,"2.01.97*",Notas!$U:$U,'Premissas DRE'!$C$10,Notas!$A:$A,D$4)-'Premissas DRE'!$C$8*SUMIFS(Notas!$AA:$AA,Notas!$C:$C,"NF-e",Notas!$E:$E,"2.01.97*",Notas!$U:$U,'Premissas DRE'!$C$10,Notas!$A:$A,D$4)-'Premissas DRE'!$C$6*SUMIFS(Notas!$AB:$AB,Notas!$C:$C,"NF-e",Notas!$E:$E,"2.01.97*",Notas!$U:$U,'Premissas DRE'!$C$10,Notas!$A:$A,D$4)-'Premissas DRE'!$C$7*SUMIFS(Notas!$AD:$AD,Notas!$C:$C,"NF-e",Notas!$E:$E,"2.01.97*",Notas!$U:$U,'Premissas DRE'!$C$10,Notas!$A:$A,D$4)-'Premissas DRE'!$C$7*SUMIFS(Notas!$AE:$AE,Notas!$C:$C,"NF-e",Notas!$E:$E,"2.01.97*",Notas!$U:$U,'Premissas DRE'!$C$10,Notas!$A:$A,D$4)</f>
        <v/>
      </c>
      <c r="E23" s="68">
        <f>SUMIFS(Notas!$W:$W,Notas!$C:$C,"NF-e",Notas!$E:$E,"2.01.97*",Notas!$U:$U,'Premissas DRE'!$C$10,Notas!$A:$A,E$4)-'Premissas DRE'!$C$8*SUMIFS(Notas!$AA:$AA,Notas!$C:$C,"NF-e",Notas!$E:$E,"2.01.97*",Notas!$U:$U,'Premissas DRE'!$C$10,Notas!$A:$A,E$4)-'Premissas DRE'!$C$6*SUMIFS(Notas!$AB:$AB,Notas!$C:$C,"NF-e",Notas!$E:$E,"2.01.97*",Notas!$U:$U,'Premissas DRE'!$C$10,Notas!$A:$A,E$4)-'Premissas DRE'!$C$7*SUMIFS(Notas!$AD:$AD,Notas!$C:$C,"NF-e",Notas!$E:$E,"2.01.97*",Notas!$U:$U,'Premissas DRE'!$C$10,Notas!$A:$A,E$4)-'Premissas DRE'!$C$7*SUMIFS(Notas!$AE:$AE,Notas!$C:$C,"NF-e",Notas!$E:$E,"2.01.97*",Notas!$U:$U,'Premissas DRE'!$C$10,Notas!$A:$A,E$4)</f>
        <v/>
      </c>
      <c r="F23" s="68">
        <f>SUMIFS(Notas!$W:$W,Notas!$C:$C,"NF-e",Notas!$E:$E,"2.01.97*",Notas!$U:$U,'Premissas DRE'!$C$10,Notas!$A:$A,F$4)-'Premissas DRE'!$C$8*SUMIFS(Notas!$AA:$AA,Notas!$C:$C,"NF-e",Notas!$E:$E,"2.01.97*",Notas!$U:$U,'Premissas DRE'!$C$10,Notas!$A:$A,F$4)-'Premissas DRE'!$C$6*SUMIFS(Notas!$AB:$AB,Notas!$C:$C,"NF-e",Notas!$E:$E,"2.01.97*",Notas!$U:$U,'Premissas DRE'!$C$10,Notas!$A:$A,F$4)-'Premissas DRE'!$C$7*SUMIFS(Notas!$AD:$AD,Notas!$C:$C,"NF-e",Notas!$E:$E,"2.01.97*",Notas!$U:$U,'Premissas DRE'!$C$10,Notas!$A:$A,F$4)-'Premissas DRE'!$C$7*SUMIFS(Notas!$AE:$AE,Notas!$C:$C,"NF-e",Notas!$E:$E,"2.01.97*",Notas!$U:$U,'Premissas DRE'!$C$10,Notas!$A:$A,F$4)</f>
        <v/>
      </c>
      <c r="G23" s="68">
        <f>SUMIFS(Notas!$W:$W,Notas!$C:$C,"NF-e",Notas!$E:$E,"2.01.97*",Notas!$U:$U,'Premissas DRE'!$C$10,Notas!$A:$A,G$4)-'Premissas DRE'!$C$8*SUMIFS(Notas!$AA:$AA,Notas!$C:$C,"NF-e",Notas!$E:$E,"2.01.97*",Notas!$U:$U,'Premissas DRE'!$C$10,Notas!$A:$A,G$4)-'Premissas DRE'!$C$6*SUMIFS(Notas!$AB:$AB,Notas!$C:$C,"NF-e",Notas!$E:$E,"2.01.97*",Notas!$U:$U,'Premissas DRE'!$C$10,Notas!$A:$A,G$4)-'Premissas DRE'!$C$7*SUMIFS(Notas!$AD:$AD,Notas!$C:$C,"NF-e",Notas!$E:$E,"2.01.97*",Notas!$U:$U,'Premissas DRE'!$C$10,Notas!$A:$A,G$4)-'Premissas DRE'!$C$7*SUMIFS(Notas!$AE:$AE,Notas!$C:$C,"NF-e",Notas!$E:$E,"2.01.97*",Notas!$U:$U,'Premissas DRE'!$C$10,Notas!$A:$A,G$4)</f>
        <v/>
      </c>
      <c r="H23" s="68">
        <f>SUMIFS(Notas!$W:$W,Notas!$C:$C,"NF-e",Notas!$E:$E,"2.01.97*",Notas!$U:$U,'Premissas DRE'!$C$10,Notas!$A:$A,H$4)-'Premissas DRE'!$C$8*SUMIFS(Notas!$AA:$AA,Notas!$C:$C,"NF-e",Notas!$E:$E,"2.01.97*",Notas!$U:$U,'Premissas DRE'!$C$10,Notas!$A:$A,H$4)-'Premissas DRE'!$C$6*SUMIFS(Notas!$AB:$AB,Notas!$C:$C,"NF-e",Notas!$E:$E,"2.01.97*",Notas!$U:$U,'Premissas DRE'!$C$10,Notas!$A:$A,H$4)-'Premissas DRE'!$C$7*SUMIFS(Notas!$AD:$AD,Notas!$C:$C,"NF-e",Notas!$E:$E,"2.01.97*",Notas!$U:$U,'Premissas DRE'!$C$10,Notas!$A:$A,H$4)-'Premissas DRE'!$C$7*SUMIFS(Notas!$AE:$AE,Notas!$C:$C,"NF-e",Notas!$E:$E,"2.01.97*",Notas!$U:$U,'Premissas DRE'!$C$10,Notas!$A:$A,H$4)</f>
        <v/>
      </c>
      <c r="I23" s="68">
        <f>SUMIFS(Notas!$W:$W,Notas!$C:$C,"NF-e",Notas!$E:$E,"2.01.97*",Notas!$U:$U,'Premissas DRE'!$C$10,Notas!$A:$A,I$4)-'Premissas DRE'!$C$8*SUMIFS(Notas!$AA:$AA,Notas!$C:$C,"NF-e",Notas!$E:$E,"2.01.97*",Notas!$U:$U,'Premissas DRE'!$C$10,Notas!$A:$A,I$4)-'Premissas DRE'!$C$6*SUMIFS(Notas!$AB:$AB,Notas!$C:$C,"NF-e",Notas!$E:$E,"2.01.97*",Notas!$U:$U,'Premissas DRE'!$C$10,Notas!$A:$A,I$4)-'Premissas DRE'!$C$7*SUMIFS(Notas!$AD:$AD,Notas!$C:$C,"NF-e",Notas!$E:$E,"2.01.97*",Notas!$U:$U,'Premissas DRE'!$C$10,Notas!$A:$A,I$4)-'Premissas DRE'!$C$7*SUMIFS(Notas!$AE:$AE,Notas!$C:$C,"NF-e",Notas!$E:$E,"2.01.97*",Notas!$U:$U,'Premissas DRE'!$C$10,Notas!$A:$A,I$4)</f>
        <v/>
      </c>
      <c r="J23" s="68">
        <f>SUMIFS(Notas!$W:$W,Notas!$C:$C,"NF-e",Notas!$E:$E,"2.01.97*",Notas!$U:$U,'Premissas DRE'!$C$10,Notas!$A:$A,J$4)-'Premissas DRE'!$C$8*SUMIFS(Notas!$AA:$AA,Notas!$C:$C,"NF-e",Notas!$E:$E,"2.01.97*",Notas!$U:$U,'Premissas DRE'!$C$10,Notas!$A:$A,J$4)-'Premissas DRE'!$C$6*SUMIFS(Notas!$AB:$AB,Notas!$C:$C,"NF-e",Notas!$E:$E,"2.01.97*",Notas!$U:$U,'Premissas DRE'!$C$10,Notas!$A:$A,J$4)-'Premissas DRE'!$C$7*SUMIFS(Notas!$AD:$AD,Notas!$C:$C,"NF-e",Notas!$E:$E,"2.01.97*",Notas!$U:$U,'Premissas DRE'!$C$10,Notas!$A:$A,J$4)-'Premissas DRE'!$C$7*SUMIFS(Notas!$AE:$AE,Notas!$C:$C,"NF-e",Notas!$E:$E,"2.01.97*",Notas!$U:$U,'Premissas DRE'!$C$10,Notas!$A:$A,J$4)</f>
        <v/>
      </c>
      <c r="K23" s="68">
        <f>SUMIFS(Notas!$W:$W,Notas!$C:$C,"NF-e",Notas!$E:$E,"2.01.97*",Notas!$U:$U,'Premissas DRE'!$C$10,Notas!$A:$A,K$4)-'Premissas DRE'!$C$8*SUMIFS(Notas!$AA:$AA,Notas!$C:$C,"NF-e",Notas!$E:$E,"2.01.97*",Notas!$U:$U,'Premissas DRE'!$C$10,Notas!$A:$A,K$4)-'Premissas DRE'!$C$6*SUMIFS(Notas!$AB:$AB,Notas!$C:$C,"NF-e",Notas!$E:$E,"2.01.97*",Notas!$U:$U,'Premissas DRE'!$C$10,Notas!$A:$A,K$4)-'Premissas DRE'!$C$7*SUMIFS(Notas!$AD:$AD,Notas!$C:$C,"NF-e",Notas!$E:$E,"2.01.97*",Notas!$U:$U,'Premissas DRE'!$C$10,Notas!$A:$A,K$4)-'Premissas DRE'!$C$7*SUMIFS(Notas!$AE:$AE,Notas!$C:$C,"NF-e",Notas!$E:$E,"2.01.97*",Notas!$U:$U,'Premissas DRE'!$C$10,Notas!$A:$A,K$4)</f>
        <v/>
      </c>
      <c r="L23" s="68">
        <f>SUM(C23:K23)</f>
        <v/>
      </c>
    </row>
    <row r="24">
      <c r="A24" s="58" t="inlineStr">
        <is>
          <t>Embalagens e materiais de acondicionamento</t>
        </is>
      </c>
      <c r="B24" s="58" t="inlineStr"/>
      <c r="C24" s="70">
        <f>C17+C18+C19+C20+C21+C22+C23</f>
        <v/>
      </c>
      <c r="D24" s="70">
        <f>D17+D18+D19+D20+D21+D22+D23</f>
        <v/>
      </c>
      <c r="E24" s="70">
        <f>E17+E18+E19+E20+E21+E22+E23</f>
        <v/>
      </c>
      <c r="F24" s="70">
        <f>F17+F18+F19+F20+F21+F22+F23</f>
        <v/>
      </c>
      <c r="G24" s="70">
        <f>G17+G18+G19+G20+G21+G22+G23</f>
        <v/>
      </c>
      <c r="H24" s="70">
        <f>H17+H18+H19+H20+H21+H22+H23</f>
        <v/>
      </c>
      <c r="I24" s="70">
        <f>I17+I18+I19+I20+I21+I22+I23</f>
        <v/>
      </c>
      <c r="J24" s="70">
        <f>J17+J18+J19+J20+J21+J22+J23</f>
        <v/>
      </c>
      <c r="K24" s="70">
        <f>K17+K18+K19+K20+K21+K22+K23</f>
        <v/>
      </c>
      <c r="L24" s="70">
        <f>SUM(C24:K24)</f>
        <v/>
      </c>
    </row>
    <row r="25">
      <c r="A25" s="53" t="inlineStr">
        <is>
          <t>Uso e consumo</t>
        </is>
      </c>
      <c r="B25" s="48" t="inlineStr">
        <is>
          <t>NF-e · 2.01.85</t>
        </is>
      </c>
      <c r="C25" s="68">
        <f>SUMIFS(Notas!$W:$W,Notas!$C:$C,"NF-e",Notas!$E:$E,"2.01.85*",Notas!$U:$U,'Premissas DRE'!$C$10,Notas!$A:$A,C$4)-'Premissas DRE'!$C$8*SUMIFS(Notas!$AA:$AA,Notas!$C:$C,"NF-e",Notas!$E:$E,"2.01.85*",Notas!$U:$U,'Premissas DRE'!$C$10,Notas!$A:$A,C$4)-'Premissas DRE'!$C$6*SUMIFS(Notas!$AB:$AB,Notas!$C:$C,"NF-e",Notas!$E:$E,"2.01.85*",Notas!$U:$U,'Premissas DRE'!$C$10,Notas!$A:$A,C$4)-'Premissas DRE'!$C$7*SUMIFS(Notas!$AD:$AD,Notas!$C:$C,"NF-e",Notas!$E:$E,"2.01.85*",Notas!$U:$U,'Premissas DRE'!$C$10,Notas!$A:$A,C$4)-'Premissas DRE'!$C$7*SUMIFS(Notas!$AE:$AE,Notas!$C:$C,"NF-e",Notas!$E:$E,"2.01.85*",Notas!$U:$U,'Premissas DRE'!$C$10,Notas!$A:$A,C$4)</f>
        <v/>
      </c>
      <c r="D25" s="68">
        <f>SUMIFS(Notas!$W:$W,Notas!$C:$C,"NF-e",Notas!$E:$E,"2.01.85*",Notas!$U:$U,'Premissas DRE'!$C$10,Notas!$A:$A,D$4)-'Premissas DRE'!$C$8*SUMIFS(Notas!$AA:$AA,Notas!$C:$C,"NF-e",Notas!$E:$E,"2.01.85*",Notas!$U:$U,'Premissas DRE'!$C$10,Notas!$A:$A,D$4)-'Premissas DRE'!$C$6*SUMIFS(Notas!$AB:$AB,Notas!$C:$C,"NF-e",Notas!$E:$E,"2.01.85*",Notas!$U:$U,'Premissas DRE'!$C$10,Notas!$A:$A,D$4)-'Premissas DRE'!$C$7*SUMIFS(Notas!$AD:$AD,Notas!$C:$C,"NF-e",Notas!$E:$E,"2.01.85*",Notas!$U:$U,'Premissas DRE'!$C$10,Notas!$A:$A,D$4)-'Premissas DRE'!$C$7*SUMIFS(Notas!$AE:$AE,Notas!$C:$C,"NF-e",Notas!$E:$E,"2.01.85*",Notas!$U:$U,'Premissas DRE'!$C$10,Notas!$A:$A,D$4)</f>
        <v/>
      </c>
      <c r="E25" s="68">
        <f>SUMIFS(Notas!$W:$W,Notas!$C:$C,"NF-e",Notas!$E:$E,"2.01.85*",Notas!$U:$U,'Premissas DRE'!$C$10,Notas!$A:$A,E$4)-'Premissas DRE'!$C$8*SUMIFS(Notas!$AA:$AA,Notas!$C:$C,"NF-e",Notas!$E:$E,"2.01.85*",Notas!$U:$U,'Premissas DRE'!$C$10,Notas!$A:$A,E$4)-'Premissas DRE'!$C$6*SUMIFS(Notas!$AB:$AB,Notas!$C:$C,"NF-e",Notas!$E:$E,"2.01.85*",Notas!$U:$U,'Premissas DRE'!$C$10,Notas!$A:$A,E$4)-'Premissas DRE'!$C$7*SUMIFS(Notas!$AD:$AD,Notas!$C:$C,"NF-e",Notas!$E:$E,"2.01.85*",Notas!$U:$U,'Premissas DRE'!$C$10,Notas!$A:$A,E$4)-'Premissas DRE'!$C$7*SUMIFS(Notas!$AE:$AE,Notas!$C:$C,"NF-e",Notas!$E:$E,"2.01.85*",Notas!$U:$U,'Premissas DRE'!$C$10,Notas!$A:$A,E$4)</f>
        <v/>
      </c>
      <c r="F25" s="68">
        <f>SUMIFS(Notas!$W:$W,Notas!$C:$C,"NF-e",Notas!$E:$E,"2.01.85*",Notas!$U:$U,'Premissas DRE'!$C$10,Notas!$A:$A,F$4)-'Premissas DRE'!$C$8*SUMIFS(Notas!$AA:$AA,Notas!$C:$C,"NF-e",Notas!$E:$E,"2.01.85*",Notas!$U:$U,'Premissas DRE'!$C$10,Notas!$A:$A,F$4)-'Premissas DRE'!$C$6*SUMIFS(Notas!$AB:$AB,Notas!$C:$C,"NF-e",Notas!$E:$E,"2.01.85*",Notas!$U:$U,'Premissas DRE'!$C$10,Notas!$A:$A,F$4)-'Premissas DRE'!$C$7*SUMIFS(Notas!$AD:$AD,Notas!$C:$C,"NF-e",Notas!$E:$E,"2.01.85*",Notas!$U:$U,'Premissas DRE'!$C$10,Notas!$A:$A,F$4)-'Premissas DRE'!$C$7*SUMIFS(Notas!$AE:$AE,Notas!$C:$C,"NF-e",Notas!$E:$E,"2.01.85*",Notas!$U:$U,'Premissas DRE'!$C$10,Notas!$A:$A,F$4)</f>
        <v/>
      </c>
      <c r="G25" s="68">
        <f>SUMIFS(Notas!$W:$W,Notas!$C:$C,"NF-e",Notas!$E:$E,"2.01.85*",Notas!$U:$U,'Premissas DRE'!$C$10,Notas!$A:$A,G$4)-'Premissas DRE'!$C$8*SUMIFS(Notas!$AA:$AA,Notas!$C:$C,"NF-e",Notas!$E:$E,"2.01.85*",Notas!$U:$U,'Premissas DRE'!$C$10,Notas!$A:$A,G$4)-'Premissas DRE'!$C$6*SUMIFS(Notas!$AB:$AB,Notas!$C:$C,"NF-e",Notas!$E:$E,"2.01.85*",Notas!$U:$U,'Premissas DRE'!$C$10,Notas!$A:$A,G$4)-'Premissas DRE'!$C$7*SUMIFS(Notas!$AD:$AD,Notas!$C:$C,"NF-e",Notas!$E:$E,"2.01.85*",Notas!$U:$U,'Premissas DRE'!$C$10,Notas!$A:$A,G$4)-'Premissas DRE'!$C$7*SUMIFS(Notas!$AE:$AE,Notas!$C:$C,"NF-e",Notas!$E:$E,"2.01.85*",Notas!$U:$U,'Premissas DRE'!$C$10,Notas!$A:$A,G$4)</f>
        <v/>
      </c>
      <c r="H25" s="68">
        <f>SUMIFS(Notas!$W:$W,Notas!$C:$C,"NF-e",Notas!$E:$E,"2.01.85*",Notas!$U:$U,'Premissas DRE'!$C$10,Notas!$A:$A,H$4)-'Premissas DRE'!$C$8*SUMIFS(Notas!$AA:$AA,Notas!$C:$C,"NF-e",Notas!$E:$E,"2.01.85*",Notas!$U:$U,'Premissas DRE'!$C$10,Notas!$A:$A,H$4)-'Premissas DRE'!$C$6*SUMIFS(Notas!$AB:$AB,Notas!$C:$C,"NF-e",Notas!$E:$E,"2.01.85*",Notas!$U:$U,'Premissas DRE'!$C$10,Notas!$A:$A,H$4)-'Premissas DRE'!$C$7*SUMIFS(Notas!$AD:$AD,Notas!$C:$C,"NF-e",Notas!$E:$E,"2.01.85*",Notas!$U:$U,'Premissas DRE'!$C$10,Notas!$A:$A,H$4)-'Premissas DRE'!$C$7*SUMIFS(Notas!$AE:$AE,Notas!$C:$C,"NF-e",Notas!$E:$E,"2.01.85*",Notas!$U:$U,'Premissas DRE'!$C$10,Notas!$A:$A,H$4)</f>
        <v/>
      </c>
      <c r="I25" s="68">
        <f>SUMIFS(Notas!$W:$W,Notas!$C:$C,"NF-e",Notas!$E:$E,"2.01.85*",Notas!$U:$U,'Premissas DRE'!$C$10,Notas!$A:$A,I$4)-'Premissas DRE'!$C$8*SUMIFS(Notas!$AA:$AA,Notas!$C:$C,"NF-e",Notas!$E:$E,"2.01.85*",Notas!$U:$U,'Premissas DRE'!$C$10,Notas!$A:$A,I$4)-'Premissas DRE'!$C$6*SUMIFS(Notas!$AB:$AB,Notas!$C:$C,"NF-e",Notas!$E:$E,"2.01.85*",Notas!$U:$U,'Premissas DRE'!$C$10,Notas!$A:$A,I$4)-'Premissas DRE'!$C$7*SUMIFS(Notas!$AD:$AD,Notas!$C:$C,"NF-e",Notas!$E:$E,"2.01.85*",Notas!$U:$U,'Premissas DRE'!$C$10,Notas!$A:$A,I$4)-'Premissas DRE'!$C$7*SUMIFS(Notas!$AE:$AE,Notas!$C:$C,"NF-e",Notas!$E:$E,"2.01.85*",Notas!$U:$U,'Premissas DRE'!$C$10,Notas!$A:$A,I$4)</f>
        <v/>
      </c>
      <c r="J25" s="68">
        <f>SUMIFS(Notas!$W:$W,Notas!$C:$C,"NF-e",Notas!$E:$E,"2.01.85*",Notas!$U:$U,'Premissas DRE'!$C$10,Notas!$A:$A,J$4)-'Premissas DRE'!$C$8*SUMIFS(Notas!$AA:$AA,Notas!$C:$C,"NF-e",Notas!$E:$E,"2.01.85*",Notas!$U:$U,'Premissas DRE'!$C$10,Notas!$A:$A,J$4)-'Premissas DRE'!$C$6*SUMIFS(Notas!$AB:$AB,Notas!$C:$C,"NF-e",Notas!$E:$E,"2.01.85*",Notas!$U:$U,'Premissas DRE'!$C$10,Notas!$A:$A,J$4)-'Premissas DRE'!$C$7*SUMIFS(Notas!$AD:$AD,Notas!$C:$C,"NF-e",Notas!$E:$E,"2.01.85*",Notas!$U:$U,'Premissas DRE'!$C$10,Notas!$A:$A,J$4)-'Premissas DRE'!$C$7*SUMIFS(Notas!$AE:$AE,Notas!$C:$C,"NF-e",Notas!$E:$E,"2.01.85*",Notas!$U:$U,'Premissas DRE'!$C$10,Notas!$A:$A,J$4)</f>
        <v/>
      </c>
      <c r="K25" s="68">
        <f>SUMIFS(Notas!$W:$W,Notas!$C:$C,"NF-e",Notas!$E:$E,"2.01.85*",Notas!$U:$U,'Premissas DRE'!$C$10,Notas!$A:$A,K$4)-'Premissas DRE'!$C$8*SUMIFS(Notas!$AA:$AA,Notas!$C:$C,"NF-e",Notas!$E:$E,"2.01.85*",Notas!$U:$U,'Premissas DRE'!$C$10,Notas!$A:$A,K$4)-'Premissas DRE'!$C$6*SUMIFS(Notas!$AB:$AB,Notas!$C:$C,"NF-e",Notas!$E:$E,"2.01.85*",Notas!$U:$U,'Premissas DRE'!$C$10,Notas!$A:$A,K$4)-'Premissas DRE'!$C$7*SUMIFS(Notas!$AD:$AD,Notas!$C:$C,"NF-e",Notas!$E:$E,"2.01.85*",Notas!$U:$U,'Premissas DRE'!$C$10,Notas!$A:$A,K$4)-'Premissas DRE'!$C$7*SUMIFS(Notas!$AE:$AE,Notas!$C:$C,"NF-e",Notas!$E:$E,"2.01.85*",Notas!$U:$U,'Premissas DRE'!$C$10,Notas!$A:$A,K$4)</f>
        <v/>
      </c>
      <c r="L25" s="68">
        <f>SUM(C25:K25)</f>
        <v/>
      </c>
    </row>
    <row r="26">
      <c r="A26" s="53" t="inlineStr">
        <is>
          <t>Peças de máquinas</t>
        </is>
      </c>
      <c r="B26" s="48" t="inlineStr">
        <is>
          <t>NF-e · 2.01.87</t>
        </is>
      </c>
      <c r="C26" s="68">
        <f>SUMIFS(Notas!$W:$W,Notas!$C:$C,"NF-e",Notas!$E:$E,"2.01.87*",Notas!$U:$U,'Premissas DRE'!$C$10,Notas!$A:$A,C$4)-'Premissas DRE'!$C$8*SUMIFS(Notas!$AA:$AA,Notas!$C:$C,"NF-e",Notas!$E:$E,"2.01.87*",Notas!$U:$U,'Premissas DRE'!$C$10,Notas!$A:$A,C$4)-'Premissas DRE'!$C$6*SUMIFS(Notas!$AB:$AB,Notas!$C:$C,"NF-e",Notas!$E:$E,"2.01.87*",Notas!$U:$U,'Premissas DRE'!$C$10,Notas!$A:$A,C$4)-'Premissas DRE'!$C$7*SUMIFS(Notas!$AD:$AD,Notas!$C:$C,"NF-e",Notas!$E:$E,"2.01.87*",Notas!$U:$U,'Premissas DRE'!$C$10,Notas!$A:$A,C$4)-'Premissas DRE'!$C$7*SUMIFS(Notas!$AE:$AE,Notas!$C:$C,"NF-e",Notas!$E:$E,"2.01.87*",Notas!$U:$U,'Premissas DRE'!$C$10,Notas!$A:$A,C$4)</f>
        <v/>
      </c>
      <c r="D26" s="68">
        <f>SUMIFS(Notas!$W:$W,Notas!$C:$C,"NF-e",Notas!$E:$E,"2.01.87*",Notas!$U:$U,'Premissas DRE'!$C$10,Notas!$A:$A,D$4)-'Premissas DRE'!$C$8*SUMIFS(Notas!$AA:$AA,Notas!$C:$C,"NF-e",Notas!$E:$E,"2.01.87*",Notas!$U:$U,'Premissas DRE'!$C$10,Notas!$A:$A,D$4)-'Premissas DRE'!$C$6*SUMIFS(Notas!$AB:$AB,Notas!$C:$C,"NF-e",Notas!$E:$E,"2.01.87*",Notas!$U:$U,'Premissas DRE'!$C$10,Notas!$A:$A,D$4)-'Premissas DRE'!$C$7*SUMIFS(Notas!$AD:$AD,Notas!$C:$C,"NF-e",Notas!$E:$E,"2.01.87*",Notas!$U:$U,'Premissas DRE'!$C$10,Notas!$A:$A,D$4)-'Premissas DRE'!$C$7*SUMIFS(Notas!$AE:$AE,Notas!$C:$C,"NF-e",Notas!$E:$E,"2.01.87*",Notas!$U:$U,'Premissas DRE'!$C$10,Notas!$A:$A,D$4)</f>
        <v/>
      </c>
      <c r="E26" s="68">
        <f>SUMIFS(Notas!$W:$W,Notas!$C:$C,"NF-e",Notas!$E:$E,"2.01.87*",Notas!$U:$U,'Premissas DRE'!$C$10,Notas!$A:$A,E$4)-'Premissas DRE'!$C$8*SUMIFS(Notas!$AA:$AA,Notas!$C:$C,"NF-e",Notas!$E:$E,"2.01.87*",Notas!$U:$U,'Premissas DRE'!$C$10,Notas!$A:$A,E$4)-'Premissas DRE'!$C$6*SUMIFS(Notas!$AB:$AB,Notas!$C:$C,"NF-e",Notas!$E:$E,"2.01.87*",Notas!$U:$U,'Premissas DRE'!$C$10,Notas!$A:$A,E$4)-'Premissas DRE'!$C$7*SUMIFS(Notas!$AD:$AD,Notas!$C:$C,"NF-e",Notas!$E:$E,"2.01.87*",Notas!$U:$U,'Premissas DRE'!$C$10,Notas!$A:$A,E$4)-'Premissas DRE'!$C$7*SUMIFS(Notas!$AE:$AE,Notas!$C:$C,"NF-e",Notas!$E:$E,"2.01.87*",Notas!$U:$U,'Premissas DRE'!$C$10,Notas!$A:$A,E$4)</f>
        <v/>
      </c>
      <c r="F26" s="68">
        <f>SUMIFS(Notas!$W:$W,Notas!$C:$C,"NF-e",Notas!$E:$E,"2.01.87*",Notas!$U:$U,'Premissas DRE'!$C$10,Notas!$A:$A,F$4)-'Premissas DRE'!$C$8*SUMIFS(Notas!$AA:$AA,Notas!$C:$C,"NF-e",Notas!$E:$E,"2.01.87*",Notas!$U:$U,'Premissas DRE'!$C$10,Notas!$A:$A,F$4)-'Premissas DRE'!$C$6*SUMIFS(Notas!$AB:$AB,Notas!$C:$C,"NF-e",Notas!$E:$E,"2.01.87*",Notas!$U:$U,'Premissas DRE'!$C$10,Notas!$A:$A,F$4)-'Premissas DRE'!$C$7*SUMIFS(Notas!$AD:$AD,Notas!$C:$C,"NF-e",Notas!$E:$E,"2.01.87*",Notas!$U:$U,'Premissas DRE'!$C$10,Notas!$A:$A,F$4)-'Premissas DRE'!$C$7*SUMIFS(Notas!$AE:$AE,Notas!$C:$C,"NF-e",Notas!$E:$E,"2.01.87*",Notas!$U:$U,'Premissas DRE'!$C$10,Notas!$A:$A,F$4)</f>
        <v/>
      </c>
      <c r="G26" s="68">
        <f>SUMIFS(Notas!$W:$W,Notas!$C:$C,"NF-e",Notas!$E:$E,"2.01.87*",Notas!$U:$U,'Premissas DRE'!$C$10,Notas!$A:$A,G$4)-'Premissas DRE'!$C$8*SUMIFS(Notas!$AA:$AA,Notas!$C:$C,"NF-e",Notas!$E:$E,"2.01.87*",Notas!$U:$U,'Premissas DRE'!$C$10,Notas!$A:$A,G$4)-'Premissas DRE'!$C$6*SUMIFS(Notas!$AB:$AB,Notas!$C:$C,"NF-e",Notas!$E:$E,"2.01.87*",Notas!$U:$U,'Premissas DRE'!$C$10,Notas!$A:$A,G$4)-'Premissas DRE'!$C$7*SUMIFS(Notas!$AD:$AD,Notas!$C:$C,"NF-e",Notas!$E:$E,"2.01.87*",Notas!$U:$U,'Premissas DRE'!$C$10,Notas!$A:$A,G$4)-'Premissas DRE'!$C$7*SUMIFS(Notas!$AE:$AE,Notas!$C:$C,"NF-e",Notas!$E:$E,"2.01.87*",Notas!$U:$U,'Premissas DRE'!$C$10,Notas!$A:$A,G$4)</f>
        <v/>
      </c>
      <c r="H26" s="68">
        <f>SUMIFS(Notas!$W:$W,Notas!$C:$C,"NF-e",Notas!$E:$E,"2.01.87*",Notas!$U:$U,'Premissas DRE'!$C$10,Notas!$A:$A,H$4)-'Premissas DRE'!$C$8*SUMIFS(Notas!$AA:$AA,Notas!$C:$C,"NF-e",Notas!$E:$E,"2.01.87*",Notas!$U:$U,'Premissas DRE'!$C$10,Notas!$A:$A,H$4)-'Premissas DRE'!$C$6*SUMIFS(Notas!$AB:$AB,Notas!$C:$C,"NF-e",Notas!$E:$E,"2.01.87*",Notas!$U:$U,'Premissas DRE'!$C$10,Notas!$A:$A,H$4)-'Premissas DRE'!$C$7*SUMIFS(Notas!$AD:$AD,Notas!$C:$C,"NF-e",Notas!$E:$E,"2.01.87*",Notas!$U:$U,'Premissas DRE'!$C$10,Notas!$A:$A,H$4)-'Premissas DRE'!$C$7*SUMIFS(Notas!$AE:$AE,Notas!$C:$C,"NF-e",Notas!$E:$E,"2.01.87*",Notas!$U:$U,'Premissas DRE'!$C$10,Notas!$A:$A,H$4)</f>
        <v/>
      </c>
      <c r="I26" s="68">
        <f>SUMIFS(Notas!$W:$W,Notas!$C:$C,"NF-e",Notas!$E:$E,"2.01.87*",Notas!$U:$U,'Premissas DRE'!$C$10,Notas!$A:$A,I$4)-'Premissas DRE'!$C$8*SUMIFS(Notas!$AA:$AA,Notas!$C:$C,"NF-e",Notas!$E:$E,"2.01.87*",Notas!$U:$U,'Premissas DRE'!$C$10,Notas!$A:$A,I$4)-'Premissas DRE'!$C$6*SUMIFS(Notas!$AB:$AB,Notas!$C:$C,"NF-e",Notas!$E:$E,"2.01.87*",Notas!$U:$U,'Premissas DRE'!$C$10,Notas!$A:$A,I$4)-'Premissas DRE'!$C$7*SUMIFS(Notas!$AD:$AD,Notas!$C:$C,"NF-e",Notas!$E:$E,"2.01.87*",Notas!$U:$U,'Premissas DRE'!$C$10,Notas!$A:$A,I$4)-'Premissas DRE'!$C$7*SUMIFS(Notas!$AE:$AE,Notas!$C:$C,"NF-e",Notas!$E:$E,"2.01.87*",Notas!$U:$U,'Premissas DRE'!$C$10,Notas!$A:$A,I$4)</f>
        <v/>
      </c>
      <c r="J26" s="68">
        <f>SUMIFS(Notas!$W:$W,Notas!$C:$C,"NF-e",Notas!$E:$E,"2.01.87*",Notas!$U:$U,'Premissas DRE'!$C$10,Notas!$A:$A,J$4)-'Premissas DRE'!$C$8*SUMIFS(Notas!$AA:$AA,Notas!$C:$C,"NF-e",Notas!$E:$E,"2.01.87*",Notas!$U:$U,'Premissas DRE'!$C$10,Notas!$A:$A,J$4)-'Premissas DRE'!$C$6*SUMIFS(Notas!$AB:$AB,Notas!$C:$C,"NF-e",Notas!$E:$E,"2.01.87*",Notas!$U:$U,'Premissas DRE'!$C$10,Notas!$A:$A,J$4)-'Premissas DRE'!$C$7*SUMIFS(Notas!$AD:$AD,Notas!$C:$C,"NF-e",Notas!$E:$E,"2.01.87*",Notas!$U:$U,'Premissas DRE'!$C$10,Notas!$A:$A,J$4)-'Premissas DRE'!$C$7*SUMIFS(Notas!$AE:$AE,Notas!$C:$C,"NF-e",Notas!$E:$E,"2.01.87*",Notas!$U:$U,'Premissas DRE'!$C$10,Notas!$A:$A,J$4)</f>
        <v/>
      </c>
      <c r="K26" s="68">
        <f>SUMIFS(Notas!$W:$W,Notas!$C:$C,"NF-e",Notas!$E:$E,"2.01.87*",Notas!$U:$U,'Premissas DRE'!$C$10,Notas!$A:$A,K$4)-'Premissas DRE'!$C$8*SUMIFS(Notas!$AA:$AA,Notas!$C:$C,"NF-e",Notas!$E:$E,"2.01.87*",Notas!$U:$U,'Premissas DRE'!$C$10,Notas!$A:$A,K$4)-'Premissas DRE'!$C$6*SUMIFS(Notas!$AB:$AB,Notas!$C:$C,"NF-e",Notas!$E:$E,"2.01.87*",Notas!$U:$U,'Premissas DRE'!$C$10,Notas!$A:$A,K$4)-'Premissas DRE'!$C$7*SUMIFS(Notas!$AD:$AD,Notas!$C:$C,"NF-e",Notas!$E:$E,"2.01.87*",Notas!$U:$U,'Premissas DRE'!$C$10,Notas!$A:$A,K$4)-'Premissas DRE'!$C$7*SUMIFS(Notas!$AE:$AE,Notas!$C:$C,"NF-e",Notas!$E:$E,"2.01.87*",Notas!$U:$U,'Premissas DRE'!$C$10,Notas!$A:$A,K$4)</f>
        <v/>
      </c>
      <c r="L26" s="68">
        <f>SUM(C26:K26)</f>
        <v/>
      </c>
    </row>
    <row r="27">
      <c r="A27" s="53" t="inlineStr">
        <is>
          <t>Manutenção e conservação de máquinas</t>
        </is>
      </c>
      <c r="B27" s="48" t="inlineStr">
        <is>
          <t>NF-e · 2.01.88</t>
        </is>
      </c>
      <c r="C27" s="68">
        <f>SUMIFS(Notas!$W:$W,Notas!$C:$C,"NF-e",Notas!$E:$E,"2.01.88*",Notas!$U:$U,'Premissas DRE'!$C$10,Notas!$A:$A,C$4)-'Premissas DRE'!$C$8*SUMIFS(Notas!$AA:$AA,Notas!$C:$C,"NF-e",Notas!$E:$E,"2.01.88*",Notas!$U:$U,'Premissas DRE'!$C$10,Notas!$A:$A,C$4)-'Premissas DRE'!$C$6*SUMIFS(Notas!$AB:$AB,Notas!$C:$C,"NF-e",Notas!$E:$E,"2.01.88*",Notas!$U:$U,'Premissas DRE'!$C$10,Notas!$A:$A,C$4)-'Premissas DRE'!$C$7*SUMIFS(Notas!$AD:$AD,Notas!$C:$C,"NF-e",Notas!$E:$E,"2.01.88*",Notas!$U:$U,'Premissas DRE'!$C$10,Notas!$A:$A,C$4)-'Premissas DRE'!$C$7*SUMIFS(Notas!$AE:$AE,Notas!$C:$C,"NF-e",Notas!$E:$E,"2.01.88*",Notas!$U:$U,'Premissas DRE'!$C$10,Notas!$A:$A,C$4)</f>
        <v/>
      </c>
      <c r="D27" s="68">
        <f>SUMIFS(Notas!$W:$W,Notas!$C:$C,"NF-e",Notas!$E:$E,"2.01.88*",Notas!$U:$U,'Premissas DRE'!$C$10,Notas!$A:$A,D$4)-'Premissas DRE'!$C$8*SUMIFS(Notas!$AA:$AA,Notas!$C:$C,"NF-e",Notas!$E:$E,"2.01.88*",Notas!$U:$U,'Premissas DRE'!$C$10,Notas!$A:$A,D$4)-'Premissas DRE'!$C$6*SUMIFS(Notas!$AB:$AB,Notas!$C:$C,"NF-e",Notas!$E:$E,"2.01.88*",Notas!$U:$U,'Premissas DRE'!$C$10,Notas!$A:$A,D$4)-'Premissas DRE'!$C$7*SUMIFS(Notas!$AD:$AD,Notas!$C:$C,"NF-e",Notas!$E:$E,"2.01.88*",Notas!$U:$U,'Premissas DRE'!$C$10,Notas!$A:$A,D$4)-'Premissas DRE'!$C$7*SUMIFS(Notas!$AE:$AE,Notas!$C:$C,"NF-e",Notas!$E:$E,"2.01.88*",Notas!$U:$U,'Premissas DRE'!$C$10,Notas!$A:$A,D$4)</f>
        <v/>
      </c>
      <c r="E27" s="68">
        <f>SUMIFS(Notas!$W:$W,Notas!$C:$C,"NF-e",Notas!$E:$E,"2.01.88*",Notas!$U:$U,'Premissas DRE'!$C$10,Notas!$A:$A,E$4)-'Premissas DRE'!$C$8*SUMIFS(Notas!$AA:$AA,Notas!$C:$C,"NF-e",Notas!$E:$E,"2.01.88*",Notas!$U:$U,'Premissas DRE'!$C$10,Notas!$A:$A,E$4)-'Premissas DRE'!$C$6*SUMIFS(Notas!$AB:$AB,Notas!$C:$C,"NF-e",Notas!$E:$E,"2.01.88*",Notas!$U:$U,'Premissas DRE'!$C$10,Notas!$A:$A,E$4)-'Premissas DRE'!$C$7*SUMIFS(Notas!$AD:$AD,Notas!$C:$C,"NF-e",Notas!$E:$E,"2.01.88*",Notas!$U:$U,'Premissas DRE'!$C$10,Notas!$A:$A,E$4)-'Premissas DRE'!$C$7*SUMIFS(Notas!$AE:$AE,Notas!$C:$C,"NF-e",Notas!$E:$E,"2.01.88*",Notas!$U:$U,'Premissas DRE'!$C$10,Notas!$A:$A,E$4)</f>
        <v/>
      </c>
      <c r="F27" s="68">
        <f>SUMIFS(Notas!$W:$W,Notas!$C:$C,"NF-e",Notas!$E:$E,"2.01.88*",Notas!$U:$U,'Premissas DRE'!$C$10,Notas!$A:$A,F$4)-'Premissas DRE'!$C$8*SUMIFS(Notas!$AA:$AA,Notas!$C:$C,"NF-e",Notas!$E:$E,"2.01.88*",Notas!$U:$U,'Premissas DRE'!$C$10,Notas!$A:$A,F$4)-'Premissas DRE'!$C$6*SUMIFS(Notas!$AB:$AB,Notas!$C:$C,"NF-e",Notas!$E:$E,"2.01.88*",Notas!$U:$U,'Premissas DRE'!$C$10,Notas!$A:$A,F$4)-'Premissas DRE'!$C$7*SUMIFS(Notas!$AD:$AD,Notas!$C:$C,"NF-e",Notas!$E:$E,"2.01.88*",Notas!$U:$U,'Premissas DRE'!$C$10,Notas!$A:$A,F$4)-'Premissas DRE'!$C$7*SUMIFS(Notas!$AE:$AE,Notas!$C:$C,"NF-e",Notas!$E:$E,"2.01.88*",Notas!$U:$U,'Premissas DRE'!$C$10,Notas!$A:$A,F$4)</f>
        <v/>
      </c>
      <c r="G27" s="68">
        <f>SUMIFS(Notas!$W:$W,Notas!$C:$C,"NF-e",Notas!$E:$E,"2.01.88*",Notas!$U:$U,'Premissas DRE'!$C$10,Notas!$A:$A,G$4)-'Premissas DRE'!$C$8*SUMIFS(Notas!$AA:$AA,Notas!$C:$C,"NF-e",Notas!$E:$E,"2.01.88*",Notas!$U:$U,'Premissas DRE'!$C$10,Notas!$A:$A,G$4)-'Premissas DRE'!$C$6*SUMIFS(Notas!$AB:$AB,Notas!$C:$C,"NF-e",Notas!$E:$E,"2.01.88*",Notas!$U:$U,'Premissas DRE'!$C$10,Notas!$A:$A,G$4)-'Premissas DRE'!$C$7*SUMIFS(Notas!$AD:$AD,Notas!$C:$C,"NF-e",Notas!$E:$E,"2.01.88*",Notas!$U:$U,'Premissas DRE'!$C$10,Notas!$A:$A,G$4)-'Premissas DRE'!$C$7*SUMIFS(Notas!$AE:$AE,Notas!$C:$C,"NF-e",Notas!$E:$E,"2.01.88*",Notas!$U:$U,'Premissas DRE'!$C$10,Notas!$A:$A,G$4)</f>
        <v/>
      </c>
      <c r="H27" s="68">
        <f>SUMIFS(Notas!$W:$W,Notas!$C:$C,"NF-e",Notas!$E:$E,"2.01.88*",Notas!$U:$U,'Premissas DRE'!$C$10,Notas!$A:$A,H$4)-'Premissas DRE'!$C$8*SUMIFS(Notas!$AA:$AA,Notas!$C:$C,"NF-e",Notas!$E:$E,"2.01.88*",Notas!$U:$U,'Premissas DRE'!$C$10,Notas!$A:$A,H$4)-'Premissas DRE'!$C$6*SUMIFS(Notas!$AB:$AB,Notas!$C:$C,"NF-e",Notas!$E:$E,"2.01.88*",Notas!$U:$U,'Premissas DRE'!$C$10,Notas!$A:$A,H$4)-'Premissas DRE'!$C$7*SUMIFS(Notas!$AD:$AD,Notas!$C:$C,"NF-e",Notas!$E:$E,"2.01.88*",Notas!$U:$U,'Premissas DRE'!$C$10,Notas!$A:$A,H$4)-'Premissas DRE'!$C$7*SUMIFS(Notas!$AE:$AE,Notas!$C:$C,"NF-e",Notas!$E:$E,"2.01.88*",Notas!$U:$U,'Premissas DRE'!$C$10,Notas!$A:$A,H$4)</f>
        <v/>
      </c>
      <c r="I27" s="68">
        <f>SUMIFS(Notas!$W:$W,Notas!$C:$C,"NF-e",Notas!$E:$E,"2.01.88*",Notas!$U:$U,'Premissas DRE'!$C$10,Notas!$A:$A,I$4)-'Premissas DRE'!$C$8*SUMIFS(Notas!$AA:$AA,Notas!$C:$C,"NF-e",Notas!$E:$E,"2.01.88*",Notas!$U:$U,'Premissas DRE'!$C$10,Notas!$A:$A,I$4)-'Premissas DRE'!$C$6*SUMIFS(Notas!$AB:$AB,Notas!$C:$C,"NF-e",Notas!$E:$E,"2.01.88*",Notas!$U:$U,'Premissas DRE'!$C$10,Notas!$A:$A,I$4)-'Premissas DRE'!$C$7*SUMIFS(Notas!$AD:$AD,Notas!$C:$C,"NF-e",Notas!$E:$E,"2.01.88*",Notas!$U:$U,'Premissas DRE'!$C$10,Notas!$A:$A,I$4)-'Premissas DRE'!$C$7*SUMIFS(Notas!$AE:$AE,Notas!$C:$C,"NF-e",Notas!$E:$E,"2.01.88*",Notas!$U:$U,'Premissas DRE'!$C$10,Notas!$A:$A,I$4)</f>
        <v/>
      </c>
      <c r="J27" s="68">
        <f>SUMIFS(Notas!$W:$W,Notas!$C:$C,"NF-e",Notas!$E:$E,"2.01.88*",Notas!$U:$U,'Premissas DRE'!$C$10,Notas!$A:$A,J$4)-'Premissas DRE'!$C$8*SUMIFS(Notas!$AA:$AA,Notas!$C:$C,"NF-e",Notas!$E:$E,"2.01.88*",Notas!$U:$U,'Premissas DRE'!$C$10,Notas!$A:$A,J$4)-'Premissas DRE'!$C$6*SUMIFS(Notas!$AB:$AB,Notas!$C:$C,"NF-e",Notas!$E:$E,"2.01.88*",Notas!$U:$U,'Premissas DRE'!$C$10,Notas!$A:$A,J$4)-'Premissas DRE'!$C$7*SUMIFS(Notas!$AD:$AD,Notas!$C:$C,"NF-e",Notas!$E:$E,"2.01.88*",Notas!$U:$U,'Premissas DRE'!$C$10,Notas!$A:$A,J$4)-'Premissas DRE'!$C$7*SUMIFS(Notas!$AE:$AE,Notas!$C:$C,"NF-e",Notas!$E:$E,"2.01.88*",Notas!$U:$U,'Premissas DRE'!$C$10,Notas!$A:$A,J$4)</f>
        <v/>
      </c>
      <c r="K27" s="68">
        <f>SUMIFS(Notas!$W:$W,Notas!$C:$C,"NF-e",Notas!$E:$E,"2.01.88*",Notas!$U:$U,'Premissas DRE'!$C$10,Notas!$A:$A,K$4)-'Premissas DRE'!$C$8*SUMIFS(Notas!$AA:$AA,Notas!$C:$C,"NF-e",Notas!$E:$E,"2.01.88*",Notas!$U:$U,'Premissas DRE'!$C$10,Notas!$A:$A,K$4)-'Premissas DRE'!$C$6*SUMIFS(Notas!$AB:$AB,Notas!$C:$C,"NF-e",Notas!$E:$E,"2.01.88*",Notas!$U:$U,'Premissas DRE'!$C$10,Notas!$A:$A,K$4)-'Premissas DRE'!$C$7*SUMIFS(Notas!$AD:$AD,Notas!$C:$C,"NF-e",Notas!$E:$E,"2.01.88*",Notas!$U:$U,'Premissas DRE'!$C$10,Notas!$A:$A,K$4)-'Premissas DRE'!$C$7*SUMIFS(Notas!$AE:$AE,Notas!$C:$C,"NF-e",Notas!$E:$E,"2.01.88*",Notas!$U:$U,'Premissas DRE'!$C$10,Notas!$A:$A,K$4)</f>
        <v/>
      </c>
      <c r="L27" s="68">
        <f>SUM(C27:K27)</f>
        <v/>
      </c>
    </row>
    <row r="28">
      <c r="A28" s="53" t="inlineStr">
        <is>
          <t>Gás</t>
        </is>
      </c>
      <c r="B28" s="48" t="inlineStr">
        <is>
          <t>NF-e · 2.01.79</t>
        </is>
      </c>
      <c r="C28" s="68">
        <f>SUMIFS(Notas!$W:$W,Notas!$C:$C,"NF-e",Notas!$E:$E,"2.01.79*",Notas!$U:$U,'Premissas DRE'!$C$10,Notas!$A:$A,C$4)-'Premissas DRE'!$C$8*SUMIFS(Notas!$AA:$AA,Notas!$C:$C,"NF-e",Notas!$E:$E,"2.01.79*",Notas!$U:$U,'Premissas DRE'!$C$10,Notas!$A:$A,C$4)-'Premissas DRE'!$C$6*SUMIFS(Notas!$AB:$AB,Notas!$C:$C,"NF-e",Notas!$E:$E,"2.01.79*",Notas!$U:$U,'Premissas DRE'!$C$10,Notas!$A:$A,C$4)-'Premissas DRE'!$C$7*SUMIFS(Notas!$AD:$AD,Notas!$C:$C,"NF-e",Notas!$E:$E,"2.01.79*",Notas!$U:$U,'Premissas DRE'!$C$10,Notas!$A:$A,C$4)-'Premissas DRE'!$C$7*SUMIFS(Notas!$AE:$AE,Notas!$C:$C,"NF-e",Notas!$E:$E,"2.01.79*",Notas!$U:$U,'Premissas DRE'!$C$10,Notas!$A:$A,C$4)</f>
        <v/>
      </c>
      <c r="D28" s="68">
        <f>SUMIFS(Notas!$W:$W,Notas!$C:$C,"NF-e",Notas!$E:$E,"2.01.79*",Notas!$U:$U,'Premissas DRE'!$C$10,Notas!$A:$A,D$4)-'Premissas DRE'!$C$8*SUMIFS(Notas!$AA:$AA,Notas!$C:$C,"NF-e",Notas!$E:$E,"2.01.79*",Notas!$U:$U,'Premissas DRE'!$C$10,Notas!$A:$A,D$4)-'Premissas DRE'!$C$6*SUMIFS(Notas!$AB:$AB,Notas!$C:$C,"NF-e",Notas!$E:$E,"2.01.79*",Notas!$U:$U,'Premissas DRE'!$C$10,Notas!$A:$A,D$4)-'Premissas DRE'!$C$7*SUMIFS(Notas!$AD:$AD,Notas!$C:$C,"NF-e",Notas!$E:$E,"2.01.79*",Notas!$U:$U,'Premissas DRE'!$C$10,Notas!$A:$A,D$4)-'Premissas DRE'!$C$7*SUMIFS(Notas!$AE:$AE,Notas!$C:$C,"NF-e",Notas!$E:$E,"2.01.79*",Notas!$U:$U,'Premissas DRE'!$C$10,Notas!$A:$A,D$4)</f>
        <v/>
      </c>
      <c r="E28" s="68">
        <f>SUMIFS(Notas!$W:$W,Notas!$C:$C,"NF-e",Notas!$E:$E,"2.01.79*",Notas!$U:$U,'Premissas DRE'!$C$10,Notas!$A:$A,E$4)-'Premissas DRE'!$C$8*SUMIFS(Notas!$AA:$AA,Notas!$C:$C,"NF-e",Notas!$E:$E,"2.01.79*",Notas!$U:$U,'Premissas DRE'!$C$10,Notas!$A:$A,E$4)-'Premissas DRE'!$C$6*SUMIFS(Notas!$AB:$AB,Notas!$C:$C,"NF-e",Notas!$E:$E,"2.01.79*",Notas!$U:$U,'Premissas DRE'!$C$10,Notas!$A:$A,E$4)-'Premissas DRE'!$C$7*SUMIFS(Notas!$AD:$AD,Notas!$C:$C,"NF-e",Notas!$E:$E,"2.01.79*",Notas!$U:$U,'Premissas DRE'!$C$10,Notas!$A:$A,E$4)-'Premissas DRE'!$C$7*SUMIFS(Notas!$AE:$AE,Notas!$C:$C,"NF-e",Notas!$E:$E,"2.01.79*",Notas!$U:$U,'Premissas DRE'!$C$10,Notas!$A:$A,E$4)</f>
        <v/>
      </c>
      <c r="F28" s="68">
        <f>SUMIFS(Notas!$W:$W,Notas!$C:$C,"NF-e",Notas!$E:$E,"2.01.79*",Notas!$U:$U,'Premissas DRE'!$C$10,Notas!$A:$A,F$4)-'Premissas DRE'!$C$8*SUMIFS(Notas!$AA:$AA,Notas!$C:$C,"NF-e",Notas!$E:$E,"2.01.79*",Notas!$U:$U,'Premissas DRE'!$C$10,Notas!$A:$A,F$4)-'Premissas DRE'!$C$6*SUMIFS(Notas!$AB:$AB,Notas!$C:$C,"NF-e",Notas!$E:$E,"2.01.79*",Notas!$U:$U,'Premissas DRE'!$C$10,Notas!$A:$A,F$4)-'Premissas DRE'!$C$7*SUMIFS(Notas!$AD:$AD,Notas!$C:$C,"NF-e",Notas!$E:$E,"2.01.79*",Notas!$U:$U,'Premissas DRE'!$C$10,Notas!$A:$A,F$4)-'Premissas DRE'!$C$7*SUMIFS(Notas!$AE:$AE,Notas!$C:$C,"NF-e",Notas!$E:$E,"2.01.79*",Notas!$U:$U,'Premissas DRE'!$C$10,Notas!$A:$A,F$4)</f>
        <v/>
      </c>
      <c r="G28" s="68">
        <f>SUMIFS(Notas!$W:$W,Notas!$C:$C,"NF-e",Notas!$E:$E,"2.01.79*",Notas!$U:$U,'Premissas DRE'!$C$10,Notas!$A:$A,G$4)-'Premissas DRE'!$C$8*SUMIFS(Notas!$AA:$AA,Notas!$C:$C,"NF-e",Notas!$E:$E,"2.01.79*",Notas!$U:$U,'Premissas DRE'!$C$10,Notas!$A:$A,G$4)-'Premissas DRE'!$C$6*SUMIFS(Notas!$AB:$AB,Notas!$C:$C,"NF-e",Notas!$E:$E,"2.01.79*",Notas!$U:$U,'Premissas DRE'!$C$10,Notas!$A:$A,G$4)-'Premissas DRE'!$C$7*SUMIFS(Notas!$AD:$AD,Notas!$C:$C,"NF-e",Notas!$E:$E,"2.01.79*",Notas!$U:$U,'Premissas DRE'!$C$10,Notas!$A:$A,G$4)-'Premissas DRE'!$C$7*SUMIFS(Notas!$AE:$AE,Notas!$C:$C,"NF-e",Notas!$E:$E,"2.01.79*",Notas!$U:$U,'Premissas DRE'!$C$10,Notas!$A:$A,G$4)</f>
        <v/>
      </c>
      <c r="H28" s="68">
        <f>SUMIFS(Notas!$W:$W,Notas!$C:$C,"NF-e",Notas!$E:$E,"2.01.79*",Notas!$U:$U,'Premissas DRE'!$C$10,Notas!$A:$A,H$4)-'Premissas DRE'!$C$8*SUMIFS(Notas!$AA:$AA,Notas!$C:$C,"NF-e",Notas!$E:$E,"2.01.79*",Notas!$U:$U,'Premissas DRE'!$C$10,Notas!$A:$A,H$4)-'Premissas DRE'!$C$6*SUMIFS(Notas!$AB:$AB,Notas!$C:$C,"NF-e",Notas!$E:$E,"2.01.79*",Notas!$U:$U,'Premissas DRE'!$C$10,Notas!$A:$A,H$4)-'Premissas DRE'!$C$7*SUMIFS(Notas!$AD:$AD,Notas!$C:$C,"NF-e",Notas!$E:$E,"2.01.79*",Notas!$U:$U,'Premissas DRE'!$C$10,Notas!$A:$A,H$4)-'Premissas DRE'!$C$7*SUMIFS(Notas!$AE:$AE,Notas!$C:$C,"NF-e",Notas!$E:$E,"2.01.79*",Notas!$U:$U,'Premissas DRE'!$C$10,Notas!$A:$A,H$4)</f>
        <v/>
      </c>
      <c r="I28" s="68">
        <f>SUMIFS(Notas!$W:$W,Notas!$C:$C,"NF-e",Notas!$E:$E,"2.01.79*",Notas!$U:$U,'Premissas DRE'!$C$10,Notas!$A:$A,I$4)-'Premissas DRE'!$C$8*SUMIFS(Notas!$AA:$AA,Notas!$C:$C,"NF-e",Notas!$E:$E,"2.01.79*",Notas!$U:$U,'Premissas DRE'!$C$10,Notas!$A:$A,I$4)-'Premissas DRE'!$C$6*SUMIFS(Notas!$AB:$AB,Notas!$C:$C,"NF-e",Notas!$E:$E,"2.01.79*",Notas!$U:$U,'Premissas DRE'!$C$10,Notas!$A:$A,I$4)-'Premissas DRE'!$C$7*SUMIFS(Notas!$AD:$AD,Notas!$C:$C,"NF-e",Notas!$E:$E,"2.01.79*",Notas!$U:$U,'Premissas DRE'!$C$10,Notas!$A:$A,I$4)-'Premissas DRE'!$C$7*SUMIFS(Notas!$AE:$AE,Notas!$C:$C,"NF-e",Notas!$E:$E,"2.01.79*",Notas!$U:$U,'Premissas DRE'!$C$10,Notas!$A:$A,I$4)</f>
        <v/>
      </c>
      <c r="J28" s="68">
        <f>SUMIFS(Notas!$W:$W,Notas!$C:$C,"NF-e",Notas!$E:$E,"2.01.79*",Notas!$U:$U,'Premissas DRE'!$C$10,Notas!$A:$A,J$4)-'Premissas DRE'!$C$8*SUMIFS(Notas!$AA:$AA,Notas!$C:$C,"NF-e",Notas!$E:$E,"2.01.79*",Notas!$U:$U,'Premissas DRE'!$C$10,Notas!$A:$A,J$4)-'Premissas DRE'!$C$6*SUMIFS(Notas!$AB:$AB,Notas!$C:$C,"NF-e",Notas!$E:$E,"2.01.79*",Notas!$U:$U,'Premissas DRE'!$C$10,Notas!$A:$A,J$4)-'Premissas DRE'!$C$7*SUMIFS(Notas!$AD:$AD,Notas!$C:$C,"NF-e",Notas!$E:$E,"2.01.79*",Notas!$U:$U,'Premissas DRE'!$C$10,Notas!$A:$A,J$4)-'Premissas DRE'!$C$7*SUMIFS(Notas!$AE:$AE,Notas!$C:$C,"NF-e",Notas!$E:$E,"2.01.79*",Notas!$U:$U,'Premissas DRE'!$C$10,Notas!$A:$A,J$4)</f>
        <v/>
      </c>
      <c r="K28" s="68">
        <f>SUMIFS(Notas!$W:$W,Notas!$C:$C,"NF-e",Notas!$E:$E,"2.01.79*",Notas!$U:$U,'Premissas DRE'!$C$10,Notas!$A:$A,K$4)-'Premissas DRE'!$C$8*SUMIFS(Notas!$AA:$AA,Notas!$C:$C,"NF-e",Notas!$E:$E,"2.01.79*",Notas!$U:$U,'Premissas DRE'!$C$10,Notas!$A:$A,K$4)-'Premissas DRE'!$C$6*SUMIFS(Notas!$AB:$AB,Notas!$C:$C,"NF-e",Notas!$E:$E,"2.01.79*",Notas!$U:$U,'Premissas DRE'!$C$10,Notas!$A:$A,K$4)-'Premissas DRE'!$C$7*SUMIFS(Notas!$AD:$AD,Notas!$C:$C,"NF-e",Notas!$E:$E,"2.01.79*",Notas!$U:$U,'Premissas DRE'!$C$10,Notas!$A:$A,K$4)-'Premissas DRE'!$C$7*SUMIFS(Notas!$AE:$AE,Notas!$C:$C,"NF-e",Notas!$E:$E,"2.01.79*",Notas!$U:$U,'Premissas DRE'!$C$10,Notas!$A:$A,K$4)</f>
        <v/>
      </c>
      <c r="L28" s="68">
        <f>SUM(C28:K28)</f>
        <v/>
      </c>
    </row>
    <row r="29">
      <c r="A29" s="53" t="inlineStr">
        <is>
          <t>Máquinas pesadas  [SINALIZADO: possível CAPEX]</t>
        </is>
      </c>
      <c r="B29" s="48" t="inlineStr">
        <is>
          <t>NF-e · 2.01.78</t>
        </is>
      </c>
      <c r="C29" s="68">
        <f>SUMIFS(Notas!$W:$W,Notas!$C:$C,"NF-e",Notas!$E:$E,"2.01.78*",Notas!$U:$U,'Premissas DRE'!$C$10,Notas!$A:$A,C$4)-'Premissas DRE'!$C$8*SUMIFS(Notas!$AA:$AA,Notas!$C:$C,"NF-e",Notas!$E:$E,"2.01.78*",Notas!$U:$U,'Premissas DRE'!$C$10,Notas!$A:$A,C$4)-'Premissas DRE'!$C$6*SUMIFS(Notas!$AB:$AB,Notas!$C:$C,"NF-e",Notas!$E:$E,"2.01.78*",Notas!$U:$U,'Premissas DRE'!$C$10,Notas!$A:$A,C$4)-'Premissas DRE'!$C$7*SUMIFS(Notas!$AD:$AD,Notas!$C:$C,"NF-e",Notas!$E:$E,"2.01.78*",Notas!$U:$U,'Premissas DRE'!$C$10,Notas!$A:$A,C$4)-'Premissas DRE'!$C$7*SUMIFS(Notas!$AE:$AE,Notas!$C:$C,"NF-e",Notas!$E:$E,"2.01.78*",Notas!$U:$U,'Premissas DRE'!$C$10,Notas!$A:$A,C$4)</f>
        <v/>
      </c>
      <c r="D29" s="68">
        <f>SUMIFS(Notas!$W:$W,Notas!$C:$C,"NF-e",Notas!$E:$E,"2.01.78*",Notas!$U:$U,'Premissas DRE'!$C$10,Notas!$A:$A,D$4)-'Premissas DRE'!$C$8*SUMIFS(Notas!$AA:$AA,Notas!$C:$C,"NF-e",Notas!$E:$E,"2.01.78*",Notas!$U:$U,'Premissas DRE'!$C$10,Notas!$A:$A,D$4)-'Premissas DRE'!$C$6*SUMIFS(Notas!$AB:$AB,Notas!$C:$C,"NF-e",Notas!$E:$E,"2.01.78*",Notas!$U:$U,'Premissas DRE'!$C$10,Notas!$A:$A,D$4)-'Premissas DRE'!$C$7*SUMIFS(Notas!$AD:$AD,Notas!$C:$C,"NF-e",Notas!$E:$E,"2.01.78*",Notas!$U:$U,'Premissas DRE'!$C$10,Notas!$A:$A,D$4)-'Premissas DRE'!$C$7*SUMIFS(Notas!$AE:$AE,Notas!$C:$C,"NF-e",Notas!$E:$E,"2.01.78*",Notas!$U:$U,'Premissas DRE'!$C$10,Notas!$A:$A,D$4)</f>
        <v/>
      </c>
      <c r="E29" s="68">
        <f>SUMIFS(Notas!$W:$W,Notas!$C:$C,"NF-e",Notas!$E:$E,"2.01.78*",Notas!$U:$U,'Premissas DRE'!$C$10,Notas!$A:$A,E$4)-'Premissas DRE'!$C$8*SUMIFS(Notas!$AA:$AA,Notas!$C:$C,"NF-e",Notas!$E:$E,"2.01.78*",Notas!$U:$U,'Premissas DRE'!$C$10,Notas!$A:$A,E$4)-'Premissas DRE'!$C$6*SUMIFS(Notas!$AB:$AB,Notas!$C:$C,"NF-e",Notas!$E:$E,"2.01.78*",Notas!$U:$U,'Premissas DRE'!$C$10,Notas!$A:$A,E$4)-'Premissas DRE'!$C$7*SUMIFS(Notas!$AD:$AD,Notas!$C:$C,"NF-e",Notas!$E:$E,"2.01.78*",Notas!$U:$U,'Premissas DRE'!$C$10,Notas!$A:$A,E$4)-'Premissas DRE'!$C$7*SUMIFS(Notas!$AE:$AE,Notas!$C:$C,"NF-e",Notas!$E:$E,"2.01.78*",Notas!$U:$U,'Premissas DRE'!$C$10,Notas!$A:$A,E$4)</f>
        <v/>
      </c>
      <c r="F29" s="68">
        <f>SUMIFS(Notas!$W:$W,Notas!$C:$C,"NF-e",Notas!$E:$E,"2.01.78*",Notas!$U:$U,'Premissas DRE'!$C$10,Notas!$A:$A,F$4)-'Premissas DRE'!$C$8*SUMIFS(Notas!$AA:$AA,Notas!$C:$C,"NF-e",Notas!$E:$E,"2.01.78*",Notas!$U:$U,'Premissas DRE'!$C$10,Notas!$A:$A,F$4)-'Premissas DRE'!$C$6*SUMIFS(Notas!$AB:$AB,Notas!$C:$C,"NF-e",Notas!$E:$E,"2.01.78*",Notas!$U:$U,'Premissas DRE'!$C$10,Notas!$A:$A,F$4)-'Premissas DRE'!$C$7*SUMIFS(Notas!$AD:$AD,Notas!$C:$C,"NF-e",Notas!$E:$E,"2.01.78*",Notas!$U:$U,'Premissas DRE'!$C$10,Notas!$A:$A,F$4)-'Premissas DRE'!$C$7*SUMIFS(Notas!$AE:$AE,Notas!$C:$C,"NF-e",Notas!$E:$E,"2.01.78*",Notas!$U:$U,'Premissas DRE'!$C$10,Notas!$A:$A,F$4)</f>
        <v/>
      </c>
      <c r="G29" s="68">
        <f>SUMIFS(Notas!$W:$W,Notas!$C:$C,"NF-e",Notas!$E:$E,"2.01.78*",Notas!$U:$U,'Premissas DRE'!$C$10,Notas!$A:$A,G$4)-'Premissas DRE'!$C$8*SUMIFS(Notas!$AA:$AA,Notas!$C:$C,"NF-e",Notas!$E:$E,"2.01.78*",Notas!$U:$U,'Premissas DRE'!$C$10,Notas!$A:$A,G$4)-'Premissas DRE'!$C$6*SUMIFS(Notas!$AB:$AB,Notas!$C:$C,"NF-e",Notas!$E:$E,"2.01.78*",Notas!$U:$U,'Premissas DRE'!$C$10,Notas!$A:$A,G$4)-'Premissas DRE'!$C$7*SUMIFS(Notas!$AD:$AD,Notas!$C:$C,"NF-e",Notas!$E:$E,"2.01.78*",Notas!$U:$U,'Premissas DRE'!$C$10,Notas!$A:$A,G$4)-'Premissas DRE'!$C$7*SUMIFS(Notas!$AE:$AE,Notas!$C:$C,"NF-e",Notas!$E:$E,"2.01.78*",Notas!$U:$U,'Premissas DRE'!$C$10,Notas!$A:$A,G$4)</f>
        <v/>
      </c>
      <c r="H29" s="68">
        <f>SUMIFS(Notas!$W:$W,Notas!$C:$C,"NF-e",Notas!$E:$E,"2.01.78*",Notas!$U:$U,'Premissas DRE'!$C$10,Notas!$A:$A,H$4)-'Premissas DRE'!$C$8*SUMIFS(Notas!$AA:$AA,Notas!$C:$C,"NF-e",Notas!$E:$E,"2.01.78*",Notas!$U:$U,'Premissas DRE'!$C$10,Notas!$A:$A,H$4)-'Premissas DRE'!$C$6*SUMIFS(Notas!$AB:$AB,Notas!$C:$C,"NF-e",Notas!$E:$E,"2.01.78*",Notas!$U:$U,'Premissas DRE'!$C$10,Notas!$A:$A,H$4)-'Premissas DRE'!$C$7*SUMIFS(Notas!$AD:$AD,Notas!$C:$C,"NF-e",Notas!$E:$E,"2.01.78*",Notas!$U:$U,'Premissas DRE'!$C$10,Notas!$A:$A,H$4)-'Premissas DRE'!$C$7*SUMIFS(Notas!$AE:$AE,Notas!$C:$C,"NF-e",Notas!$E:$E,"2.01.78*",Notas!$U:$U,'Premissas DRE'!$C$10,Notas!$A:$A,H$4)</f>
        <v/>
      </c>
      <c r="I29" s="68">
        <f>SUMIFS(Notas!$W:$W,Notas!$C:$C,"NF-e",Notas!$E:$E,"2.01.78*",Notas!$U:$U,'Premissas DRE'!$C$10,Notas!$A:$A,I$4)-'Premissas DRE'!$C$8*SUMIFS(Notas!$AA:$AA,Notas!$C:$C,"NF-e",Notas!$E:$E,"2.01.78*",Notas!$U:$U,'Premissas DRE'!$C$10,Notas!$A:$A,I$4)-'Premissas DRE'!$C$6*SUMIFS(Notas!$AB:$AB,Notas!$C:$C,"NF-e",Notas!$E:$E,"2.01.78*",Notas!$U:$U,'Premissas DRE'!$C$10,Notas!$A:$A,I$4)-'Premissas DRE'!$C$7*SUMIFS(Notas!$AD:$AD,Notas!$C:$C,"NF-e",Notas!$E:$E,"2.01.78*",Notas!$U:$U,'Premissas DRE'!$C$10,Notas!$A:$A,I$4)-'Premissas DRE'!$C$7*SUMIFS(Notas!$AE:$AE,Notas!$C:$C,"NF-e",Notas!$E:$E,"2.01.78*",Notas!$U:$U,'Premissas DRE'!$C$10,Notas!$A:$A,I$4)</f>
        <v/>
      </c>
      <c r="J29" s="68">
        <f>SUMIFS(Notas!$W:$W,Notas!$C:$C,"NF-e",Notas!$E:$E,"2.01.78*",Notas!$U:$U,'Premissas DRE'!$C$10,Notas!$A:$A,J$4)-'Premissas DRE'!$C$8*SUMIFS(Notas!$AA:$AA,Notas!$C:$C,"NF-e",Notas!$E:$E,"2.01.78*",Notas!$U:$U,'Premissas DRE'!$C$10,Notas!$A:$A,J$4)-'Premissas DRE'!$C$6*SUMIFS(Notas!$AB:$AB,Notas!$C:$C,"NF-e",Notas!$E:$E,"2.01.78*",Notas!$U:$U,'Premissas DRE'!$C$10,Notas!$A:$A,J$4)-'Premissas DRE'!$C$7*SUMIFS(Notas!$AD:$AD,Notas!$C:$C,"NF-e",Notas!$E:$E,"2.01.78*",Notas!$U:$U,'Premissas DRE'!$C$10,Notas!$A:$A,J$4)-'Premissas DRE'!$C$7*SUMIFS(Notas!$AE:$AE,Notas!$C:$C,"NF-e",Notas!$E:$E,"2.01.78*",Notas!$U:$U,'Premissas DRE'!$C$10,Notas!$A:$A,J$4)</f>
        <v/>
      </c>
      <c r="K29" s="68">
        <f>SUMIFS(Notas!$W:$W,Notas!$C:$C,"NF-e",Notas!$E:$E,"2.01.78*",Notas!$U:$U,'Premissas DRE'!$C$10,Notas!$A:$A,K$4)-'Premissas DRE'!$C$8*SUMIFS(Notas!$AA:$AA,Notas!$C:$C,"NF-e",Notas!$E:$E,"2.01.78*",Notas!$U:$U,'Premissas DRE'!$C$10,Notas!$A:$A,K$4)-'Premissas DRE'!$C$6*SUMIFS(Notas!$AB:$AB,Notas!$C:$C,"NF-e",Notas!$E:$E,"2.01.78*",Notas!$U:$U,'Premissas DRE'!$C$10,Notas!$A:$A,K$4)-'Premissas DRE'!$C$7*SUMIFS(Notas!$AD:$AD,Notas!$C:$C,"NF-e",Notas!$E:$E,"2.01.78*",Notas!$U:$U,'Premissas DRE'!$C$10,Notas!$A:$A,K$4)-'Premissas DRE'!$C$7*SUMIFS(Notas!$AE:$AE,Notas!$C:$C,"NF-e",Notas!$E:$E,"2.01.78*",Notas!$U:$U,'Premissas DRE'!$C$10,Notas!$A:$A,K$4)</f>
        <v/>
      </c>
      <c r="L29" s="68">
        <f>SUM(C29:K29)</f>
        <v/>
      </c>
    </row>
    <row r="30">
      <c r="A30" s="58" t="inlineStr">
        <is>
          <t>Materiais indiretos e manutenção industrial</t>
        </is>
      </c>
      <c r="B30" s="58" t="inlineStr"/>
      <c r="C30" s="70">
        <f>C25+C26+C27+C28+C29</f>
        <v/>
      </c>
      <c r="D30" s="70">
        <f>D25+D26+D27+D28+D29</f>
        <v/>
      </c>
      <c r="E30" s="70">
        <f>E25+E26+E27+E28+E29</f>
        <v/>
      </c>
      <c r="F30" s="70">
        <f>F25+F26+F27+F28+F29</f>
        <v/>
      </c>
      <c r="G30" s="70">
        <f>G25+G26+G27+G28+G29</f>
        <v/>
      </c>
      <c r="H30" s="70">
        <f>H25+H26+H27+H28+H29</f>
        <v/>
      </c>
      <c r="I30" s="70">
        <f>I25+I26+I27+I28+I29</f>
        <v/>
      </c>
      <c r="J30" s="70">
        <f>J25+J26+J27+J28+J29</f>
        <v/>
      </c>
      <c r="K30" s="70">
        <f>K25+K26+K27+K28+K29</f>
        <v/>
      </c>
      <c r="L30" s="70">
        <f>SUM(C30:K30)</f>
        <v/>
      </c>
    </row>
    <row r="31">
      <c r="A31" s="53" t="inlineStr">
        <is>
          <t>2.01.84 Remessa de Mercadoria  [SINALIZADO]</t>
        </is>
      </c>
      <c r="B31" s="48" t="inlineStr">
        <is>
          <t>NF-e · 2.01.84</t>
        </is>
      </c>
      <c r="C31" s="68">
        <f>SUMIFS(Notas!$W:$W,Notas!$C:$C,"NF-e",Notas!$E:$E,"2.01.84*",Notas!$U:$U,'Premissas DRE'!$C$10,Notas!$A:$A,C$4)-'Premissas DRE'!$C$8*SUMIFS(Notas!$AA:$AA,Notas!$C:$C,"NF-e",Notas!$E:$E,"2.01.84*",Notas!$U:$U,'Premissas DRE'!$C$10,Notas!$A:$A,C$4)-'Premissas DRE'!$C$6*SUMIFS(Notas!$AB:$AB,Notas!$C:$C,"NF-e",Notas!$E:$E,"2.01.84*",Notas!$U:$U,'Premissas DRE'!$C$10,Notas!$A:$A,C$4)-'Premissas DRE'!$C$7*SUMIFS(Notas!$AD:$AD,Notas!$C:$C,"NF-e",Notas!$E:$E,"2.01.84*",Notas!$U:$U,'Premissas DRE'!$C$10,Notas!$A:$A,C$4)-'Premissas DRE'!$C$7*SUMIFS(Notas!$AE:$AE,Notas!$C:$C,"NF-e",Notas!$E:$E,"2.01.84*",Notas!$U:$U,'Premissas DRE'!$C$10,Notas!$A:$A,C$4)</f>
        <v/>
      </c>
      <c r="D31" s="68">
        <f>SUMIFS(Notas!$W:$W,Notas!$C:$C,"NF-e",Notas!$E:$E,"2.01.84*",Notas!$U:$U,'Premissas DRE'!$C$10,Notas!$A:$A,D$4)-'Premissas DRE'!$C$8*SUMIFS(Notas!$AA:$AA,Notas!$C:$C,"NF-e",Notas!$E:$E,"2.01.84*",Notas!$U:$U,'Premissas DRE'!$C$10,Notas!$A:$A,D$4)-'Premissas DRE'!$C$6*SUMIFS(Notas!$AB:$AB,Notas!$C:$C,"NF-e",Notas!$E:$E,"2.01.84*",Notas!$U:$U,'Premissas DRE'!$C$10,Notas!$A:$A,D$4)-'Premissas DRE'!$C$7*SUMIFS(Notas!$AD:$AD,Notas!$C:$C,"NF-e",Notas!$E:$E,"2.01.84*",Notas!$U:$U,'Premissas DRE'!$C$10,Notas!$A:$A,D$4)-'Premissas DRE'!$C$7*SUMIFS(Notas!$AE:$AE,Notas!$C:$C,"NF-e",Notas!$E:$E,"2.01.84*",Notas!$U:$U,'Premissas DRE'!$C$10,Notas!$A:$A,D$4)</f>
        <v/>
      </c>
      <c r="E31" s="68">
        <f>SUMIFS(Notas!$W:$W,Notas!$C:$C,"NF-e",Notas!$E:$E,"2.01.84*",Notas!$U:$U,'Premissas DRE'!$C$10,Notas!$A:$A,E$4)-'Premissas DRE'!$C$8*SUMIFS(Notas!$AA:$AA,Notas!$C:$C,"NF-e",Notas!$E:$E,"2.01.84*",Notas!$U:$U,'Premissas DRE'!$C$10,Notas!$A:$A,E$4)-'Premissas DRE'!$C$6*SUMIFS(Notas!$AB:$AB,Notas!$C:$C,"NF-e",Notas!$E:$E,"2.01.84*",Notas!$U:$U,'Premissas DRE'!$C$10,Notas!$A:$A,E$4)-'Premissas DRE'!$C$7*SUMIFS(Notas!$AD:$AD,Notas!$C:$C,"NF-e",Notas!$E:$E,"2.01.84*",Notas!$U:$U,'Premissas DRE'!$C$10,Notas!$A:$A,E$4)-'Premissas DRE'!$C$7*SUMIFS(Notas!$AE:$AE,Notas!$C:$C,"NF-e",Notas!$E:$E,"2.01.84*",Notas!$U:$U,'Premissas DRE'!$C$10,Notas!$A:$A,E$4)</f>
        <v/>
      </c>
      <c r="F31" s="68">
        <f>SUMIFS(Notas!$W:$W,Notas!$C:$C,"NF-e",Notas!$E:$E,"2.01.84*",Notas!$U:$U,'Premissas DRE'!$C$10,Notas!$A:$A,F$4)-'Premissas DRE'!$C$8*SUMIFS(Notas!$AA:$AA,Notas!$C:$C,"NF-e",Notas!$E:$E,"2.01.84*",Notas!$U:$U,'Premissas DRE'!$C$10,Notas!$A:$A,F$4)-'Premissas DRE'!$C$6*SUMIFS(Notas!$AB:$AB,Notas!$C:$C,"NF-e",Notas!$E:$E,"2.01.84*",Notas!$U:$U,'Premissas DRE'!$C$10,Notas!$A:$A,F$4)-'Premissas DRE'!$C$7*SUMIFS(Notas!$AD:$AD,Notas!$C:$C,"NF-e",Notas!$E:$E,"2.01.84*",Notas!$U:$U,'Premissas DRE'!$C$10,Notas!$A:$A,F$4)-'Premissas DRE'!$C$7*SUMIFS(Notas!$AE:$AE,Notas!$C:$C,"NF-e",Notas!$E:$E,"2.01.84*",Notas!$U:$U,'Premissas DRE'!$C$10,Notas!$A:$A,F$4)</f>
        <v/>
      </c>
      <c r="G31" s="68">
        <f>SUMIFS(Notas!$W:$W,Notas!$C:$C,"NF-e",Notas!$E:$E,"2.01.84*",Notas!$U:$U,'Premissas DRE'!$C$10,Notas!$A:$A,G$4)-'Premissas DRE'!$C$8*SUMIFS(Notas!$AA:$AA,Notas!$C:$C,"NF-e",Notas!$E:$E,"2.01.84*",Notas!$U:$U,'Premissas DRE'!$C$10,Notas!$A:$A,G$4)-'Premissas DRE'!$C$6*SUMIFS(Notas!$AB:$AB,Notas!$C:$C,"NF-e",Notas!$E:$E,"2.01.84*",Notas!$U:$U,'Premissas DRE'!$C$10,Notas!$A:$A,G$4)-'Premissas DRE'!$C$7*SUMIFS(Notas!$AD:$AD,Notas!$C:$C,"NF-e",Notas!$E:$E,"2.01.84*",Notas!$U:$U,'Premissas DRE'!$C$10,Notas!$A:$A,G$4)-'Premissas DRE'!$C$7*SUMIFS(Notas!$AE:$AE,Notas!$C:$C,"NF-e",Notas!$E:$E,"2.01.84*",Notas!$U:$U,'Premissas DRE'!$C$10,Notas!$A:$A,G$4)</f>
        <v/>
      </c>
      <c r="H31" s="68">
        <f>SUMIFS(Notas!$W:$W,Notas!$C:$C,"NF-e",Notas!$E:$E,"2.01.84*",Notas!$U:$U,'Premissas DRE'!$C$10,Notas!$A:$A,H$4)-'Premissas DRE'!$C$8*SUMIFS(Notas!$AA:$AA,Notas!$C:$C,"NF-e",Notas!$E:$E,"2.01.84*",Notas!$U:$U,'Premissas DRE'!$C$10,Notas!$A:$A,H$4)-'Premissas DRE'!$C$6*SUMIFS(Notas!$AB:$AB,Notas!$C:$C,"NF-e",Notas!$E:$E,"2.01.84*",Notas!$U:$U,'Premissas DRE'!$C$10,Notas!$A:$A,H$4)-'Premissas DRE'!$C$7*SUMIFS(Notas!$AD:$AD,Notas!$C:$C,"NF-e",Notas!$E:$E,"2.01.84*",Notas!$U:$U,'Premissas DRE'!$C$10,Notas!$A:$A,H$4)-'Premissas DRE'!$C$7*SUMIFS(Notas!$AE:$AE,Notas!$C:$C,"NF-e",Notas!$E:$E,"2.01.84*",Notas!$U:$U,'Premissas DRE'!$C$10,Notas!$A:$A,H$4)</f>
        <v/>
      </c>
      <c r="I31" s="68">
        <f>SUMIFS(Notas!$W:$W,Notas!$C:$C,"NF-e",Notas!$E:$E,"2.01.84*",Notas!$U:$U,'Premissas DRE'!$C$10,Notas!$A:$A,I$4)-'Premissas DRE'!$C$8*SUMIFS(Notas!$AA:$AA,Notas!$C:$C,"NF-e",Notas!$E:$E,"2.01.84*",Notas!$U:$U,'Premissas DRE'!$C$10,Notas!$A:$A,I$4)-'Premissas DRE'!$C$6*SUMIFS(Notas!$AB:$AB,Notas!$C:$C,"NF-e",Notas!$E:$E,"2.01.84*",Notas!$U:$U,'Premissas DRE'!$C$10,Notas!$A:$A,I$4)-'Premissas DRE'!$C$7*SUMIFS(Notas!$AD:$AD,Notas!$C:$C,"NF-e",Notas!$E:$E,"2.01.84*",Notas!$U:$U,'Premissas DRE'!$C$10,Notas!$A:$A,I$4)-'Premissas DRE'!$C$7*SUMIFS(Notas!$AE:$AE,Notas!$C:$C,"NF-e",Notas!$E:$E,"2.01.84*",Notas!$U:$U,'Premissas DRE'!$C$10,Notas!$A:$A,I$4)</f>
        <v/>
      </c>
      <c r="J31" s="68">
        <f>SUMIFS(Notas!$W:$W,Notas!$C:$C,"NF-e",Notas!$E:$E,"2.01.84*",Notas!$U:$U,'Premissas DRE'!$C$10,Notas!$A:$A,J$4)-'Premissas DRE'!$C$8*SUMIFS(Notas!$AA:$AA,Notas!$C:$C,"NF-e",Notas!$E:$E,"2.01.84*",Notas!$U:$U,'Premissas DRE'!$C$10,Notas!$A:$A,J$4)-'Premissas DRE'!$C$6*SUMIFS(Notas!$AB:$AB,Notas!$C:$C,"NF-e",Notas!$E:$E,"2.01.84*",Notas!$U:$U,'Premissas DRE'!$C$10,Notas!$A:$A,J$4)-'Premissas DRE'!$C$7*SUMIFS(Notas!$AD:$AD,Notas!$C:$C,"NF-e",Notas!$E:$E,"2.01.84*",Notas!$U:$U,'Premissas DRE'!$C$10,Notas!$A:$A,J$4)-'Premissas DRE'!$C$7*SUMIFS(Notas!$AE:$AE,Notas!$C:$C,"NF-e",Notas!$E:$E,"2.01.84*",Notas!$U:$U,'Premissas DRE'!$C$10,Notas!$A:$A,J$4)</f>
        <v/>
      </c>
      <c r="K31" s="68">
        <f>SUMIFS(Notas!$W:$W,Notas!$C:$C,"NF-e",Notas!$E:$E,"2.01.84*",Notas!$U:$U,'Premissas DRE'!$C$10,Notas!$A:$A,K$4)-'Premissas DRE'!$C$8*SUMIFS(Notas!$AA:$AA,Notas!$C:$C,"NF-e",Notas!$E:$E,"2.01.84*",Notas!$U:$U,'Premissas DRE'!$C$10,Notas!$A:$A,K$4)-'Premissas DRE'!$C$6*SUMIFS(Notas!$AB:$AB,Notas!$C:$C,"NF-e",Notas!$E:$E,"2.01.84*",Notas!$U:$U,'Premissas DRE'!$C$10,Notas!$A:$A,K$4)-'Premissas DRE'!$C$7*SUMIFS(Notas!$AD:$AD,Notas!$C:$C,"NF-e",Notas!$E:$E,"2.01.84*",Notas!$U:$U,'Premissas DRE'!$C$10,Notas!$A:$A,K$4)-'Premissas DRE'!$C$7*SUMIFS(Notas!$AE:$AE,Notas!$C:$C,"NF-e",Notas!$E:$E,"2.01.84*",Notas!$U:$U,'Premissas DRE'!$C$10,Notas!$A:$A,K$4)</f>
        <v/>
      </c>
      <c r="L31" s="68">
        <f>SUM(C31:K31)</f>
        <v/>
      </c>
    </row>
    <row r="32">
      <c r="A32" s="53" t="inlineStr">
        <is>
          <t>2.01.02 Frete sobre Vendas lançado em NF-e  [SINALIZADO: notebooks]</t>
        </is>
      </c>
      <c r="B32" s="48" t="inlineStr">
        <is>
          <t>NF-e · 2.01.02 (mantido pelo grupo Omie)</t>
        </is>
      </c>
      <c r="C32" s="68">
        <f>SUMIFS(Notas!$W:$W,Notas!$C:$C,"NF-e",Notas!$E:$E,"2.01.02*",Notas!$U:$U,'Premissas DRE'!$C$10,Notas!$A:$A,C$4)-'Premissas DRE'!$C$8*SUMIFS(Notas!$AA:$AA,Notas!$C:$C,"NF-e",Notas!$E:$E,"2.01.02*",Notas!$U:$U,'Premissas DRE'!$C$10,Notas!$A:$A,C$4)-'Premissas DRE'!$C$6*SUMIFS(Notas!$AB:$AB,Notas!$C:$C,"NF-e",Notas!$E:$E,"2.01.02*",Notas!$U:$U,'Premissas DRE'!$C$10,Notas!$A:$A,C$4)-'Premissas DRE'!$C$7*SUMIFS(Notas!$AD:$AD,Notas!$C:$C,"NF-e",Notas!$E:$E,"2.01.02*",Notas!$U:$U,'Premissas DRE'!$C$10,Notas!$A:$A,C$4)-'Premissas DRE'!$C$7*SUMIFS(Notas!$AE:$AE,Notas!$C:$C,"NF-e",Notas!$E:$E,"2.01.02*",Notas!$U:$U,'Premissas DRE'!$C$10,Notas!$A:$A,C$4)</f>
        <v/>
      </c>
      <c r="D32" s="68">
        <f>SUMIFS(Notas!$W:$W,Notas!$C:$C,"NF-e",Notas!$E:$E,"2.01.02*",Notas!$U:$U,'Premissas DRE'!$C$10,Notas!$A:$A,D$4)-'Premissas DRE'!$C$8*SUMIFS(Notas!$AA:$AA,Notas!$C:$C,"NF-e",Notas!$E:$E,"2.01.02*",Notas!$U:$U,'Premissas DRE'!$C$10,Notas!$A:$A,D$4)-'Premissas DRE'!$C$6*SUMIFS(Notas!$AB:$AB,Notas!$C:$C,"NF-e",Notas!$E:$E,"2.01.02*",Notas!$U:$U,'Premissas DRE'!$C$10,Notas!$A:$A,D$4)-'Premissas DRE'!$C$7*SUMIFS(Notas!$AD:$AD,Notas!$C:$C,"NF-e",Notas!$E:$E,"2.01.02*",Notas!$U:$U,'Premissas DRE'!$C$10,Notas!$A:$A,D$4)-'Premissas DRE'!$C$7*SUMIFS(Notas!$AE:$AE,Notas!$C:$C,"NF-e",Notas!$E:$E,"2.01.02*",Notas!$U:$U,'Premissas DRE'!$C$10,Notas!$A:$A,D$4)</f>
        <v/>
      </c>
      <c r="E32" s="68">
        <f>SUMIFS(Notas!$W:$W,Notas!$C:$C,"NF-e",Notas!$E:$E,"2.01.02*",Notas!$U:$U,'Premissas DRE'!$C$10,Notas!$A:$A,E$4)-'Premissas DRE'!$C$8*SUMIFS(Notas!$AA:$AA,Notas!$C:$C,"NF-e",Notas!$E:$E,"2.01.02*",Notas!$U:$U,'Premissas DRE'!$C$10,Notas!$A:$A,E$4)-'Premissas DRE'!$C$6*SUMIFS(Notas!$AB:$AB,Notas!$C:$C,"NF-e",Notas!$E:$E,"2.01.02*",Notas!$U:$U,'Premissas DRE'!$C$10,Notas!$A:$A,E$4)-'Premissas DRE'!$C$7*SUMIFS(Notas!$AD:$AD,Notas!$C:$C,"NF-e",Notas!$E:$E,"2.01.02*",Notas!$U:$U,'Premissas DRE'!$C$10,Notas!$A:$A,E$4)-'Premissas DRE'!$C$7*SUMIFS(Notas!$AE:$AE,Notas!$C:$C,"NF-e",Notas!$E:$E,"2.01.02*",Notas!$U:$U,'Premissas DRE'!$C$10,Notas!$A:$A,E$4)</f>
        <v/>
      </c>
      <c r="F32" s="68">
        <f>SUMIFS(Notas!$W:$W,Notas!$C:$C,"NF-e",Notas!$E:$E,"2.01.02*",Notas!$U:$U,'Premissas DRE'!$C$10,Notas!$A:$A,F$4)-'Premissas DRE'!$C$8*SUMIFS(Notas!$AA:$AA,Notas!$C:$C,"NF-e",Notas!$E:$E,"2.01.02*",Notas!$U:$U,'Premissas DRE'!$C$10,Notas!$A:$A,F$4)-'Premissas DRE'!$C$6*SUMIFS(Notas!$AB:$AB,Notas!$C:$C,"NF-e",Notas!$E:$E,"2.01.02*",Notas!$U:$U,'Premissas DRE'!$C$10,Notas!$A:$A,F$4)-'Premissas DRE'!$C$7*SUMIFS(Notas!$AD:$AD,Notas!$C:$C,"NF-e",Notas!$E:$E,"2.01.02*",Notas!$U:$U,'Premissas DRE'!$C$10,Notas!$A:$A,F$4)-'Premissas DRE'!$C$7*SUMIFS(Notas!$AE:$AE,Notas!$C:$C,"NF-e",Notas!$E:$E,"2.01.02*",Notas!$U:$U,'Premissas DRE'!$C$10,Notas!$A:$A,F$4)</f>
        <v/>
      </c>
      <c r="G32" s="68">
        <f>SUMIFS(Notas!$W:$W,Notas!$C:$C,"NF-e",Notas!$E:$E,"2.01.02*",Notas!$U:$U,'Premissas DRE'!$C$10,Notas!$A:$A,G$4)-'Premissas DRE'!$C$8*SUMIFS(Notas!$AA:$AA,Notas!$C:$C,"NF-e",Notas!$E:$E,"2.01.02*",Notas!$U:$U,'Premissas DRE'!$C$10,Notas!$A:$A,G$4)-'Premissas DRE'!$C$6*SUMIFS(Notas!$AB:$AB,Notas!$C:$C,"NF-e",Notas!$E:$E,"2.01.02*",Notas!$U:$U,'Premissas DRE'!$C$10,Notas!$A:$A,G$4)-'Premissas DRE'!$C$7*SUMIFS(Notas!$AD:$AD,Notas!$C:$C,"NF-e",Notas!$E:$E,"2.01.02*",Notas!$U:$U,'Premissas DRE'!$C$10,Notas!$A:$A,G$4)-'Premissas DRE'!$C$7*SUMIFS(Notas!$AE:$AE,Notas!$C:$C,"NF-e",Notas!$E:$E,"2.01.02*",Notas!$U:$U,'Premissas DRE'!$C$10,Notas!$A:$A,G$4)</f>
        <v/>
      </c>
      <c r="H32" s="68">
        <f>SUMIFS(Notas!$W:$W,Notas!$C:$C,"NF-e",Notas!$E:$E,"2.01.02*",Notas!$U:$U,'Premissas DRE'!$C$10,Notas!$A:$A,H$4)-'Premissas DRE'!$C$8*SUMIFS(Notas!$AA:$AA,Notas!$C:$C,"NF-e",Notas!$E:$E,"2.01.02*",Notas!$U:$U,'Premissas DRE'!$C$10,Notas!$A:$A,H$4)-'Premissas DRE'!$C$6*SUMIFS(Notas!$AB:$AB,Notas!$C:$C,"NF-e",Notas!$E:$E,"2.01.02*",Notas!$U:$U,'Premissas DRE'!$C$10,Notas!$A:$A,H$4)-'Premissas DRE'!$C$7*SUMIFS(Notas!$AD:$AD,Notas!$C:$C,"NF-e",Notas!$E:$E,"2.01.02*",Notas!$U:$U,'Premissas DRE'!$C$10,Notas!$A:$A,H$4)-'Premissas DRE'!$C$7*SUMIFS(Notas!$AE:$AE,Notas!$C:$C,"NF-e",Notas!$E:$E,"2.01.02*",Notas!$U:$U,'Premissas DRE'!$C$10,Notas!$A:$A,H$4)</f>
        <v/>
      </c>
      <c r="I32" s="68">
        <f>SUMIFS(Notas!$W:$W,Notas!$C:$C,"NF-e",Notas!$E:$E,"2.01.02*",Notas!$U:$U,'Premissas DRE'!$C$10,Notas!$A:$A,I$4)-'Premissas DRE'!$C$8*SUMIFS(Notas!$AA:$AA,Notas!$C:$C,"NF-e",Notas!$E:$E,"2.01.02*",Notas!$U:$U,'Premissas DRE'!$C$10,Notas!$A:$A,I$4)-'Premissas DRE'!$C$6*SUMIFS(Notas!$AB:$AB,Notas!$C:$C,"NF-e",Notas!$E:$E,"2.01.02*",Notas!$U:$U,'Premissas DRE'!$C$10,Notas!$A:$A,I$4)-'Premissas DRE'!$C$7*SUMIFS(Notas!$AD:$AD,Notas!$C:$C,"NF-e",Notas!$E:$E,"2.01.02*",Notas!$U:$U,'Premissas DRE'!$C$10,Notas!$A:$A,I$4)-'Premissas DRE'!$C$7*SUMIFS(Notas!$AE:$AE,Notas!$C:$C,"NF-e",Notas!$E:$E,"2.01.02*",Notas!$U:$U,'Premissas DRE'!$C$10,Notas!$A:$A,I$4)</f>
        <v/>
      </c>
      <c r="J32" s="68">
        <f>SUMIFS(Notas!$W:$W,Notas!$C:$C,"NF-e",Notas!$E:$E,"2.01.02*",Notas!$U:$U,'Premissas DRE'!$C$10,Notas!$A:$A,J$4)-'Premissas DRE'!$C$8*SUMIFS(Notas!$AA:$AA,Notas!$C:$C,"NF-e",Notas!$E:$E,"2.01.02*",Notas!$U:$U,'Premissas DRE'!$C$10,Notas!$A:$A,J$4)-'Premissas DRE'!$C$6*SUMIFS(Notas!$AB:$AB,Notas!$C:$C,"NF-e",Notas!$E:$E,"2.01.02*",Notas!$U:$U,'Premissas DRE'!$C$10,Notas!$A:$A,J$4)-'Premissas DRE'!$C$7*SUMIFS(Notas!$AD:$AD,Notas!$C:$C,"NF-e",Notas!$E:$E,"2.01.02*",Notas!$U:$U,'Premissas DRE'!$C$10,Notas!$A:$A,J$4)-'Premissas DRE'!$C$7*SUMIFS(Notas!$AE:$AE,Notas!$C:$C,"NF-e",Notas!$E:$E,"2.01.02*",Notas!$U:$U,'Premissas DRE'!$C$10,Notas!$A:$A,J$4)</f>
        <v/>
      </c>
      <c r="K32" s="68">
        <f>SUMIFS(Notas!$W:$W,Notas!$C:$C,"NF-e",Notas!$E:$E,"2.01.02*",Notas!$U:$U,'Premissas DRE'!$C$10,Notas!$A:$A,K$4)-'Premissas DRE'!$C$8*SUMIFS(Notas!$AA:$AA,Notas!$C:$C,"NF-e",Notas!$E:$E,"2.01.02*",Notas!$U:$U,'Premissas DRE'!$C$10,Notas!$A:$A,K$4)-'Premissas DRE'!$C$6*SUMIFS(Notas!$AB:$AB,Notas!$C:$C,"NF-e",Notas!$E:$E,"2.01.02*",Notas!$U:$U,'Premissas DRE'!$C$10,Notas!$A:$A,K$4)-'Premissas DRE'!$C$7*SUMIFS(Notas!$AD:$AD,Notas!$C:$C,"NF-e",Notas!$E:$E,"2.01.02*",Notas!$U:$U,'Premissas DRE'!$C$10,Notas!$A:$A,K$4)-'Premissas DRE'!$C$7*SUMIFS(Notas!$AE:$AE,Notas!$C:$C,"NF-e",Notas!$E:$E,"2.01.02*",Notas!$U:$U,'Premissas DRE'!$C$10,Notas!$A:$A,K$4)</f>
        <v/>
      </c>
      <c r="L32" s="68">
        <f>SUM(C32:K32)</f>
        <v/>
      </c>
    </row>
    <row r="33">
      <c r="A33" s="53" t="inlineStr">
        <is>
          <t>Outros 2.01 NF-e não mapeados (deve ser zero)</t>
        </is>
      </c>
      <c r="B33" s="48" t="inlineStr">
        <is>
          <t>NF-e · grupo 2.01 menos linhas acima</t>
        </is>
      </c>
      <c r="C33" s="68">
        <f>SUMIFS(Notas!$W:$W,Notas!$C:$C,"NF-e",Notas!$D:$D,"2.01 Custos",Notas!$U:$U,'Premissas DRE'!$C$10,Notas!$A:$A,C$4)-'Premissas DRE'!$C$8*SUMIFS(Notas!$AA:$AA,Notas!$C:$C,"NF-e",Notas!$D:$D,"2.01 Custos",Notas!$U:$U,'Premissas DRE'!$C$10,Notas!$A:$A,C$4)-'Premissas DRE'!$C$6*SUMIFS(Notas!$AB:$AB,Notas!$C:$C,"NF-e",Notas!$D:$D,"2.01 Custos",Notas!$U:$U,'Premissas DRE'!$C$10,Notas!$A:$A,C$4)-'Premissas DRE'!$C$7*SUMIFS(Notas!$AD:$AD,Notas!$C:$C,"NF-e",Notas!$D:$D,"2.01 Custos",Notas!$U:$U,'Premissas DRE'!$C$10,Notas!$A:$A,C$4)-'Premissas DRE'!$C$7*SUMIFS(Notas!$AE:$AE,Notas!$C:$C,"NF-e",Notas!$D:$D,"2.01 Custos",Notas!$U:$U,'Premissas DRE'!$C$10,Notas!$A:$A,C$4)-(C16+C24+C30+C31+C32)</f>
        <v/>
      </c>
      <c r="D33" s="68">
        <f>SUMIFS(Notas!$W:$W,Notas!$C:$C,"NF-e",Notas!$D:$D,"2.01 Custos",Notas!$U:$U,'Premissas DRE'!$C$10,Notas!$A:$A,D$4)-'Premissas DRE'!$C$8*SUMIFS(Notas!$AA:$AA,Notas!$C:$C,"NF-e",Notas!$D:$D,"2.01 Custos",Notas!$U:$U,'Premissas DRE'!$C$10,Notas!$A:$A,D$4)-'Premissas DRE'!$C$6*SUMIFS(Notas!$AB:$AB,Notas!$C:$C,"NF-e",Notas!$D:$D,"2.01 Custos",Notas!$U:$U,'Premissas DRE'!$C$10,Notas!$A:$A,D$4)-'Premissas DRE'!$C$7*SUMIFS(Notas!$AD:$AD,Notas!$C:$C,"NF-e",Notas!$D:$D,"2.01 Custos",Notas!$U:$U,'Premissas DRE'!$C$10,Notas!$A:$A,D$4)-'Premissas DRE'!$C$7*SUMIFS(Notas!$AE:$AE,Notas!$C:$C,"NF-e",Notas!$D:$D,"2.01 Custos",Notas!$U:$U,'Premissas DRE'!$C$10,Notas!$A:$A,D$4)-(D16+D24+D30+D31+D32)</f>
        <v/>
      </c>
      <c r="E33" s="68">
        <f>SUMIFS(Notas!$W:$W,Notas!$C:$C,"NF-e",Notas!$D:$D,"2.01 Custos",Notas!$U:$U,'Premissas DRE'!$C$10,Notas!$A:$A,E$4)-'Premissas DRE'!$C$8*SUMIFS(Notas!$AA:$AA,Notas!$C:$C,"NF-e",Notas!$D:$D,"2.01 Custos",Notas!$U:$U,'Premissas DRE'!$C$10,Notas!$A:$A,E$4)-'Premissas DRE'!$C$6*SUMIFS(Notas!$AB:$AB,Notas!$C:$C,"NF-e",Notas!$D:$D,"2.01 Custos",Notas!$U:$U,'Premissas DRE'!$C$10,Notas!$A:$A,E$4)-'Premissas DRE'!$C$7*SUMIFS(Notas!$AD:$AD,Notas!$C:$C,"NF-e",Notas!$D:$D,"2.01 Custos",Notas!$U:$U,'Premissas DRE'!$C$10,Notas!$A:$A,E$4)-'Premissas DRE'!$C$7*SUMIFS(Notas!$AE:$AE,Notas!$C:$C,"NF-e",Notas!$D:$D,"2.01 Custos",Notas!$U:$U,'Premissas DRE'!$C$10,Notas!$A:$A,E$4)-(E16+E24+E30+E31+E32)</f>
        <v/>
      </c>
      <c r="F33" s="68">
        <f>SUMIFS(Notas!$W:$W,Notas!$C:$C,"NF-e",Notas!$D:$D,"2.01 Custos",Notas!$U:$U,'Premissas DRE'!$C$10,Notas!$A:$A,F$4)-'Premissas DRE'!$C$8*SUMIFS(Notas!$AA:$AA,Notas!$C:$C,"NF-e",Notas!$D:$D,"2.01 Custos",Notas!$U:$U,'Premissas DRE'!$C$10,Notas!$A:$A,F$4)-'Premissas DRE'!$C$6*SUMIFS(Notas!$AB:$AB,Notas!$C:$C,"NF-e",Notas!$D:$D,"2.01 Custos",Notas!$U:$U,'Premissas DRE'!$C$10,Notas!$A:$A,F$4)-'Premissas DRE'!$C$7*SUMIFS(Notas!$AD:$AD,Notas!$C:$C,"NF-e",Notas!$D:$D,"2.01 Custos",Notas!$U:$U,'Premissas DRE'!$C$10,Notas!$A:$A,F$4)-'Premissas DRE'!$C$7*SUMIFS(Notas!$AE:$AE,Notas!$C:$C,"NF-e",Notas!$D:$D,"2.01 Custos",Notas!$U:$U,'Premissas DRE'!$C$10,Notas!$A:$A,F$4)-(F16+F24+F30+F31+F32)</f>
        <v/>
      </c>
      <c r="G33" s="68">
        <f>SUMIFS(Notas!$W:$W,Notas!$C:$C,"NF-e",Notas!$D:$D,"2.01 Custos",Notas!$U:$U,'Premissas DRE'!$C$10,Notas!$A:$A,G$4)-'Premissas DRE'!$C$8*SUMIFS(Notas!$AA:$AA,Notas!$C:$C,"NF-e",Notas!$D:$D,"2.01 Custos",Notas!$U:$U,'Premissas DRE'!$C$10,Notas!$A:$A,G$4)-'Premissas DRE'!$C$6*SUMIFS(Notas!$AB:$AB,Notas!$C:$C,"NF-e",Notas!$D:$D,"2.01 Custos",Notas!$U:$U,'Premissas DRE'!$C$10,Notas!$A:$A,G$4)-'Premissas DRE'!$C$7*SUMIFS(Notas!$AD:$AD,Notas!$C:$C,"NF-e",Notas!$D:$D,"2.01 Custos",Notas!$U:$U,'Premissas DRE'!$C$10,Notas!$A:$A,G$4)-'Premissas DRE'!$C$7*SUMIFS(Notas!$AE:$AE,Notas!$C:$C,"NF-e",Notas!$D:$D,"2.01 Custos",Notas!$U:$U,'Premissas DRE'!$C$10,Notas!$A:$A,G$4)-(G16+G24+G30+G31+G32)</f>
        <v/>
      </c>
      <c r="H33" s="68">
        <f>SUMIFS(Notas!$W:$W,Notas!$C:$C,"NF-e",Notas!$D:$D,"2.01 Custos",Notas!$U:$U,'Premissas DRE'!$C$10,Notas!$A:$A,H$4)-'Premissas DRE'!$C$8*SUMIFS(Notas!$AA:$AA,Notas!$C:$C,"NF-e",Notas!$D:$D,"2.01 Custos",Notas!$U:$U,'Premissas DRE'!$C$10,Notas!$A:$A,H$4)-'Premissas DRE'!$C$6*SUMIFS(Notas!$AB:$AB,Notas!$C:$C,"NF-e",Notas!$D:$D,"2.01 Custos",Notas!$U:$U,'Premissas DRE'!$C$10,Notas!$A:$A,H$4)-'Premissas DRE'!$C$7*SUMIFS(Notas!$AD:$AD,Notas!$C:$C,"NF-e",Notas!$D:$D,"2.01 Custos",Notas!$U:$U,'Premissas DRE'!$C$10,Notas!$A:$A,H$4)-'Premissas DRE'!$C$7*SUMIFS(Notas!$AE:$AE,Notas!$C:$C,"NF-e",Notas!$D:$D,"2.01 Custos",Notas!$U:$U,'Premissas DRE'!$C$10,Notas!$A:$A,H$4)-(H16+H24+H30+H31+H32)</f>
        <v/>
      </c>
      <c r="I33" s="68">
        <f>SUMIFS(Notas!$W:$W,Notas!$C:$C,"NF-e",Notas!$D:$D,"2.01 Custos",Notas!$U:$U,'Premissas DRE'!$C$10,Notas!$A:$A,I$4)-'Premissas DRE'!$C$8*SUMIFS(Notas!$AA:$AA,Notas!$C:$C,"NF-e",Notas!$D:$D,"2.01 Custos",Notas!$U:$U,'Premissas DRE'!$C$10,Notas!$A:$A,I$4)-'Premissas DRE'!$C$6*SUMIFS(Notas!$AB:$AB,Notas!$C:$C,"NF-e",Notas!$D:$D,"2.01 Custos",Notas!$U:$U,'Premissas DRE'!$C$10,Notas!$A:$A,I$4)-'Premissas DRE'!$C$7*SUMIFS(Notas!$AD:$AD,Notas!$C:$C,"NF-e",Notas!$D:$D,"2.01 Custos",Notas!$U:$U,'Premissas DRE'!$C$10,Notas!$A:$A,I$4)-'Premissas DRE'!$C$7*SUMIFS(Notas!$AE:$AE,Notas!$C:$C,"NF-e",Notas!$D:$D,"2.01 Custos",Notas!$U:$U,'Premissas DRE'!$C$10,Notas!$A:$A,I$4)-(I16+I24+I30+I31+I32)</f>
        <v/>
      </c>
      <c r="J33" s="68">
        <f>SUMIFS(Notas!$W:$W,Notas!$C:$C,"NF-e",Notas!$D:$D,"2.01 Custos",Notas!$U:$U,'Premissas DRE'!$C$10,Notas!$A:$A,J$4)-'Premissas DRE'!$C$8*SUMIFS(Notas!$AA:$AA,Notas!$C:$C,"NF-e",Notas!$D:$D,"2.01 Custos",Notas!$U:$U,'Premissas DRE'!$C$10,Notas!$A:$A,J$4)-'Premissas DRE'!$C$6*SUMIFS(Notas!$AB:$AB,Notas!$C:$C,"NF-e",Notas!$D:$D,"2.01 Custos",Notas!$U:$U,'Premissas DRE'!$C$10,Notas!$A:$A,J$4)-'Premissas DRE'!$C$7*SUMIFS(Notas!$AD:$AD,Notas!$C:$C,"NF-e",Notas!$D:$D,"2.01 Custos",Notas!$U:$U,'Premissas DRE'!$C$10,Notas!$A:$A,J$4)-'Premissas DRE'!$C$7*SUMIFS(Notas!$AE:$AE,Notas!$C:$C,"NF-e",Notas!$D:$D,"2.01 Custos",Notas!$U:$U,'Premissas DRE'!$C$10,Notas!$A:$A,J$4)-(J16+J24+J30+J31+J32)</f>
        <v/>
      </c>
      <c r="K33" s="68">
        <f>SUMIFS(Notas!$W:$W,Notas!$C:$C,"NF-e",Notas!$D:$D,"2.01 Custos",Notas!$U:$U,'Premissas DRE'!$C$10,Notas!$A:$A,K$4)-'Premissas DRE'!$C$8*SUMIFS(Notas!$AA:$AA,Notas!$C:$C,"NF-e",Notas!$D:$D,"2.01 Custos",Notas!$U:$U,'Premissas DRE'!$C$10,Notas!$A:$A,K$4)-'Premissas DRE'!$C$6*SUMIFS(Notas!$AB:$AB,Notas!$C:$C,"NF-e",Notas!$D:$D,"2.01 Custos",Notas!$U:$U,'Premissas DRE'!$C$10,Notas!$A:$A,K$4)-'Premissas DRE'!$C$7*SUMIFS(Notas!$AD:$AD,Notas!$C:$C,"NF-e",Notas!$D:$D,"2.01 Custos",Notas!$U:$U,'Premissas DRE'!$C$10,Notas!$A:$A,K$4)-'Premissas DRE'!$C$7*SUMIFS(Notas!$AE:$AE,Notas!$C:$C,"NF-e",Notas!$D:$D,"2.01 Custos",Notas!$U:$U,'Premissas DRE'!$C$10,Notas!$A:$A,K$4)-(K16+K24+K30+K31+K32)</f>
        <v/>
      </c>
      <c r="L33" s="68">
        <f>SUM(C33:K33)</f>
        <v/>
      </c>
    </row>
    <row r="34">
      <c r="A34" s="53" t="inlineStr">
        <is>
          <t>Frete sobre compras (compõe o custo do estoque)</t>
        </is>
      </c>
      <c r="B34" s="48" t="inlineStr">
        <is>
          <t>Frete · grupo "Frete de compra"</t>
        </is>
      </c>
      <c r="C34" s="68">
        <f>SUMIFS(Notas!$W:$W,Notas!$C:$C,"Frete",Notas!$D:$D,"Frete de compra",Notas!$U:$U,'Premissas DRE'!$C$10,Notas!$A:$A,C$4)-'Premissas DRE'!$C$8*SUMIFS(Notas!$AA:$AA,Notas!$C:$C,"Frete",Notas!$D:$D,"Frete de compra",Notas!$U:$U,'Premissas DRE'!$C$10,Notas!$A:$A,C$4)-'Premissas DRE'!$C$6*SUMIFS(Notas!$AB:$AB,Notas!$C:$C,"Frete",Notas!$D:$D,"Frete de compra",Notas!$U:$U,'Premissas DRE'!$C$10,Notas!$A:$A,C$4)-'Premissas DRE'!$C$7*SUMIFS(Notas!$AD:$AD,Notas!$C:$C,"Frete",Notas!$D:$D,"Frete de compra",Notas!$U:$U,'Premissas DRE'!$C$10,Notas!$A:$A,C$4)-'Premissas DRE'!$C$7*SUMIFS(Notas!$AE:$AE,Notas!$C:$C,"Frete",Notas!$D:$D,"Frete de compra",Notas!$U:$U,'Premissas DRE'!$C$10,Notas!$A:$A,C$4)</f>
        <v/>
      </c>
      <c r="D34" s="68">
        <f>SUMIFS(Notas!$W:$W,Notas!$C:$C,"Frete",Notas!$D:$D,"Frete de compra",Notas!$U:$U,'Premissas DRE'!$C$10,Notas!$A:$A,D$4)-'Premissas DRE'!$C$8*SUMIFS(Notas!$AA:$AA,Notas!$C:$C,"Frete",Notas!$D:$D,"Frete de compra",Notas!$U:$U,'Premissas DRE'!$C$10,Notas!$A:$A,D$4)-'Premissas DRE'!$C$6*SUMIFS(Notas!$AB:$AB,Notas!$C:$C,"Frete",Notas!$D:$D,"Frete de compra",Notas!$U:$U,'Premissas DRE'!$C$10,Notas!$A:$A,D$4)-'Premissas DRE'!$C$7*SUMIFS(Notas!$AD:$AD,Notas!$C:$C,"Frete",Notas!$D:$D,"Frete de compra",Notas!$U:$U,'Premissas DRE'!$C$10,Notas!$A:$A,D$4)-'Premissas DRE'!$C$7*SUMIFS(Notas!$AE:$AE,Notas!$C:$C,"Frete",Notas!$D:$D,"Frete de compra",Notas!$U:$U,'Premissas DRE'!$C$10,Notas!$A:$A,D$4)</f>
        <v/>
      </c>
      <c r="E34" s="68">
        <f>SUMIFS(Notas!$W:$W,Notas!$C:$C,"Frete",Notas!$D:$D,"Frete de compra",Notas!$U:$U,'Premissas DRE'!$C$10,Notas!$A:$A,E$4)-'Premissas DRE'!$C$8*SUMIFS(Notas!$AA:$AA,Notas!$C:$C,"Frete",Notas!$D:$D,"Frete de compra",Notas!$U:$U,'Premissas DRE'!$C$10,Notas!$A:$A,E$4)-'Premissas DRE'!$C$6*SUMIFS(Notas!$AB:$AB,Notas!$C:$C,"Frete",Notas!$D:$D,"Frete de compra",Notas!$U:$U,'Premissas DRE'!$C$10,Notas!$A:$A,E$4)-'Premissas DRE'!$C$7*SUMIFS(Notas!$AD:$AD,Notas!$C:$C,"Frete",Notas!$D:$D,"Frete de compra",Notas!$U:$U,'Premissas DRE'!$C$10,Notas!$A:$A,E$4)-'Premissas DRE'!$C$7*SUMIFS(Notas!$AE:$AE,Notas!$C:$C,"Frete",Notas!$D:$D,"Frete de compra",Notas!$U:$U,'Premissas DRE'!$C$10,Notas!$A:$A,E$4)</f>
        <v/>
      </c>
      <c r="F34" s="68">
        <f>SUMIFS(Notas!$W:$W,Notas!$C:$C,"Frete",Notas!$D:$D,"Frete de compra",Notas!$U:$U,'Premissas DRE'!$C$10,Notas!$A:$A,F$4)-'Premissas DRE'!$C$8*SUMIFS(Notas!$AA:$AA,Notas!$C:$C,"Frete",Notas!$D:$D,"Frete de compra",Notas!$U:$U,'Premissas DRE'!$C$10,Notas!$A:$A,F$4)-'Premissas DRE'!$C$6*SUMIFS(Notas!$AB:$AB,Notas!$C:$C,"Frete",Notas!$D:$D,"Frete de compra",Notas!$U:$U,'Premissas DRE'!$C$10,Notas!$A:$A,F$4)-'Premissas DRE'!$C$7*SUMIFS(Notas!$AD:$AD,Notas!$C:$C,"Frete",Notas!$D:$D,"Frete de compra",Notas!$U:$U,'Premissas DRE'!$C$10,Notas!$A:$A,F$4)-'Premissas DRE'!$C$7*SUMIFS(Notas!$AE:$AE,Notas!$C:$C,"Frete",Notas!$D:$D,"Frete de compra",Notas!$U:$U,'Premissas DRE'!$C$10,Notas!$A:$A,F$4)</f>
        <v/>
      </c>
      <c r="G34" s="68">
        <f>SUMIFS(Notas!$W:$W,Notas!$C:$C,"Frete",Notas!$D:$D,"Frete de compra",Notas!$U:$U,'Premissas DRE'!$C$10,Notas!$A:$A,G$4)-'Premissas DRE'!$C$8*SUMIFS(Notas!$AA:$AA,Notas!$C:$C,"Frete",Notas!$D:$D,"Frete de compra",Notas!$U:$U,'Premissas DRE'!$C$10,Notas!$A:$A,G$4)-'Premissas DRE'!$C$6*SUMIFS(Notas!$AB:$AB,Notas!$C:$C,"Frete",Notas!$D:$D,"Frete de compra",Notas!$U:$U,'Premissas DRE'!$C$10,Notas!$A:$A,G$4)-'Premissas DRE'!$C$7*SUMIFS(Notas!$AD:$AD,Notas!$C:$C,"Frete",Notas!$D:$D,"Frete de compra",Notas!$U:$U,'Premissas DRE'!$C$10,Notas!$A:$A,G$4)-'Premissas DRE'!$C$7*SUMIFS(Notas!$AE:$AE,Notas!$C:$C,"Frete",Notas!$D:$D,"Frete de compra",Notas!$U:$U,'Premissas DRE'!$C$10,Notas!$A:$A,G$4)</f>
        <v/>
      </c>
      <c r="H34" s="68">
        <f>SUMIFS(Notas!$W:$W,Notas!$C:$C,"Frete",Notas!$D:$D,"Frete de compra",Notas!$U:$U,'Premissas DRE'!$C$10,Notas!$A:$A,H$4)-'Premissas DRE'!$C$8*SUMIFS(Notas!$AA:$AA,Notas!$C:$C,"Frete",Notas!$D:$D,"Frete de compra",Notas!$U:$U,'Premissas DRE'!$C$10,Notas!$A:$A,H$4)-'Premissas DRE'!$C$6*SUMIFS(Notas!$AB:$AB,Notas!$C:$C,"Frete",Notas!$D:$D,"Frete de compra",Notas!$U:$U,'Premissas DRE'!$C$10,Notas!$A:$A,H$4)-'Premissas DRE'!$C$7*SUMIFS(Notas!$AD:$AD,Notas!$C:$C,"Frete",Notas!$D:$D,"Frete de compra",Notas!$U:$U,'Premissas DRE'!$C$10,Notas!$A:$A,H$4)-'Premissas DRE'!$C$7*SUMIFS(Notas!$AE:$AE,Notas!$C:$C,"Frete",Notas!$D:$D,"Frete de compra",Notas!$U:$U,'Premissas DRE'!$C$10,Notas!$A:$A,H$4)</f>
        <v/>
      </c>
      <c r="I34" s="68">
        <f>SUMIFS(Notas!$W:$W,Notas!$C:$C,"Frete",Notas!$D:$D,"Frete de compra",Notas!$U:$U,'Premissas DRE'!$C$10,Notas!$A:$A,I$4)-'Premissas DRE'!$C$8*SUMIFS(Notas!$AA:$AA,Notas!$C:$C,"Frete",Notas!$D:$D,"Frete de compra",Notas!$U:$U,'Premissas DRE'!$C$10,Notas!$A:$A,I$4)-'Premissas DRE'!$C$6*SUMIFS(Notas!$AB:$AB,Notas!$C:$C,"Frete",Notas!$D:$D,"Frete de compra",Notas!$U:$U,'Premissas DRE'!$C$10,Notas!$A:$A,I$4)-'Premissas DRE'!$C$7*SUMIFS(Notas!$AD:$AD,Notas!$C:$C,"Frete",Notas!$D:$D,"Frete de compra",Notas!$U:$U,'Premissas DRE'!$C$10,Notas!$A:$A,I$4)-'Premissas DRE'!$C$7*SUMIFS(Notas!$AE:$AE,Notas!$C:$C,"Frete",Notas!$D:$D,"Frete de compra",Notas!$U:$U,'Premissas DRE'!$C$10,Notas!$A:$A,I$4)</f>
        <v/>
      </c>
      <c r="J34" s="68">
        <f>SUMIFS(Notas!$W:$W,Notas!$C:$C,"Frete",Notas!$D:$D,"Frete de compra",Notas!$U:$U,'Premissas DRE'!$C$10,Notas!$A:$A,J$4)-'Premissas DRE'!$C$8*SUMIFS(Notas!$AA:$AA,Notas!$C:$C,"Frete",Notas!$D:$D,"Frete de compra",Notas!$U:$U,'Premissas DRE'!$C$10,Notas!$A:$A,J$4)-'Premissas DRE'!$C$6*SUMIFS(Notas!$AB:$AB,Notas!$C:$C,"Frete",Notas!$D:$D,"Frete de compra",Notas!$U:$U,'Premissas DRE'!$C$10,Notas!$A:$A,J$4)-'Premissas DRE'!$C$7*SUMIFS(Notas!$AD:$AD,Notas!$C:$C,"Frete",Notas!$D:$D,"Frete de compra",Notas!$U:$U,'Premissas DRE'!$C$10,Notas!$A:$A,J$4)-'Premissas DRE'!$C$7*SUMIFS(Notas!$AE:$AE,Notas!$C:$C,"Frete",Notas!$D:$D,"Frete de compra",Notas!$U:$U,'Premissas DRE'!$C$10,Notas!$A:$A,J$4)</f>
        <v/>
      </c>
      <c r="K34" s="68">
        <f>SUMIFS(Notas!$W:$W,Notas!$C:$C,"Frete",Notas!$D:$D,"Frete de compra",Notas!$U:$U,'Premissas DRE'!$C$10,Notas!$A:$A,K$4)-'Premissas DRE'!$C$8*SUMIFS(Notas!$AA:$AA,Notas!$C:$C,"Frete",Notas!$D:$D,"Frete de compra",Notas!$U:$U,'Premissas DRE'!$C$10,Notas!$A:$A,K$4)-'Premissas DRE'!$C$6*SUMIFS(Notas!$AB:$AB,Notas!$C:$C,"Frete",Notas!$D:$D,"Frete de compra",Notas!$U:$U,'Premissas DRE'!$C$10,Notas!$A:$A,K$4)-'Premissas DRE'!$C$7*SUMIFS(Notas!$AD:$AD,Notas!$C:$C,"Frete",Notas!$D:$D,"Frete de compra",Notas!$U:$U,'Premissas DRE'!$C$10,Notas!$A:$A,K$4)-'Premissas DRE'!$C$7*SUMIFS(Notas!$AE:$AE,Notas!$C:$C,"Frete",Notas!$D:$D,"Frete de compra",Notas!$U:$U,'Premissas DRE'!$C$10,Notas!$A:$A,K$4)</f>
        <v/>
      </c>
      <c r="L34" s="68">
        <f>SUM(C34:K34)</f>
        <v/>
      </c>
    </row>
    <row r="35">
      <c r="A35" s="58" t="inlineStr">
        <is>
          <t>CUSTO LÍQUIDO DAS COMPRAS DO PERÍODO</t>
        </is>
      </c>
      <c r="B35" s="58" t="inlineStr"/>
      <c r="C35" s="70">
        <f>C16+C24+C30+C31+C32+C33+C34</f>
        <v/>
      </c>
      <c r="D35" s="70">
        <f>D16+D24+D30+D31+D32+D33+D34</f>
        <v/>
      </c>
      <c r="E35" s="70">
        <f>E16+E24+E30+E31+E32+E33+E34</f>
        <v/>
      </c>
      <c r="F35" s="70">
        <f>F16+F24+F30+F31+F32+F33+F34</f>
        <v/>
      </c>
      <c r="G35" s="70">
        <f>G16+G24+G30+G31+G32+G33+G34</f>
        <v/>
      </c>
      <c r="H35" s="70">
        <f>H16+H24+H30+H31+H32+H33+H34</f>
        <v/>
      </c>
      <c r="I35" s="70">
        <f>I16+I24+I30+I31+I32+I33+I34</f>
        <v/>
      </c>
      <c r="J35" s="70">
        <f>J16+J24+J30+J31+J32+J33+J34</f>
        <v/>
      </c>
      <c r="K35" s="70">
        <f>K16+K24+K30+K31+K32+K33+K34</f>
        <v/>
      </c>
      <c r="L35" s="70">
        <f>SUM(C35:K35)</f>
        <v/>
      </c>
    </row>
    <row r="36">
      <c r="A36" s="53" t="inlineStr">
        <is>
          <t>(+/-) Variação de estoques: estoque inicial − estoque final  (a preencher)</t>
        </is>
      </c>
      <c r="B36" s="48" t="inlineStr">
        <is>
          <t>entrada manual (sem inventário nas entradas)</t>
        </is>
      </c>
      <c r="C36" s="67" t="n">
        <v>0</v>
      </c>
      <c r="D36" s="67" t="n">
        <v>0</v>
      </c>
      <c r="E36" s="67" t="n">
        <v>0</v>
      </c>
      <c r="F36" s="67" t="n">
        <v>0</v>
      </c>
      <c r="G36" s="67" t="n">
        <v>0</v>
      </c>
      <c r="H36" s="67" t="n">
        <v>0</v>
      </c>
      <c r="I36" s="67" t="n">
        <v>0</v>
      </c>
      <c r="J36" s="67" t="n">
        <v>0</v>
      </c>
      <c r="K36" s="67" t="n">
        <v>0</v>
      </c>
      <c r="L36" s="68">
        <f>SUM(C36:K36)</f>
        <v/>
      </c>
    </row>
    <row r="37">
      <c r="A37" s="56" t="inlineStr">
        <is>
          <t>CUSTO DOS PRODUTOS VENDIDOS (CMV)</t>
        </is>
      </c>
      <c r="B37" s="56" t="inlineStr"/>
      <c r="C37" s="69">
        <f>C35+C36</f>
        <v/>
      </c>
      <c r="D37" s="69">
        <f>D35+D36</f>
        <v/>
      </c>
      <c r="E37" s="69">
        <f>E35+E36</f>
        <v/>
      </c>
      <c r="F37" s="69">
        <f>F35+F36</f>
        <v/>
      </c>
      <c r="G37" s="69">
        <f>G35+G36</f>
        <v/>
      </c>
      <c r="H37" s="69">
        <f>H35+H36</f>
        <v/>
      </c>
      <c r="I37" s="69">
        <f>I35+I36</f>
        <v/>
      </c>
      <c r="J37" s="69">
        <f>J35+J36</f>
        <v/>
      </c>
      <c r="K37" s="69">
        <f>K35+K36</f>
        <v/>
      </c>
      <c r="L37" s="69">
        <f>SUM(C37:K37)</f>
        <v/>
      </c>
    </row>
    <row r="38">
      <c r="A38" s="56" t="inlineStr">
        <is>
          <t>LUCRO BRUTO</t>
        </is>
      </c>
      <c r="B38" s="56" t="inlineStr"/>
      <c r="C38" s="69">
        <f>C9-C37</f>
        <v/>
      </c>
      <c r="D38" s="69">
        <f>D9-D37</f>
        <v/>
      </c>
      <c r="E38" s="69">
        <f>E9-E37</f>
        <v/>
      </c>
      <c r="F38" s="69">
        <f>F9-F37</f>
        <v/>
      </c>
      <c r="G38" s="69">
        <f>G9-G37</f>
        <v/>
      </c>
      <c r="H38" s="69">
        <f>H9-H37</f>
        <v/>
      </c>
      <c r="I38" s="69">
        <f>I9-I37</f>
        <v/>
      </c>
      <c r="J38" s="69">
        <f>J9-J37</f>
        <v/>
      </c>
      <c r="K38" s="69">
        <f>K9-K37</f>
        <v/>
      </c>
      <c r="L38" s="69">
        <f>SUM(C38:K38)</f>
        <v/>
      </c>
    </row>
    <row r="40">
      <c r="A40" s="52" t="inlineStr">
        <is>
          <t>DESPESAS COMERCIAIS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</row>
    <row r="41">
      <c r="A41" s="53" t="inlineStr">
        <is>
          <t>Premiação comercial e brindes (NF-e)</t>
        </is>
      </c>
      <c r="B41" s="48" t="inlineStr">
        <is>
          <t>NF-e · grupo 2.02</t>
        </is>
      </c>
      <c r="C41" s="68">
        <f>SUMIFS(Notas!$W:$W,Notas!$C:$C,"NF-e",Notas!$D:$D,"2.02 Despesas Comerciais",Notas!$U:$U,'Premissas DRE'!$C$10,Notas!$A:$A,C$4)-'Premissas DRE'!$C$8*SUMIFS(Notas!$AA:$AA,Notas!$C:$C,"NF-e",Notas!$D:$D,"2.02 Despesas Comerciais",Notas!$U:$U,'Premissas DRE'!$C$10,Notas!$A:$A,C$4)-'Premissas DRE'!$C$6*SUMIFS(Notas!$AB:$AB,Notas!$C:$C,"NF-e",Notas!$D:$D,"2.02 Despesas Comerciais",Notas!$U:$U,'Premissas DRE'!$C$10,Notas!$A:$A,C$4)-'Premissas DRE'!$C$7*SUMIFS(Notas!$AD:$AD,Notas!$C:$C,"NF-e",Notas!$D:$D,"2.02 Despesas Comerciais",Notas!$U:$U,'Premissas DRE'!$C$10,Notas!$A:$A,C$4)-'Premissas DRE'!$C$7*SUMIFS(Notas!$AE:$AE,Notas!$C:$C,"NF-e",Notas!$D:$D,"2.02 Despesas Comerciais",Notas!$U:$U,'Premissas DRE'!$C$10,Notas!$A:$A,C$4)</f>
        <v/>
      </c>
      <c r="D41" s="68">
        <f>SUMIFS(Notas!$W:$W,Notas!$C:$C,"NF-e",Notas!$D:$D,"2.02 Despesas Comerciais",Notas!$U:$U,'Premissas DRE'!$C$10,Notas!$A:$A,D$4)-'Premissas DRE'!$C$8*SUMIFS(Notas!$AA:$AA,Notas!$C:$C,"NF-e",Notas!$D:$D,"2.02 Despesas Comerciais",Notas!$U:$U,'Premissas DRE'!$C$10,Notas!$A:$A,D$4)-'Premissas DRE'!$C$6*SUMIFS(Notas!$AB:$AB,Notas!$C:$C,"NF-e",Notas!$D:$D,"2.02 Despesas Comerciais",Notas!$U:$U,'Premissas DRE'!$C$10,Notas!$A:$A,D$4)-'Premissas DRE'!$C$7*SUMIFS(Notas!$AD:$AD,Notas!$C:$C,"NF-e",Notas!$D:$D,"2.02 Despesas Comerciais",Notas!$U:$U,'Premissas DRE'!$C$10,Notas!$A:$A,D$4)-'Premissas DRE'!$C$7*SUMIFS(Notas!$AE:$AE,Notas!$C:$C,"NF-e",Notas!$D:$D,"2.02 Despesas Comerciais",Notas!$U:$U,'Premissas DRE'!$C$10,Notas!$A:$A,D$4)</f>
        <v/>
      </c>
      <c r="E41" s="68">
        <f>SUMIFS(Notas!$W:$W,Notas!$C:$C,"NF-e",Notas!$D:$D,"2.02 Despesas Comerciais",Notas!$U:$U,'Premissas DRE'!$C$10,Notas!$A:$A,E$4)-'Premissas DRE'!$C$8*SUMIFS(Notas!$AA:$AA,Notas!$C:$C,"NF-e",Notas!$D:$D,"2.02 Despesas Comerciais",Notas!$U:$U,'Premissas DRE'!$C$10,Notas!$A:$A,E$4)-'Premissas DRE'!$C$6*SUMIFS(Notas!$AB:$AB,Notas!$C:$C,"NF-e",Notas!$D:$D,"2.02 Despesas Comerciais",Notas!$U:$U,'Premissas DRE'!$C$10,Notas!$A:$A,E$4)-'Premissas DRE'!$C$7*SUMIFS(Notas!$AD:$AD,Notas!$C:$C,"NF-e",Notas!$D:$D,"2.02 Despesas Comerciais",Notas!$U:$U,'Premissas DRE'!$C$10,Notas!$A:$A,E$4)-'Premissas DRE'!$C$7*SUMIFS(Notas!$AE:$AE,Notas!$C:$C,"NF-e",Notas!$D:$D,"2.02 Despesas Comerciais",Notas!$U:$U,'Premissas DRE'!$C$10,Notas!$A:$A,E$4)</f>
        <v/>
      </c>
      <c r="F41" s="68">
        <f>SUMIFS(Notas!$W:$W,Notas!$C:$C,"NF-e",Notas!$D:$D,"2.02 Despesas Comerciais",Notas!$U:$U,'Premissas DRE'!$C$10,Notas!$A:$A,F$4)-'Premissas DRE'!$C$8*SUMIFS(Notas!$AA:$AA,Notas!$C:$C,"NF-e",Notas!$D:$D,"2.02 Despesas Comerciais",Notas!$U:$U,'Premissas DRE'!$C$10,Notas!$A:$A,F$4)-'Premissas DRE'!$C$6*SUMIFS(Notas!$AB:$AB,Notas!$C:$C,"NF-e",Notas!$D:$D,"2.02 Despesas Comerciais",Notas!$U:$U,'Premissas DRE'!$C$10,Notas!$A:$A,F$4)-'Premissas DRE'!$C$7*SUMIFS(Notas!$AD:$AD,Notas!$C:$C,"NF-e",Notas!$D:$D,"2.02 Despesas Comerciais",Notas!$U:$U,'Premissas DRE'!$C$10,Notas!$A:$A,F$4)-'Premissas DRE'!$C$7*SUMIFS(Notas!$AE:$AE,Notas!$C:$C,"NF-e",Notas!$D:$D,"2.02 Despesas Comerciais",Notas!$U:$U,'Premissas DRE'!$C$10,Notas!$A:$A,F$4)</f>
        <v/>
      </c>
      <c r="G41" s="68">
        <f>SUMIFS(Notas!$W:$W,Notas!$C:$C,"NF-e",Notas!$D:$D,"2.02 Despesas Comerciais",Notas!$U:$U,'Premissas DRE'!$C$10,Notas!$A:$A,G$4)-'Premissas DRE'!$C$8*SUMIFS(Notas!$AA:$AA,Notas!$C:$C,"NF-e",Notas!$D:$D,"2.02 Despesas Comerciais",Notas!$U:$U,'Premissas DRE'!$C$10,Notas!$A:$A,G$4)-'Premissas DRE'!$C$6*SUMIFS(Notas!$AB:$AB,Notas!$C:$C,"NF-e",Notas!$D:$D,"2.02 Despesas Comerciais",Notas!$U:$U,'Premissas DRE'!$C$10,Notas!$A:$A,G$4)-'Premissas DRE'!$C$7*SUMIFS(Notas!$AD:$AD,Notas!$C:$C,"NF-e",Notas!$D:$D,"2.02 Despesas Comerciais",Notas!$U:$U,'Premissas DRE'!$C$10,Notas!$A:$A,G$4)-'Premissas DRE'!$C$7*SUMIFS(Notas!$AE:$AE,Notas!$C:$C,"NF-e",Notas!$D:$D,"2.02 Despesas Comerciais",Notas!$U:$U,'Premissas DRE'!$C$10,Notas!$A:$A,G$4)</f>
        <v/>
      </c>
      <c r="H41" s="68">
        <f>SUMIFS(Notas!$W:$W,Notas!$C:$C,"NF-e",Notas!$D:$D,"2.02 Despesas Comerciais",Notas!$U:$U,'Premissas DRE'!$C$10,Notas!$A:$A,H$4)-'Premissas DRE'!$C$8*SUMIFS(Notas!$AA:$AA,Notas!$C:$C,"NF-e",Notas!$D:$D,"2.02 Despesas Comerciais",Notas!$U:$U,'Premissas DRE'!$C$10,Notas!$A:$A,H$4)-'Premissas DRE'!$C$6*SUMIFS(Notas!$AB:$AB,Notas!$C:$C,"NF-e",Notas!$D:$D,"2.02 Despesas Comerciais",Notas!$U:$U,'Premissas DRE'!$C$10,Notas!$A:$A,H$4)-'Premissas DRE'!$C$7*SUMIFS(Notas!$AD:$AD,Notas!$C:$C,"NF-e",Notas!$D:$D,"2.02 Despesas Comerciais",Notas!$U:$U,'Premissas DRE'!$C$10,Notas!$A:$A,H$4)-'Premissas DRE'!$C$7*SUMIFS(Notas!$AE:$AE,Notas!$C:$C,"NF-e",Notas!$D:$D,"2.02 Despesas Comerciais",Notas!$U:$U,'Premissas DRE'!$C$10,Notas!$A:$A,H$4)</f>
        <v/>
      </c>
      <c r="I41" s="68">
        <f>SUMIFS(Notas!$W:$W,Notas!$C:$C,"NF-e",Notas!$D:$D,"2.02 Despesas Comerciais",Notas!$U:$U,'Premissas DRE'!$C$10,Notas!$A:$A,I$4)-'Premissas DRE'!$C$8*SUMIFS(Notas!$AA:$AA,Notas!$C:$C,"NF-e",Notas!$D:$D,"2.02 Despesas Comerciais",Notas!$U:$U,'Premissas DRE'!$C$10,Notas!$A:$A,I$4)-'Premissas DRE'!$C$6*SUMIFS(Notas!$AB:$AB,Notas!$C:$C,"NF-e",Notas!$D:$D,"2.02 Despesas Comerciais",Notas!$U:$U,'Premissas DRE'!$C$10,Notas!$A:$A,I$4)-'Premissas DRE'!$C$7*SUMIFS(Notas!$AD:$AD,Notas!$C:$C,"NF-e",Notas!$D:$D,"2.02 Despesas Comerciais",Notas!$U:$U,'Premissas DRE'!$C$10,Notas!$A:$A,I$4)-'Premissas DRE'!$C$7*SUMIFS(Notas!$AE:$AE,Notas!$C:$C,"NF-e",Notas!$D:$D,"2.02 Despesas Comerciais",Notas!$U:$U,'Premissas DRE'!$C$10,Notas!$A:$A,I$4)</f>
        <v/>
      </c>
      <c r="J41" s="68">
        <f>SUMIFS(Notas!$W:$W,Notas!$C:$C,"NF-e",Notas!$D:$D,"2.02 Despesas Comerciais",Notas!$U:$U,'Premissas DRE'!$C$10,Notas!$A:$A,J$4)-'Premissas DRE'!$C$8*SUMIFS(Notas!$AA:$AA,Notas!$C:$C,"NF-e",Notas!$D:$D,"2.02 Despesas Comerciais",Notas!$U:$U,'Premissas DRE'!$C$10,Notas!$A:$A,J$4)-'Premissas DRE'!$C$6*SUMIFS(Notas!$AB:$AB,Notas!$C:$C,"NF-e",Notas!$D:$D,"2.02 Despesas Comerciais",Notas!$U:$U,'Premissas DRE'!$C$10,Notas!$A:$A,J$4)-'Premissas DRE'!$C$7*SUMIFS(Notas!$AD:$AD,Notas!$C:$C,"NF-e",Notas!$D:$D,"2.02 Despesas Comerciais",Notas!$U:$U,'Premissas DRE'!$C$10,Notas!$A:$A,J$4)-'Premissas DRE'!$C$7*SUMIFS(Notas!$AE:$AE,Notas!$C:$C,"NF-e",Notas!$D:$D,"2.02 Despesas Comerciais",Notas!$U:$U,'Premissas DRE'!$C$10,Notas!$A:$A,J$4)</f>
        <v/>
      </c>
      <c r="K41" s="68">
        <f>SUMIFS(Notas!$W:$W,Notas!$C:$C,"NF-e",Notas!$D:$D,"2.02 Despesas Comerciais",Notas!$U:$U,'Premissas DRE'!$C$10,Notas!$A:$A,K$4)-'Premissas DRE'!$C$8*SUMIFS(Notas!$AA:$AA,Notas!$C:$C,"NF-e",Notas!$D:$D,"2.02 Despesas Comerciais",Notas!$U:$U,'Premissas DRE'!$C$10,Notas!$A:$A,K$4)-'Premissas DRE'!$C$6*SUMIFS(Notas!$AB:$AB,Notas!$C:$C,"NF-e",Notas!$D:$D,"2.02 Despesas Comerciais",Notas!$U:$U,'Premissas DRE'!$C$10,Notas!$A:$A,K$4)-'Premissas DRE'!$C$7*SUMIFS(Notas!$AD:$AD,Notas!$C:$C,"NF-e",Notas!$D:$D,"2.02 Despesas Comerciais",Notas!$U:$U,'Premissas DRE'!$C$10,Notas!$A:$A,K$4)-'Premissas DRE'!$C$7*SUMIFS(Notas!$AE:$AE,Notas!$C:$C,"NF-e",Notas!$D:$D,"2.02 Despesas Comerciais",Notas!$U:$U,'Premissas DRE'!$C$10,Notas!$A:$A,K$4)</f>
        <v/>
      </c>
      <c r="L41" s="68">
        <f>SUM(C41:K41)</f>
        <v/>
      </c>
    </row>
    <row r="42">
      <c r="A42" s="53" t="inlineStr">
        <is>
          <t>Frete sobre vendas (frete de venda — transportadoras da lista)</t>
        </is>
      </c>
      <c r="B42" s="48" t="inlineStr">
        <is>
          <t>Frete · "Frete de venda" exceto 2.01.82/.84/2.02.93</t>
        </is>
      </c>
      <c r="C42" s="68">
        <f>SUMIFS(Notas!$W:$W,Notas!$C:$C,"Frete",Notas!$D:$D,"Frete de venda (para clientes)",Notas!$E:$E,"&lt;&gt;2.01.82*",Notas!$E:$E,"&lt;&gt;2.01.84*",Notas!$E:$E,"&lt;&gt;2.02.93*",Notas!$U:$U,'Premissas DRE'!$C$10,Notas!$A:$A,C$4)-'Premissas DRE'!$C$8*SUMIFS(Notas!$AA:$AA,Notas!$C:$C,"Frete",Notas!$D:$D,"Frete de venda (para clientes)",Notas!$E:$E,"&lt;&gt;2.01.82*",Notas!$E:$E,"&lt;&gt;2.01.84*",Notas!$E:$E,"&lt;&gt;2.02.93*",Notas!$U:$U,'Premissas DRE'!$C$10,Notas!$A:$A,C$4)-'Premissas DRE'!$C$6*SUMIFS(Notas!$AB:$AB,Notas!$C:$C,"Frete",Notas!$D:$D,"Frete de venda (para clientes)",Notas!$E:$E,"&lt;&gt;2.01.82*",Notas!$E:$E,"&lt;&gt;2.01.84*",Notas!$E:$E,"&lt;&gt;2.02.93*",Notas!$U:$U,'Premissas DRE'!$C$10,Notas!$A:$A,C$4)-'Premissas DRE'!$C$7*SUMIFS(Notas!$AD:$AD,Notas!$C:$C,"Frete",Notas!$D:$D,"Frete de venda (para clientes)",Notas!$E:$E,"&lt;&gt;2.01.82*",Notas!$E:$E,"&lt;&gt;2.01.84*",Notas!$E:$E,"&lt;&gt;2.02.93*",Notas!$U:$U,'Premissas DRE'!$C$10,Notas!$A:$A,C$4)-'Premissas DRE'!$C$7*SUMIFS(Notas!$AE:$AE,Notas!$C:$C,"Frete",Notas!$D:$D,"Frete de venda (para clientes)",Notas!$E:$E,"&lt;&gt;2.01.82*",Notas!$E:$E,"&lt;&gt;2.01.84*",Notas!$E:$E,"&lt;&gt;2.02.93*",Notas!$U:$U,'Premissas DRE'!$C$10,Notas!$A:$A,C$4)</f>
        <v/>
      </c>
      <c r="D42" s="68">
        <f>SUMIFS(Notas!$W:$W,Notas!$C:$C,"Frete",Notas!$D:$D,"Frete de venda (para clientes)",Notas!$E:$E,"&lt;&gt;2.01.82*",Notas!$E:$E,"&lt;&gt;2.01.84*",Notas!$E:$E,"&lt;&gt;2.02.93*",Notas!$U:$U,'Premissas DRE'!$C$10,Notas!$A:$A,D$4)-'Premissas DRE'!$C$8*SUMIFS(Notas!$AA:$AA,Notas!$C:$C,"Frete",Notas!$D:$D,"Frete de venda (para clientes)",Notas!$E:$E,"&lt;&gt;2.01.82*",Notas!$E:$E,"&lt;&gt;2.01.84*",Notas!$E:$E,"&lt;&gt;2.02.93*",Notas!$U:$U,'Premissas DRE'!$C$10,Notas!$A:$A,D$4)-'Premissas DRE'!$C$6*SUMIFS(Notas!$AB:$AB,Notas!$C:$C,"Frete",Notas!$D:$D,"Frete de venda (para clientes)",Notas!$E:$E,"&lt;&gt;2.01.82*",Notas!$E:$E,"&lt;&gt;2.01.84*",Notas!$E:$E,"&lt;&gt;2.02.93*",Notas!$U:$U,'Premissas DRE'!$C$10,Notas!$A:$A,D$4)-'Premissas DRE'!$C$7*SUMIFS(Notas!$AD:$AD,Notas!$C:$C,"Frete",Notas!$D:$D,"Frete de venda (para clientes)",Notas!$E:$E,"&lt;&gt;2.01.82*",Notas!$E:$E,"&lt;&gt;2.01.84*",Notas!$E:$E,"&lt;&gt;2.02.93*",Notas!$U:$U,'Premissas DRE'!$C$10,Notas!$A:$A,D$4)-'Premissas DRE'!$C$7*SUMIFS(Notas!$AE:$AE,Notas!$C:$C,"Frete",Notas!$D:$D,"Frete de venda (para clientes)",Notas!$E:$E,"&lt;&gt;2.01.82*",Notas!$E:$E,"&lt;&gt;2.01.84*",Notas!$E:$E,"&lt;&gt;2.02.93*",Notas!$U:$U,'Premissas DRE'!$C$10,Notas!$A:$A,D$4)</f>
        <v/>
      </c>
      <c r="E42" s="68">
        <f>SUMIFS(Notas!$W:$W,Notas!$C:$C,"Frete",Notas!$D:$D,"Frete de venda (para clientes)",Notas!$E:$E,"&lt;&gt;2.01.82*",Notas!$E:$E,"&lt;&gt;2.01.84*",Notas!$E:$E,"&lt;&gt;2.02.93*",Notas!$U:$U,'Premissas DRE'!$C$10,Notas!$A:$A,E$4)-'Premissas DRE'!$C$8*SUMIFS(Notas!$AA:$AA,Notas!$C:$C,"Frete",Notas!$D:$D,"Frete de venda (para clientes)",Notas!$E:$E,"&lt;&gt;2.01.82*",Notas!$E:$E,"&lt;&gt;2.01.84*",Notas!$E:$E,"&lt;&gt;2.02.93*",Notas!$U:$U,'Premissas DRE'!$C$10,Notas!$A:$A,E$4)-'Premissas DRE'!$C$6*SUMIFS(Notas!$AB:$AB,Notas!$C:$C,"Frete",Notas!$D:$D,"Frete de venda (para clientes)",Notas!$E:$E,"&lt;&gt;2.01.82*",Notas!$E:$E,"&lt;&gt;2.01.84*",Notas!$E:$E,"&lt;&gt;2.02.93*",Notas!$U:$U,'Premissas DRE'!$C$10,Notas!$A:$A,E$4)-'Premissas DRE'!$C$7*SUMIFS(Notas!$AD:$AD,Notas!$C:$C,"Frete",Notas!$D:$D,"Frete de venda (para clientes)",Notas!$E:$E,"&lt;&gt;2.01.82*",Notas!$E:$E,"&lt;&gt;2.01.84*",Notas!$E:$E,"&lt;&gt;2.02.93*",Notas!$U:$U,'Premissas DRE'!$C$10,Notas!$A:$A,E$4)-'Premissas DRE'!$C$7*SUMIFS(Notas!$AE:$AE,Notas!$C:$C,"Frete",Notas!$D:$D,"Frete de venda (para clientes)",Notas!$E:$E,"&lt;&gt;2.01.82*",Notas!$E:$E,"&lt;&gt;2.01.84*",Notas!$E:$E,"&lt;&gt;2.02.93*",Notas!$U:$U,'Premissas DRE'!$C$10,Notas!$A:$A,E$4)</f>
        <v/>
      </c>
      <c r="F42" s="68">
        <f>SUMIFS(Notas!$W:$W,Notas!$C:$C,"Frete",Notas!$D:$D,"Frete de venda (para clientes)",Notas!$E:$E,"&lt;&gt;2.01.82*",Notas!$E:$E,"&lt;&gt;2.01.84*",Notas!$E:$E,"&lt;&gt;2.02.93*",Notas!$U:$U,'Premissas DRE'!$C$10,Notas!$A:$A,F$4)-'Premissas DRE'!$C$8*SUMIFS(Notas!$AA:$AA,Notas!$C:$C,"Frete",Notas!$D:$D,"Frete de venda (para clientes)",Notas!$E:$E,"&lt;&gt;2.01.82*",Notas!$E:$E,"&lt;&gt;2.01.84*",Notas!$E:$E,"&lt;&gt;2.02.93*",Notas!$U:$U,'Premissas DRE'!$C$10,Notas!$A:$A,F$4)-'Premissas DRE'!$C$6*SUMIFS(Notas!$AB:$AB,Notas!$C:$C,"Frete",Notas!$D:$D,"Frete de venda (para clientes)",Notas!$E:$E,"&lt;&gt;2.01.82*",Notas!$E:$E,"&lt;&gt;2.01.84*",Notas!$E:$E,"&lt;&gt;2.02.93*",Notas!$U:$U,'Premissas DRE'!$C$10,Notas!$A:$A,F$4)-'Premissas DRE'!$C$7*SUMIFS(Notas!$AD:$AD,Notas!$C:$C,"Frete",Notas!$D:$D,"Frete de venda (para clientes)",Notas!$E:$E,"&lt;&gt;2.01.82*",Notas!$E:$E,"&lt;&gt;2.01.84*",Notas!$E:$E,"&lt;&gt;2.02.93*",Notas!$U:$U,'Premissas DRE'!$C$10,Notas!$A:$A,F$4)-'Premissas DRE'!$C$7*SUMIFS(Notas!$AE:$AE,Notas!$C:$C,"Frete",Notas!$D:$D,"Frete de venda (para clientes)",Notas!$E:$E,"&lt;&gt;2.01.82*",Notas!$E:$E,"&lt;&gt;2.01.84*",Notas!$E:$E,"&lt;&gt;2.02.93*",Notas!$U:$U,'Premissas DRE'!$C$10,Notas!$A:$A,F$4)</f>
        <v/>
      </c>
      <c r="G42" s="68">
        <f>SUMIFS(Notas!$W:$W,Notas!$C:$C,"Frete",Notas!$D:$D,"Frete de venda (para clientes)",Notas!$E:$E,"&lt;&gt;2.01.82*",Notas!$E:$E,"&lt;&gt;2.01.84*",Notas!$E:$E,"&lt;&gt;2.02.93*",Notas!$U:$U,'Premissas DRE'!$C$10,Notas!$A:$A,G$4)-'Premissas DRE'!$C$8*SUMIFS(Notas!$AA:$AA,Notas!$C:$C,"Frete",Notas!$D:$D,"Frete de venda (para clientes)",Notas!$E:$E,"&lt;&gt;2.01.82*",Notas!$E:$E,"&lt;&gt;2.01.84*",Notas!$E:$E,"&lt;&gt;2.02.93*",Notas!$U:$U,'Premissas DRE'!$C$10,Notas!$A:$A,G$4)-'Premissas DRE'!$C$6*SUMIFS(Notas!$AB:$AB,Notas!$C:$C,"Frete",Notas!$D:$D,"Frete de venda (para clientes)",Notas!$E:$E,"&lt;&gt;2.01.82*",Notas!$E:$E,"&lt;&gt;2.01.84*",Notas!$E:$E,"&lt;&gt;2.02.93*",Notas!$U:$U,'Premissas DRE'!$C$10,Notas!$A:$A,G$4)-'Premissas DRE'!$C$7*SUMIFS(Notas!$AD:$AD,Notas!$C:$C,"Frete",Notas!$D:$D,"Frete de venda (para clientes)",Notas!$E:$E,"&lt;&gt;2.01.82*",Notas!$E:$E,"&lt;&gt;2.01.84*",Notas!$E:$E,"&lt;&gt;2.02.93*",Notas!$U:$U,'Premissas DRE'!$C$10,Notas!$A:$A,G$4)-'Premissas DRE'!$C$7*SUMIFS(Notas!$AE:$AE,Notas!$C:$C,"Frete",Notas!$D:$D,"Frete de venda (para clientes)",Notas!$E:$E,"&lt;&gt;2.01.82*",Notas!$E:$E,"&lt;&gt;2.01.84*",Notas!$E:$E,"&lt;&gt;2.02.93*",Notas!$U:$U,'Premissas DRE'!$C$10,Notas!$A:$A,G$4)</f>
        <v/>
      </c>
      <c r="H42" s="68">
        <f>SUMIFS(Notas!$W:$W,Notas!$C:$C,"Frete",Notas!$D:$D,"Frete de venda (para clientes)",Notas!$E:$E,"&lt;&gt;2.01.82*",Notas!$E:$E,"&lt;&gt;2.01.84*",Notas!$E:$E,"&lt;&gt;2.02.93*",Notas!$U:$U,'Premissas DRE'!$C$10,Notas!$A:$A,H$4)-'Premissas DRE'!$C$8*SUMIFS(Notas!$AA:$AA,Notas!$C:$C,"Frete",Notas!$D:$D,"Frete de venda (para clientes)",Notas!$E:$E,"&lt;&gt;2.01.82*",Notas!$E:$E,"&lt;&gt;2.01.84*",Notas!$E:$E,"&lt;&gt;2.02.93*",Notas!$U:$U,'Premissas DRE'!$C$10,Notas!$A:$A,H$4)-'Premissas DRE'!$C$6*SUMIFS(Notas!$AB:$AB,Notas!$C:$C,"Frete",Notas!$D:$D,"Frete de venda (para clientes)",Notas!$E:$E,"&lt;&gt;2.01.82*",Notas!$E:$E,"&lt;&gt;2.01.84*",Notas!$E:$E,"&lt;&gt;2.02.93*",Notas!$U:$U,'Premissas DRE'!$C$10,Notas!$A:$A,H$4)-'Premissas DRE'!$C$7*SUMIFS(Notas!$AD:$AD,Notas!$C:$C,"Frete",Notas!$D:$D,"Frete de venda (para clientes)",Notas!$E:$E,"&lt;&gt;2.01.82*",Notas!$E:$E,"&lt;&gt;2.01.84*",Notas!$E:$E,"&lt;&gt;2.02.93*",Notas!$U:$U,'Premissas DRE'!$C$10,Notas!$A:$A,H$4)-'Premissas DRE'!$C$7*SUMIFS(Notas!$AE:$AE,Notas!$C:$C,"Frete",Notas!$D:$D,"Frete de venda (para clientes)",Notas!$E:$E,"&lt;&gt;2.01.82*",Notas!$E:$E,"&lt;&gt;2.01.84*",Notas!$E:$E,"&lt;&gt;2.02.93*",Notas!$U:$U,'Premissas DRE'!$C$10,Notas!$A:$A,H$4)</f>
        <v/>
      </c>
      <c r="I42" s="68">
        <f>SUMIFS(Notas!$W:$W,Notas!$C:$C,"Frete",Notas!$D:$D,"Frete de venda (para clientes)",Notas!$E:$E,"&lt;&gt;2.01.82*",Notas!$E:$E,"&lt;&gt;2.01.84*",Notas!$E:$E,"&lt;&gt;2.02.93*",Notas!$U:$U,'Premissas DRE'!$C$10,Notas!$A:$A,I$4)-'Premissas DRE'!$C$8*SUMIFS(Notas!$AA:$AA,Notas!$C:$C,"Frete",Notas!$D:$D,"Frete de venda (para clientes)",Notas!$E:$E,"&lt;&gt;2.01.82*",Notas!$E:$E,"&lt;&gt;2.01.84*",Notas!$E:$E,"&lt;&gt;2.02.93*",Notas!$U:$U,'Premissas DRE'!$C$10,Notas!$A:$A,I$4)-'Premissas DRE'!$C$6*SUMIFS(Notas!$AB:$AB,Notas!$C:$C,"Frete",Notas!$D:$D,"Frete de venda (para clientes)",Notas!$E:$E,"&lt;&gt;2.01.82*",Notas!$E:$E,"&lt;&gt;2.01.84*",Notas!$E:$E,"&lt;&gt;2.02.93*",Notas!$U:$U,'Premissas DRE'!$C$10,Notas!$A:$A,I$4)-'Premissas DRE'!$C$7*SUMIFS(Notas!$AD:$AD,Notas!$C:$C,"Frete",Notas!$D:$D,"Frete de venda (para clientes)",Notas!$E:$E,"&lt;&gt;2.01.82*",Notas!$E:$E,"&lt;&gt;2.01.84*",Notas!$E:$E,"&lt;&gt;2.02.93*",Notas!$U:$U,'Premissas DRE'!$C$10,Notas!$A:$A,I$4)-'Premissas DRE'!$C$7*SUMIFS(Notas!$AE:$AE,Notas!$C:$C,"Frete",Notas!$D:$D,"Frete de venda (para clientes)",Notas!$E:$E,"&lt;&gt;2.01.82*",Notas!$E:$E,"&lt;&gt;2.01.84*",Notas!$E:$E,"&lt;&gt;2.02.93*",Notas!$U:$U,'Premissas DRE'!$C$10,Notas!$A:$A,I$4)</f>
        <v/>
      </c>
      <c r="J42" s="68">
        <f>SUMIFS(Notas!$W:$W,Notas!$C:$C,"Frete",Notas!$D:$D,"Frete de venda (para clientes)",Notas!$E:$E,"&lt;&gt;2.01.82*",Notas!$E:$E,"&lt;&gt;2.01.84*",Notas!$E:$E,"&lt;&gt;2.02.93*",Notas!$U:$U,'Premissas DRE'!$C$10,Notas!$A:$A,J$4)-'Premissas DRE'!$C$8*SUMIFS(Notas!$AA:$AA,Notas!$C:$C,"Frete",Notas!$D:$D,"Frete de venda (para clientes)",Notas!$E:$E,"&lt;&gt;2.01.82*",Notas!$E:$E,"&lt;&gt;2.01.84*",Notas!$E:$E,"&lt;&gt;2.02.93*",Notas!$U:$U,'Premissas DRE'!$C$10,Notas!$A:$A,J$4)-'Premissas DRE'!$C$6*SUMIFS(Notas!$AB:$AB,Notas!$C:$C,"Frete",Notas!$D:$D,"Frete de venda (para clientes)",Notas!$E:$E,"&lt;&gt;2.01.82*",Notas!$E:$E,"&lt;&gt;2.01.84*",Notas!$E:$E,"&lt;&gt;2.02.93*",Notas!$U:$U,'Premissas DRE'!$C$10,Notas!$A:$A,J$4)-'Premissas DRE'!$C$7*SUMIFS(Notas!$AD:$AD,Notas!$C:$C,"Frete",Notas!$D:$D,"Frete de venda (para clientes)",Notas!$E:$E,"&lt;&gt;2.01.82*",Notas!$E:$E,"&lt;&gt;2.01.84*",Notas!$E:$E,"&lt;&gt;2.02.93*",Notas!$U:$U,'Premissas DRE'!$C$10,Notas!$A:$A,J$4)-'Premissas DRE'!$C$7*SUMIFS(Notas!$AE:$AE,Notas!$C:$C,"Frete",Notas!$D:$D,"Frete de venda (para clientes)",Notas!$E:$E,"&lt;&gt;2.01.82*",Notas!$E:$E,"&lt;&gt;2.01.84*",Notas!$E:$E,"&lt;&gt;2.02.93*",Notas!$U:$U,'Premissas DRE'!$C$10,Notas!$A:$A,J$4)</f>
        <v/>
      </c>
      <c r="K42" s="68">
        <f>SUMIFS(Notas!$W:$W,Notas!$C:$C,"Frete",Notas!$D:$D,"Frete de venda (para clientes)",Notas!$E:$E,"&lt;&gt;2.01.82*",Notas!$E:$E,"&lt;&gt;2.01.84*",Notas!$E:$E,"&lt;&gt;2.02.93*",Notas!$U:$U,'Premissas DRE'!$C$10,Notas!$A:$A,K$4)-'Premissas DRE'!$C$8*SUMIFS(Notas!$AA:$AA,Notas!$C:$C,"Frete",Notas!$D:$D,"Frete de venda (para clientes)",Notas!$E:$E,"&lt;&gt;2.01.82*",Notas!$E:$E,"&lt;&gt;2.01.84*",Notas!$E:$E,"&lt;&gt;2.02.93*",Notas!$U:$U,'Premissas DRE'!$C$10,Notas!$A:$A,K$4)-'Premissas DRE'!$C$6*SUMIFS(Notas!$AB:$AB,Notas!$C:$C,"Frete",Notas!$D:$D,"Frete de venda (para clientes)",Notas!$E:$E,"&lt;&gt;2.01.82*",Notas!$E:$E,"&lt;&gt;2.01.84*",Notas!$E:$E,"&lt;&gt;2.02.93*",Notas!$U:$U,'Premissas DRE'!$C$10,Notas!$A:$A,K$4)-'Premissas DRE'!$C$7*SUMIFS(Notas!$AD:$AD,Notas!$C:$C,"Frete",Notas!$D:$D,"Frete de venda (para clientes)",Notas!$E:$E,"&lt;&gt;2.01.82*",Notas!$E:$E,"&lt;&gt;2.01.84*",Notas!$E:$E,"&lt;&gt;2.02.93*",Notas!$U:$U,'Premissas DRE'!$C$10,Notas!$A:$A,K$4)-'Premissas DRE'!$C$7*SUMIFS(Notas!$AE:$AE,Notas!$C:$C,"Frete",Notas!$D:$D,"Frete de venda (para clientes)",Notas!$E:$E,"&lt;&gt;2.01.82*",Notas!$E:$E,"&lt;&gt;2.01.84*",Notas!$E:$E,"&lt;&gt;2.02.93*",Notas!$U:$U,'Premissas DRE'!$C$10,Notas!$A:$A,K$4)</f>
        <v/>
      </c>
      <c r="L42" s="68">
        <f>SUM(C42:K42)</f>
        <v/>
      </c>
    </row>
    <row r="43">
      <c r="A43" s="53" t="inlineStr">
        <is>
          <t>Estadia / cabotagem  [SINALIZADO]</t>
        </is>
      </c>
      <c r="B43" s="48" t="inlineStr">
        <is>
          <t>Frete venda · 2.01.82</t>
        </is>
      </c>
      <c r="C43" s="68">
        <f>SUMIFS(Notas!$W:$W,Notas!$C:$C,"Frete",Notas!$D:$D,"Frete de venda (para clientes)",Notas!$E:$E,"2.01.82*",Notas!$U:$U,'Premissas DRE'!$C$10,Notas!$A:$A,C$4)-'Premissas DRE'!$C$8*SUMIFS(Notas!$AA:$AA,Notas!$C:$C,"Frete",Notas!$D:$D,"Frete de venda (para clientes)",Notas!$E:$E,"2.01.82*",Notas!$U:$U,'Premissas DRE'!$C$10,Notas!$A:$A,C$4)-'Premissas DRE'!$C$6*SUMIFS(Notas!$AB:$AB,Notas!$C:$C,"Frete",Notas!$D:$D,"Frete de venda (para clientes)",Notas!$E:$E,"2.01.82*",Notas!$U:$U,'Premissas DRE'!$C$10,Notas!$A:$A,C$4)-'Premissas DRE'!$C$7*SUMIFS(Notas!$AD:$AD,Notas!$C:$C,"Frete",Notas!$D:$D,"Frete de venda (para clientes)",Notas!$E:$E,"2.01.82*",Notas!$U:$U,'Premissas DRE'!$C$10,Notas!$A:$A,C$4)-'Premissas DRE'!$C$7*SUMIFS(Notas!$AE:$AE,Notas!$C:$C,"Frete",Notas!$D:$D,"Frete de venda (para clientes)",Notas!$E:$E,"2.01.82*",Notas!$U:$U,'Premissas DRE'!$C$10,Notas!$A:$A,C$4)</f>
        <v/>
      </c>
      <c r="D43" s="68">
        <f>SUMIFS(Notas!$W:$W,Notas!$C:$C,"Frete",Notas!$D:$D,"Frete de venda (para clientes)",Notas!$E:$E,"2.01.82*",Notas!$U:$U,'Premissas DRE'!$C$10,Notas!$A:$A,D$4)-'Premissas DRE'!$C$8*SUMIFS(Notas!$AA:$AA,Notas!$C:$C,"Frete",Notas!$D:$D,"Frete de venda (para clientes)",Notas!$E:$E,"2.01.82*",Notas!$U:$U,'Premissas DRE'!$C$10,Notas!$A:$A,D$4)-'Premissas DRE'!$C$6*SUMIFS(Notas!$AB:$AB,Notas!$C:$C,"Frete",Notas!$D:$D,"Frete de venda (para clientes)",Notas!$E:$E,"2.01.82*",Notas!$U:$U,'Premissas DRE'!$C$10,Notas!$A:$A,D$4)-'Premissas DRE'!$C$7*SUMIFS(Notas!$AD:$AD,Notas!$C:$C,"Frete",Notas!$D:$D,"Frete de venda (para clientes)",Notas!$E:$E,"2.01.82*",Notas!$U:$U,'Premissas DRE'!$C$10,Notas!$A:$A,D$4)-'Premissas DRE'!$C$7*SUMIFS(Notas!$AE:$AE,Notas!$C:$C,"Frete",Notas!$D:$D,"Frete de venda (para clientes)",Notas!$E:$E,"2.01.82*",Notas!$U:$U,'Premissas DRE'!$C$10,Notas!$A:$A,D$4)</f>
        <v/>
      </c>
      <c r="E43" s="68">
        <f>SUMIFS(Notas!$W:$W,Notas!$C:$C,"Frete",Notas!$D:$D,"Frete de venda (para clientes)",Notas!$E:$E,"2.01.82*",Notas!$U:$U,'Premissas DRE'!$C$10,Notas!$A:$A,E$4)-'Premissas DRE'!$C$8*SUMIFS(Notas!$AA:$AA,Notas!$C:$C,"Frete",Notas!$D:$D,"Frete de venda (para clientes)",Notas!$E:$E,"2.01.82*",Notas!$U:$U,'Premissas DRE'!$C$10,Notas!$A:$A,E$4)-'Premissas DRE'!$C$6*SUMIFS(Notas!$AB:$AB,Notas!$C:$C,"Frete",Notas!$D:$D,"Frete de venda (para clientes)",Notas!$E:$E,"2.01.82*",Notas!$U:$U,'Premissas DRE'!$C$10,Notas!$A:$A,E$4)-'Premissas DRE'!$C$7*SUMIFS(Notas!$AD:$AD,Notas!$C:$C,"Frete",Notas!$D:$D,"Frete de venda (para clientes)",Notas!$E:$E,"2.01.82*",Notas!$U:$U,'Premissas DRE'!$C$10,Notas!$A:$A,E$4)-'Premissas DRE'!$C$7*SUMIFS(Notas!$AE:$AE,Notas!$C:$C,"Frete",Notas!$D:$D,"Frete de venda (para clientes)",Notas!$E:$E,"2.01.82*",Notas!$U:$U,'Premissas DRE'!$C$10,Notas!$A:$A,E$4)</f>
        <v/>
      </c>
      <c r="F43" s="68">
        <f>SUMIFS(Notas!$W:$W,Notas!$C:$C,"Frete",Notas!$D:$D,"Frete de venda (para clientes)",Notas!$E:$E,"2.01.82*",Notas!$U:$U,'Premissas DRE'!$C$10,Notas!$A:$A,F$4)-'Premissas DRE'!$C$8*SUMIFS(Notas!$AA:$AA,Notas!$C:$C,"Frete",Notas!$D:$D,"Frete de venda (para clientes)",Notas!$E:$E,"2.01.82*",Notas!$U:$U,'Premissas DRE'!$C$10,Notas!$A:$A,F$4)-'Premissas DRE'!$C$6*SUMIFS(Notas!$AB:$AB,Notas!$C:$C,"Frete",Notas!$D:$D,"Frete de venda (para clientes)",Notas!$E:$E,"2.01.82*",Notas!$U:$U,'Premissas DRE'!$C$10,Notas!$A:$A,F$4)-'Premissas DRE'!$C$7*SUMIFS(Notas!$AD:$AD,Notas!$C:$C,"Frete",Notas!$D:$D,"Frete de venda (para clientes)",Notas!$E:$E,"2.01.82*",Notas!$U:$U,'Premissas DRE'!$C$10,Notas!$A:$A,F$4)-'Premissas DRE'!$C$7*SUMIFS(Notas!$AE:$AE,Notas!$C:$C,"Frete",Notas!$D:$D,"Frete de venda (para clientes)",Notas!$E:$E,"2.01.82*",Notas!$U:$U,'Premissas DRE'!$C$10,Notas!$A:$A,F$4)</f>
        <v/>
      </c>
      <c r="G43" s="68">
        <f>SUMIFS(Notas!$W:$W,Notas!$C:$C,"Frete",Notas!$D:$D,"Frete de venda (para clientes)",Notas!$E:$E,"2.01.82*",Notas!$U:$U,'Premissas DRE'!$C$10,Notas!$A:$A,G$4)-'Premissas DRE'!$C$8*SUMIFS(Notas!$AA:$AA,Notas!$C:$C,"Frete",Notas!$D:$D,"Frete de venda (para clientes)",Notas!$E:$E,"2.01.82*",Notas!$U:$U,'Premissas DRE'!$C$10,Notas!$A:$A,G$4)-'Premissas DRE'!$C$6*SUMIFS(Notas!$AB:$AB,Notas!$C:$C,"Frete",Notas!$D:$D,"Frete de venda (para clientes)",Notas!$E:$E,"2.01.82*",Notas!$U:$U,'Premissas DRE'!$C$10,Notas!$A:$A,G$4)-'Premissas DRE'!$C$7*SUMIFS(Notas!$AD:$AD,Notas!$C:$C,"Frete",Notas!$D:$D,"Frete de venda (para clientes)",Notas!$E:$E,"2.01.82*",Notas!$U:$U,'Premissas DRE'!$C$10,Notas!$A:$A,G$4)-'Premissas DRE'!$C$7*SUMIFS(Notas!$AE:$AE,Notas!$C:$C,"Frete",Notas!$D:$D,"Frete de venda (para clientes)",Notas!$E:$E,"2.01.82*",Notas!$U:$U,'Premissas DRE'!$C$10,Notas!$A:$A,G$4)</f>
        <v/>
      </c>
      <c r="H43" s="68">
        <f>SUMIFS(Notas!$W:$W,Notas!$C:$C,"Frete",Notas!$D:$D,"Frete de venda (para clientes)",Notas!$E:$E,"2.01.82*",Notas!$U:$U,'Premissas DRE'!$C$10,Notas!$A:$A,H$4)-'Premissas DRE'!$C$8*SUMIFS(Notas!$AA:$AA,Notas!$C:$C,"Frete",Notas!$D:$D,"Frete de venda (para clientes)",Notas!$E:$E,"2.01.82*",Notas!$U:$U,'Premissas DRE'!$C$10,Notas!$A:$A,H$4)-'Premissas DRE'!$C$6*SUMIFS(Notas!$AB:$AB,Notas!$C:$C,"Frete",Notas!$D:$D,"Frete de venda (para clientes)",Notas!$E:$E,"2.01.82*",Notas!$U:$U,'Premissas DRE'!$C$10,Notas!$A:$A,H$4)-'Premissas DRE'!$C$7*SUMIFS(Notas!$AD:$AD,Notas!$C:$C,"Frete",Notas!$D:$D,"Frete de venda (para clientes)",Notas!$E:$E,"2.01.82*",Notas!$U:$U,'Premissas DRE'!$C$10,Notas!$A:$A,H$4)-'Premissas DRE'!$C$7*SUMIFS(Notas!$AE:$AE,Notas!$C:$C,"Frete",Notas!$D:$D,"Frete de venda (para clientes)",Notas!$E:$E,"2.01.82*",Notas!$U:$U,'Premissas DRE'!$C$10,Notas!$A:$A,H$4)</f>
        <v/>
      </c>
      <c r="I43" s="68">
        <f>SUMIFS(Notas!$W:$W,Notas!$C:$C,"Frete",Notas!$D:$D,"Frete de venda (para clientes)",Notas!$E:$E,"2.01.82*",Notas!$U:$U,'Premissas DRE'!$C$10,Notas!$A:$A,I$4)-'Premissas DRE'!$C$8*SUMIFS(Notas!$AA:$AA,Notas!$C:$C,"Frete",Notas!$D:$D,"Frete de venda (para clientes)",Notas!$E:$E,"2.01.82*",Notas!$U:$U,'Premissas DRE'!$C$10,Notas!$A:$A,I$4)-'Premissas DRE'!$C$6*SUMIFS(Notas!$AB:$AB,Notas!$C:$C,"Frete",Notas!$D:$D,"Frete de venda (para clientes)",Notas!$E:$E,"2.01.82*",Notas!$U:$U,'Premissas DRE'!$C$10,Notas!$A:$A,I$4)-'Premissas DRE'!$C$7*SUMIFS(Notas!$AD:$AD,Notas!$C:$C,"Frete",Notas!$D:$D,"Frete de venda (para clientes)",Notas!$E:$E,"2.01.82*",Notas!$U:$U,'Premissas DRE'!$C$10,Notas!$A:$A,I$4)-'Premissas DRE'!$C$7*SUMIFS(Notas!$AE:$AE,Notas!$C:$C,"Frete",Notas!$D:$D,"Frete de venda (para clientes)",Notas!$E:$E,"2.01.82*",Notas!$U:$U,'Premissas DRE'!$C$10,Notas!$A:$A,I$4)</f>
        <v/>
      </c>
      <c r="J43" s="68">
        <f>SUMIFS(Notas!$W:$W,Notas!$C:$C,"Frete",Notas!$D:$D,"Frete de venda (para clientes)",Notas!$E:$E,"2.01.82*",Notas!$U:$U,'Premissas DRE'!$C$10,Notas!$A:$A,J$4)-'Premissas DRE'!$C$8*SUMIFS(Notas!$AA:$AA,Notas!$C:$C,"Frete",Notas!$D:$D,"Frete de venda (para clientes)",Notas!$E:$E,"2.01.82*",Notas!$U:$U,'Premissas DRE'!$C$10,Notas!$A:$A,J$4)-'Premissas DRE'!$C$6*SUMIFS(Notas!$AB:$AB,Notas!$C:$C,"Frete",Notas!$D:$D,"Frete de venda (para clientes)",Notas!$E:$E,"2.01.82*",Notas!$U:$U,'Premissas DRE'!$C$10,Notas!$A:$A,J$4)-'Premissas DRE'!$C$7*SUMIFS(Notas!$AD:$AD,Notas!$C:$C,"Frete",Notas!$D:$D,"Frete de venda (para clientes)",Notas!$E:$E,"2.01.82*",Notas!$U:$U,'Premissas DRE'!$C$10,Notas!$A:$A,J$4)-'Premissas DRE'!$C$7*SUMIFS(Notas!$AE:$AE,Notas!$C:$C,"Frete",Notas!$D:$D,"Frete de venda (para clientes)",Notas!$E:$E,"2.01.82*",Notas!$U:$U,'Premissas DRE'!$C$10,Notas!$A:$A,J$4)</f>
        <v/>
      </c>
      <c r="K43" s="68">
        <f>SUMIFS(Notas!$W:$W,Notas!$C:$C,"Frete",Notas!$D:$D,"Frete de venda (para clientes)",Notas!$E:$E,"2.01.82*",Notas!$U:$U,'Premissas DRE'!$C$10,Notas!$A:$A,K$4)-'Premissas DRE'!$C$8*SUMIFS(Notas!$AA:$AA,Notas!$C:$C,"Frete",Notas!$D:$D,"Frete de venda (para clientes)",Notas!$E:$E,"2.01.82*",Notas!$U:$U,'Premissas DRE'!$C$10,Notas!$A:$A,K$4)-'Premissas DRE'!$C$6*SUMIFS(Notas!$AB:$AB,Notas!$C:$C,"Frete",Notas!$D:$D,"Frete de venda (para clientes)",Notas!$E:$E,"2.01.82*",Notas!$U:$U,'Premissas DRE'!$C$10,Notas!$A:$A,K$4)-'Premissas DRE'!$C$7*SUMIFS(Notas!$AD:$AD,Notas!$C:$C,"Frete",Notas!$D:$D,"Frete de venda (para clientes)",Notas!$E:$E,"2.01.82*",Notas!$U:$U,'Premissas DRE'!$C$10,Notas!$A:$A,K$4)-'Premissas DRE'!$C$7*SUMIFS(Notas!$AE:$AE,Notas!$C:$C,"Frete",Notas!$D:$D,"Frete de venda (para clientes)",Notas!$E:$E,"2.01.82*",Notas!$U:$U,'Premissas DRE'!$C$10,Notas!$A:$A,K$4)</f>
        <v/>
      </c>
      <c r="L43" s="68">
        <f>SUM(C43:K43)</f>
        <v/>
      </c>
    </row>
    <row r="44">
      <c r="A44" s="53" t="inlineStr">
        <is>
          <t>Remessa de mercadoria — frete de venda  [SINALIZADO]</t>
        </is>
      </c>
      <c r="B44" s="48" t="inlineStr">
        <is>
          <t>Frete venda · 2.01.84</t>
        </is>
      </c>
      <c r="C44" s="68">
        <f>SUMIFS(Notas!$W:$W,Notas!$C:$C,"Frete",Notas!$D:$D,"Frete de venda (para clientes)",Notas!$E:$E,"2.01.84*",Notas!$U:$U,'Premissas DRE'!$C$10,Notas!$A:$A,C$4)-'Premissas DRE'!$C$8*SUMIFS(Notas!$AA:$AA,Notas!$C:$C,"Frete",Notas!$D:$D,"Frete de venda (para clientes)",Notas!$E:$E,"2.01.84*",Notas!$U:$U,'Premissas DRE'!$C$10,Notas!$A:$A,C$4)-'Premissas DRE'!$C$6*SUMIFS(Notas!$AB:$AB,Notas!$C:$C,"Frete",Notas!$D:$D,"Frete de venda (para clientes)",Notas!$E:$E,"2.01.84*",Notas!$U:$U,'Premissas DRE'!$C$10,Notas!$A:$A,C$4)-'Premissas DRE'!$C$7*SUMIFS(Notas!$AD:$AD,Notas!$C:$C,"Frete",Notas!$D:$D,"Frete de venda (para clientes)",Notas!$E:$E,"2.01.84*",Notas!$U:$U,'Premissas DRE'!$C$10,Notas!$A:$A,C$4)-'Premissas DRE'!$C$7*SUMIFS(Notas!$AE:$AE,Notas!$C:$C,"Frete",Notas!$D:$D,"Frete de venda (para clientes)",Notas!$E:$E,"2.01.84*",Notas!$U:$U,'Premissas DRE'!$C$10,Notas!$A:$A,C$4)</f>
        <v/>
      </c>
      <c r="D44" s="68">
        <f>SUMIFS(Notas!$W:$W,Notas!$C:$C,"Frete",Notas!$D:$D,"Frete de venda (para clientes)",Notas!$E:$E,"2.01.84*",Notas!$U:$U,'Premissas DRE'!$C$10,Notas!$A:$A,D$4)-'Premissas DRE'!$C$8*SUMIFS(Notas!$AA:$AA,Notas!$C:$C,"Frete",Notas!$D:$D,"Frete de venda (para clientes)",Notas!$E:$E,"2.01.84*",Notas!$U:$U,'Premissas DRE'!$C$10,Notas!$A:$A,D$4)-'Premissas DRE'!$C$6*SUMIFS(Notas!$AB:$AB,Notas!$C:$C,"Frete",Notas!$D:$D,"Frete de venda (para clientes)",Notas!$E:$E,"2.01.84*",Notas!$U:$U,'Premissas DRE'!$C$10,Notas!$A:$A,D$4)-'Premissas DRE'!$C$7*SUMIFS(Notas!$AD:$AD,Notas!$C:$C,"Frete",Notas!$D:$D,"Frete de venda (para clientes)",Notas!$E:$E,"2.01.84*",Notas!$U:$U,'Premissas DRE'!$C$10,Notas!$A:$A,D$4)-'Premissas DRE'!$C$7*SUMIFS(Notas!$AE:$AE,Notas!$C:$C,"Frete",Notas!$D:$D,"Frete de venda (para clientes)",Notas!$E:$E,"2.01.84*",Notas!$U:$U,'Premissas DRE'!$C$10,Notas!$A:$A,D$4)</f>
        <v/>
      </c>
      <c r="E44" s="68">
        <f>SUMIFS(Notas!$W:$W,Notas!$C:$C,"Frete",Notas!$D:$D,"Frete de venda (para clientes)",Notas!$E:$E,"2.01.84*",Notas!$U:$U,'Premissas DRE'!$C$10,Notas!$A:$A,E$4)-'Premissas DRE'!$C$8*SUMIFS(Notas!$AA:$AA,Notas!$C:$C,"Frete",Notas!$D:$D,"Frete de venda (para clientes)",Notas!$E:$E,"2.01.84*",Notas!$U:$U,'Premissas DRE'!$C$10,Notas!$A:$A,E$4)-'Premissas DRE'!$C$6*SUMIFS(Notas!$AB:$AB,Notas!$C:$C,"Frete",Notas!$D:$D,"Frete de venda (para clientes)",Notas!$E:$E,"2.01.84*",Notas!$U:$U,'Premissas DRE'!$C$10,Notas!$A:$A,E$4)-'Premissas DRE'!$C$7*SUMIFS(Notas!$AD:$AD,Notas!$C:$C,"Frete",Notas!$D:$D,"Frete de venda (para clientes)",Notas!$E:$E,"2.01.84*",Notas!$U:$U,'Premissas DRE'!$C$10,Notas!$A:$A,E$4)-'Premissas DRE'!$C$7*SUMIFS(Notas!$AE:$AE,Notas!$C:$C,"Frete",Notas!$D:$D,"Frete de venda (para clientes)",Notas!$E:$E,"2.01.84*",Notas!$U:$U,'Premissas DRE'!$C$10,Notas!$A:$A,E$4)</f>
        <v/>
      </c>
      <c r="F44" s="68">
        <f>SUMIFS(Notas!$W:$W,Notas!$C:$C,"Frete",Notas!$D:$D,"Frete de venda (para clientes)",Notas!$E:$E,"2.01.84*",Notas!$U:$U,'Premissas DRE'!$C$10,Notas!$A:$A,F$4)-'Premissas DRE'!$C$8*SUMIFS(Notas!$AA:$AA,Notas!$C:$C,"Frete",Notas!$D:$D,"Frete de venda (para clientes)",Notas!$E:$E,"2.01.84*",Notas!$U:$U,'Premissas DRE'!$C$10,Notas!$A:$A,F$4)-'Premissas DRE'!$C$6*SUMIFS(Notas!$AB:$AB,Notas!$C:$C,"Frete",Notas!$D:$D,"Frete de venda (para clientes)",Notas!$E:$E,"2.01.84*",Notas!$U:$U,'Premissas DRE'!$C$10,Notas!$A:$A,F$4)-'Premissas DRE'!$C$7*SUMIFS(Notas!$AD:$AD,Notas!$C:$C,"Frete",Notas!$D:$D,"Frete de venda (para clientes)",Notas!$E:$E,"2.01.84*",Notas!$U:$U,'Premissas DRE'!$C$10,Notas!$A:$A,F$4)-'Premissas DRE'!$C$7*SUMIFS(Notas!$AE:$AE,Notas!$C:$C,"Frete",Notas!$D:$D,"Frete de venda (para clientes)",Notas!$E:$E,"2.01.84*",Notas!$U:$U,'Premissas DRE'!$C$10,Notas!$A:$A,F$4)</f>
        <v/>
      </c>
      <c r="G44" s="68">
        <f>SUMIFS(Notas!$W:$W,Notas!$C:$C,"Frete",Notas!$D:$D,"Frete de venda (para clientes)",Notas!$E:$E,"2.01.84*",Notas!$U:$U,'Premissas DRE'!$C$10,Notas!$A:$A,G$4)-'Premissas DRE'!$C$8*SUMIFS(Notas!$AA:$AA,Notas!$C:$C,"Frete",Notas!$D:$D,"Frete de venda (para clientes)",Notas!$E:$E,"2.01.84*",Notas!$U:$U,'Premissas DRE'!$C$10,Notas!$A:$A,G$4)-'Premissas DRE'!$C$6*SUMIFS(Notas!$AB:$AB,Notas!$C:$C,"Frete",Notas!$D:$D,"Frete de venda (para clientes)",Notas!$E:$E,"2.01.84*",Notas!$U:$U,'Premissas DRE'!$C$10,Notas!$A:$A,G$4)-'Premissas DRE'!$C$7*SUMIFS(Notas!$AD:$AD,Notas!$C:$C,"Frete",Notas!$D:$D,"Frete de venda (para clientes)",Notas!$E:$E,"2.01.84*",Notas!$U:$U,'Premissas DRE'!$C$10,Notas!$A:$A,G$4)-'Premissas DRE'!$C$7*SUMIFS(Notas!$AE:$AE,Notas!$C:$C,"Frete",Notas!$D:$D,"Frete de venda (para clientes)",Notas!$E:$E,"2.01.84*",Notas!$U:$U,'Premissas DRE'!$C$10,Notas!$A:$A,G$4)</f>
        <v/>
      </c>
      <c r="H44" s="68">
        <f>SUMIFS(Notas!$W:$W,Notas!$C:$C,"Frete",Notas!$D:$D,"Frete de venda (para clientes)",Notas!$E:$E,"2.01.84*",Notas!$U:$U,'Premissas DRE'!$C$10,Notas!$A:$A,H$4)-'Premissas DRE'!$C$8*SUMIFS(Notas!$AA:$AA,Notas!$C:$C,"Frete",Notas!$D:$D,"Frete de venda (para clientes)",Notas!$E:$E,"2.01.84*",Notas!$U:$U,'Premissas DRE'!$C$10,Notas!$A:$A,H$4)-'Premissas DRE'!$C$6*SUMIFS(Notas!$AB:$AB,Notas!$C:$C,"Frete",Notas!$D:$D,"Frete de venda (para clientes)",Notas!$E:$E,"2.01.84*",Notas!$U:$U,'Premissas DRE'!$C$10,Notas!$A:$A,H$4)-'Premissas DRE'!$C$7*SUMIFS(Notas!$AD:$AD,Notas!$C:$C,"Frete",Notas!$D:$D,"Frete de venda (para clientes)",Notas!$E:$E,"2.01.84*",Notas!$U:$U,'Premissas DRE'!$C$10,Notas!$A:$A,H$4)-'Premissas DRE'!$C$7*SUMIFS(Notas!$AE:$AE,Notas!$C:$C,"Frete",Notas!$D:$D,"Frete de venda (para clientes)",Notas!$E:$E,"2.01.84*",Notas!$U:$U,'Premissas DRE'!$C$10,Notas!$A:$A,H$4)</f>
        <v/>
      </c>
      <c r="I44" s="68">
        <f>SUMIFS(Notas!$W:$W,Notas!$C:$C,"Frete",Notas!$D:$D,"Frete de venda (para clientes)",Notas!$E:$E,"2.01.84*",Notas!$U:$U,'Premissas DRE'!$C$10,Notas!$A:$A,I$4)-'Premissas DRE'!$C$8*SUMIFS(Notas!$AA:$AA,Notas!$C:$C,"Frete",Notas!$D:$D,"Frete de venda (para clientes)",Notas!$E:$E,"2.01.84*",Notas!$U:$U,'Premissas DRE'!$C$10,Notas!$A:$A,I$4)-'Premissas DRE'!$C$6*SUMIFS(Notas!$AB:$AB,Notas!$C:$C,"Frete",Notas!$D:$D,"Frete de venda (para clientes)",Notas!$E:$E,"2.01.84*",Notas!$U:$U,'Premissas DRE'!$C$10,Notas!$A:$A,I$4)-'Premissas DRE'!$C$7*SUMIFS(Notas!$AD:$AD,Notas!$C:$C,"Frete",Notas!$D:$D,"Frete de venda (para clientes)",Notas!$E:$E,"2.01.84*",Notas!$U:$U,'Premissas DRE'!$C$10,Notas!$A:$A,I$4)-'Premissas DRE'!$C$7*SUMIFS(Notas!$AE:$AE,Notas!$C:$C,"Frete",Notas!$D:$D,"Frete de venda (para clientes)",Notas!$E:$E,"2.01.84*",Notas!$U:$U,'Premissas DRE'!$C$10,Notas!$A:$A,I$4)</f>
        <v/>
      </c>
      <c r="J44" s="68">
        <f>SUMIFS(Notas!$W:$W,Notas!$C:$C,"Frete",Notas!$D:$D,"Frete de venda (para clientes)",Notas!$E:$E,"2.01.84*",Notas!$U:$U,'Premissas DRE'!$C$10,Notas!$A:$A,J$4)-'Premissas DRE'!$C$8*SUMIFS(Notas!$AA:$AA,Notas!$C:$C,"Frete",Notas!$D:$D,"Frete de venda (para clientes)",Notas!$E:$E,"2.01.84*",Notas!$U:$U,'Premissas DRE'!$C$10,Notas!$A:$A,J$4)-'Premissas DRE'!$C$6*SUMIFS(Notas!$AB:$AB,Notas!$C:$C,"Frete",Notas!$D:$D,"Frete de venda (para clientes)",Notas!$E:$E,"2.01.84*",Notas!$U:$U,'Premissas DRE'!$C$10,Notas!$A:$A,J$4)-'Premissas DRE'!$C$7*SUMIFS(Notas!$AD:$AD,Notas!$C:$C,"Frete",Notas!$D:$D,"Frete de venda (para clientes)",Notas!$E:$E,"2.01.84*",Notas!$U:$U,'Premissas DRE'!$C$10,Notas!$A:$A,J$4)-'Premissas DRE'!$C$7*SUMIFS(Notas!$AE:$AE,Notas!$C:$C,"Frete",Notas!$D:$D,"Frete de venda (para clientes)",Notas!$E:$E,"2.01.84*",Notas!$U:$U,'Premissas DRE'!$C$10,Notas!$A:$A,J$4)</f>
        <v/>
      </c>
      <c r="K44" s="68">
        <f>SUMIFS(Notas!$W:$W,Notas!$C:$C,"Frete",Notas!$D:$D,"Frete de venda (para clientes)",Notas!$E:$E,"2.01.84*",Notas!$U:$U,'Premissas DRE'!$C$10,Notas!$A:$A,K$4)-'Premissas DRE'!$C$8*SUMIFS(Notas!$AA:$AA,Notas!$C:$C,"Frete",Notas!$D:$D,"Frete de venda (para clientes)",Notas!$E:$E,"2.01.84*",Notas!$U:$U,'Premissas DRE'!$C$10,Notas!$A:$A,K$4)-'Premissas DRE'!$C$6*SUMIFS(Notas!$AB:$AB,Notas!$C:$C,"Frete",Notas!$D:$D,"Frete de venda (para clientes)",Notas!$E:$E,"2.01.84*",Notas!$U:$U,'Premissas DRE'!$C$10,Notas!$A:$A,K$4)-'Premissas DRE'!$C$7*SUMIFS(Notas!$AD:$AD,Notas!$C:$C,"Frete",Notas!$D:$D,"Frete de venda (para clientes)",Notas!$E:$E,"2.01.84*",Notas!$U:$U,'Premissas DRE'!$C$10,Notas!$A:$A,K$4)-'Premissas DRE'!$C$7*SUMIFS(Notas!$AE:$AE,Notas!$C:$C,"Frete",Notas!$D:$D,"Frete de venda (para clientes)",Notas!$E:$E,"2.01.84*",Notas!$U:$U,'Premissas DRE'!$C$10,Notas!$A:$A,K$4)</f>
        <v/>
      </c>
      <c r="L44" s="68">
        <f>SUM(C44:K44)</f>
        <v/>
      </c>
    </row>
    <row r="45">
      <c r="A45" s="53" t="inlineStr">
        <is>
          <t>Frete de amostras/brindes  [SINALIZADO]</t>
        </is>
      </c>
      <c r="B45" s="48" t="inlineStr">
        <is>
          <t>Frete venda · 2.02.93</t>
        </is>
      </c>
      <c r="C45" s="68">
        <f>SUMIFS(Notas!$W:$W,Notas!$C:$C,"Frete",Notas!$D:$D,"Frete de venda (para clientes)",Notas!$E:$E,"2.02.93*",Notas!$U:$U,'Premissas DRE'!$C$10,Notas!$A:$A,C$4)-'Premissas DRE'!$C$8*SUMIFS(Notas!$AA:$AA,Notas!$C:$C,"Frete",Notas!$D:$D,"Frete de venda (para clientes)",Notas!$E:$E,"2.02.93*",Notas!$U:$U,'Premissas DRE'!$C$10,Notas!$A:$A,C$4)-'Premissas DRE'!$C$6*SUMIFS(Notas!$AB:$AB,Notas!$C:$C,"Frete",Notas!$D:$D,"Frete de venda (para clientes)",Notas!$E:$E,"2.02.93*",Notas!$U:$U,'Premissas DRE'!$C$10,Notas!$A:$A,C$4)-'Premissas DRE'!$C$7*SUMIFS(Notas!$AD:$AD,Notas!$C:$C,"Frete",Notas!$D:$D,"Frete de venda (para clientes)",Notas!$E:$E,"2.02.93*",Notas!$U:$U,'Premissas DRE'!$C$10,Notas!$A:$A,C$4)-'Premissas DRE'!$C$7*SUMIFS(Notas!$AE:$AE,Notas!$C:$C,"Frete",Notas!$D:$D,"Frete de venda (para clientes)",Notas!$E:$E,"2.02.93*",Notas!$U:$U,'Premissas DRE'!$C$10,Notas!$A:$A,C$4)</f>
        <v/>
      </c>
      <c r="D45" s="68">
        <f>SUMIFS(Notas!$W:$W,Notas!$C:$C,"Frete",Notas!$D:$D,"Frete de venda (para clientes)",Notas!$E:$E,"2.02.93*",Notas!$U:$U,'Premissas DRE'!$C$10,Notas!$A:$A,D$4)-'Premissas DRE'!$C$8*SUMIFS(Notas!$AA:$AA,Notas!$C:$C,"Frete",Notas!$D:$D,"Frete de venda (para clientes)",Notas!$E:$E,"2.02.93*",Notas!$U:$U,'Premissas DRE'!$C$10,Notas!$A:$A,D$4)-'Premissas DRE'!$C$6*SUMIFS(Notas!$AB:$AB,Notas!$C:$C,"Frete",Notas!$D:$D,"Frete de venda (para clientes)",Notas!$E:$E,"2.02.93*",Notas!$U:$U,'Premissas DRE'!$C$10,Notas!$A:$A,D$4)-'Premissas DRE'!$C$7*SUMIFS(Notas!$AD:$AD,Notas!$C:$C,"Frete",Notas!$D:$D,"Frete de venda (para clientes)",Notas!$E:$E,"2.02.93*",Notas!$U:$U,'Premissas DRE'!$C$10,Notas!$A:$A,D$4)-'Premissas DRE'!$C$7*SUMIFS(Notas!$AE:$AE,Notas!$C:$C,"Frete",Notas!$D:$D,"Frete de venda (para clientes)",Notas!$E:$E,"2.02.93*",Notas!$U:$U,'Premissas DRE'!$C$10,Notas!$A:$A,D$4)</f>
        <v/>
      </c>
      <c r="E45" s="68">
        <f>SUMIFS(Notas!$W:$W,Notas!$C:$C,"Frete",Notas!$D:$D,"Frete de venda (para clientes)",Notas!$E:$E,"2.02.93*",Notas!$U:$U,'Premissas DRE'!$C$10,Notas!$A:$A,E$4)-'Premissas DRE'!$C$8*SUMIFS(Notas!$AA:$AA,Notas!$C:$C,"Frete",Notas!$D:$D,"Frete de venda (para clientes)",Notas!$E:$E,"2.02.93*",Notas!$U:$U,'Premissas DRE'!$C$10,Notas!$A:$A,E$4)-'Premissas DRE'!$C$6*SUMIFS(Notas!$AB:$AB,Notas!$C:$C,"Frete",Notas!$D:$D,"Frete de venda (para clientes)",Notas!$E:$E,"2.02.93*",Notas!$U:$U,'Premissas DRE'!$C$10,Notas!$A:$A,E$4)-'Premissas DRE'!$C$7*SUMIFS(Notas!$AD:$AD,Notas!$C:$C,"Frete",Notas!$D:$D,"Frete de venda (para clientes)",Notas!$E:$E,"2.02.93*",Notas!$U:$U,'Premissas DRE'!$C$10,Notas!$A:$A,E$4)-'Premissas DRE'!$C$7*SUMIFS(Notas!$AE:$AE,Notas!$C:$C,"Frete",Notas!$D:$D,"Frete de venda (para clientes)",Notas!$E:$E,"2.02.93*",Notas!$U:$U,'Premissas DRE'!$C$10,Notas!$A:$A,E$4)</f>
        <v/>
      </c>
      <c r="F45" s="68">
        <f>SUMIFS(Notas!$W:$W,Notas!$C:$C,"Frete",Notas!$D:$D,"Frete de venda (para clientes)",Notas!$E:$E,"2.02.93*",Notas!$U:$U,'Premissas DRE'!$C$10,Notas!$A:$A,F$4)-'Premissas DRE'!$C$8*SUMIFS(Notas!$AA:$AA,Notas!$C:$C,"Frete",Notas!$D:$D,"Frete de venda (para clientes)",Notas!$E:$E,"2.02.93*",Notas!$U:$U,'Premissas DRE'!$C$10,Notas!$A:$A,F$4)-'Premissas DRE'!$C$6*SUMIFS(Notas!$AB:$AB,Notas!$C:$C,"Frete",Notas!$D:$D,"Frete de venda (para clientes)",Notas!$E:$E,"2.02.93*",Notas!$U:$U,'Premissas DRE'!$C$10,Notas!$A:$A,F$4)-'Premissas DRE'!$C$7*SUMIFS(Notas!$AD:$AD,Notas!$C:$C,"Frete",Notas!$D:$D,"Frete de venda (para clientes)",Notas!$E:$E,"2.02.93*",Notas!$U:$U,'Premissas DRE'!$C$10,Notas!$A:$A,F$4)-'Premissas DRE'!$C$7*SUMIFS(Notas!$AE:$AE,Notas!$C:$C,"Frete",Notas!$D:$D,"Frete de venda (para clientes)",Notas!$E:$E,"2.02.93*",Notas!$U:$U,'Premissas DRE'!$C$10,Notas!$A:$A,F$4)</f>
        <v/>
      </c>
      <c r="G45" s="68">
        <f>SUMIFS(Notas!$W:$W,Notas!$C:$C,"Frete",Notas!$D:$D,"Frete de venda (para clientes)",Notas!$E:$E,"2.02.93*",Notas!$U:$U,'Premissas DRE'!$C$10,Notas!$A:$A,G$4)-'Premissas DRE'!$C$8*SUMIFS(Notas!$AA:$AA,Notas!$C:$C,"Frete",Notas!$D:$D,"Frete de venda (para clientes)",Notas!$E:$E,"2.02.93*",Notas!$U:$U,'Premissas DRE'!$C$10,Notas!$A:$A,G$4)-'Premissas DRE'!$C$6*SUMIFS(Notas!$AB:$AB,Notas!$C:$C,"Frete",Notas!$D:$D,"Frete de venda (para clientes)",Notas!$E:$E,"2.02.93*",Notas!$U:$U,'Premissas DRE'!$C$10,Notas!$A:$A,G$4)-'Premissas DRE'!$C$7*SUMIFS(Notas!$AD:$AD,Notas!$C:$C,"Frete",Notas!$D:$D,"Frete de venda (para clientes)",Notas!$E:$E,"2.02.93*",Notas!$U:$U,'Premissas DRE'!$C$10,Notas!$A:$A,G$4)-'Premissas DRE'!$C$7*SUMIFS(Notas!$AE:$AE,Notas!$C:$C,"Frete",Notas!$D:$D,"Frete de venda (para clientes)",Notas!$E:$E,"2.02.93*",Notas!$U:$U,'Premissas DRE'!$C$10,Notas!$A:$A,G$4)</f>
        <v/>
      </c>
      <c r="H45" s="68">
        <f>SUMIFS(Notas!$W:$W,Notas!$C:$C,"Frete",Notas!$D:$D,"Frete de venda (para clientes)",Notas!$E:$E,"2.02.93*",Notas!$U:$U,'Premissas DRE'!$C$10,Notas!$A:$A,H$4)-'Premissas DRE'!$C$8*SUMIFS(Notas!$AA:$AA,Notas!$C:$C,"Frete",Notas!$D:$D,"Frete de venda (para clientes)",Notas!$E:$E,"2.02.93*",Notas!$U:$U,'Premissas DRE'!$C$10,Notas!$A:$A,H$4)-'Premissas DRE'!$C$6*SUMIFS(Notas!$AB:$AB,Notas!$C:$C,"Frete",Notas!$D:$D,"Frete de venda (para clientes)",Notas!$E:$E,"2.02.93*",Notas!$U:$U,'Premissas DRE'!$C$10,Notas!$A:$A,H$4)-'Premissas DRE'!$C$7*SUMIFS(Notas!$AD:$AD,Notas!$C:$C,"Frete",Notas!$D:$D,"Frete de venda (para clientes)",Notas!$E:$E,"2.02.93*",Notas!$U:$U,'Premissas DRE'!$C$10,Notas!$A:$A,H$4)-'Premissas DRE'!$C$7*SUMIFS(Notas!$AE:$AE,Notas!$C:$C,"Frete",Notas!$D:$D,"Frete de venda (para clientes)",Notas!$E:$E,"2.02.93*",Notas!$U:$U,'Premissas DRE'!$C$10,Notas!$A:$A,H$4)</f>
        <v/>
      </c>
      <c r="I45" s="68">
        <f>SUMIFS(Notas!$W:$W,Notas!$C:$C,"Frete",Notas!$D:$D,"Frete de venda (para clientes)",Notas!$E:$E,"2.02.93*",Notas!$U:$U,'Premissas DRE'!$C$10,Notas!$A:$A,I$4)-'Premissas DRE'!$C$8*SUMIFS(Notas!$AA:$AA,Notas!$C:$C,"Frete",Notas!$D:$D,"Frete de venda (para clientes)",Notas!$E:$E,"2.02.93*",Notas!$U:$U,'Premissas DRE'!$C$10,Notas!$A:$A,I$4)-'Premissas DRE'!$C$6*SUMIFS(Notas!$AB:$AB,Notas!$C:$C,"Frete",Notas!$D:$D,"Frete de venda (para clientes)",Notas!$E:$E,"2.02.93*",Notas!$U:$U,'Premissas DRE'!$C$10,Notas!$A:$A,I$4)-'Premissas DRE'!$C$7*SUMIFS(Notas!$AD:$AD,Notas!$C:$C,"Frete",Notas!$D:$D,"Frete de venda (para clientes)",Notas!$E:$E,"2.02.93*",Notas!$U:$U,'Premissas DRE'!$C$10,Notas!$A:$A,I$4)-'Premissas DRE'!$C$7*SUMIFS(Notas!$AE:$AE,Notas!$C:$C,"Frete",Notas!$D:$D,"Frete de venda (para clientes)",Notas!$E:$E,"2.02.93*",Notas!$U:$U,'Premissas DRE'!$C$10,Notas!$A:$A,I$4)</f>
        <v/>
      </c>
      <c r="J45" s="68">
        <f>SUMIFS(Notas!$W:$W,Notas!$C:$C,"Frete",Notas!$D:$D,"Frete de venda (para clientes)",Notas!$E:$E,"2.02.93*",Notas!$U:$U,'Premissas DRE'!$C$10,Notas!$A:$A,J$4)-'Premissas DRE'!$C$8*SUMIFS(Notas!$AA:$AA,Notas!$C:$C,"Frete",Notas!$D:$D,"Frete de venda (para clientes)",Notas!$E:$E,"2.02.93*",Notas!$U:$U,'Premissas DRE'!$C$10,Notas!$A:$A,J$4)-'Premissas DRE'!$C$6*SUMIFS(Notas!$AB:$AB,Notas!$C:$C,"Frete",Notas!$D:$D,"Frete de venda (para clientes)",Notas!$E:$E,"2.02.93*",Notas!$U:$U,'Premissas DRE'!$C$10,Notas!$A:$A,J$4)-'Premissas DRE'!$C$7*SUMIFS(Notas!$AD:$AD,Notas!$C:$C,"Frete",Notas!$D:$D,"Frete de venda (para clientes)",Notas!$E:$E,"2.02.93*",Notas!$U:$U,'Premissas DRE'!$C$10,Notas!$A:$A,J$4)-'Premissas DRE'!$C$7*SUMIFS(Notas!$AE:$AE,Notas!$C:$C,"Frete",Notas!$D:$D,"Frete de venda (para clientes)",Notas!$E:$E,"2.02.93*",Notas!$U:$U,'Premissas DRE'!$C$10,Notas!$A:$A,J$4)</f>
        <v/>
      </c>
      <c r="K45" s="68">
        <f>SUMIFS(Notas!$W:$W,Notas!$C:$C,"Frete",Notas!$D:$D,"Frete de venda (para clientes)",Notas!$E:$E,"2.02.93*",Notas!$U:$U,'Premissas DRE'!$C$10,Notas!$A:$A,K$4)-'Premissas DRE'!$C$8*SUMIFS(Notas!$AA:$AA,Notas!$C:$C,"Frete",Notas!$D:$D,"Frete de venda (para clientes)",Notas!$E:$E,"2.02.93*",Notas!$U:$U,'Premissas DRE'!$C$10,Notas!$A:$A,K$4)-'Premissas DRE'!$C$6*SUMIFS(Notas!$AB:$AB,Notas!$C:$C,"Frete",Notas!$D:$D,"Frete de venda (para clientes)",Notas!$E:$E,"2.02.93*",Notas!$U:$U,'Premissas DRE'!$C$10,Notas!$A:$A,K$4)-'Premissas DRE'!$C$7*SUMIFS(Notas!$AD:$AD,Notas!$C:$C,"Frete",Notas!$D:$D,"Frete de venda (para clientes)",Notas!$E:$E,"2.02.93*",Notas!$U:$U,'Premissas DRE'!$C$10,Notas!$A:$A,K$4)-'Premissas DRE'!$C$7*SUMIFS(Notas!$AE:$AE,Notas!$C:$C,"Frete",Notas!$D:$D,"Frete de venda (para clientes)",Notas!$E:$E,"2.02.93*",Notas!$U:$U,'Premissas DRE'!$C$10,Notas!$A:$A,K$4)</f>
        <v/>
      </c>
      <c r="L45" s="68">
        <f>SUM(C45:K45)</f>
        <v/>
      </c>
    </row>
    <row r="46">
      <c r="A46" s="58" t="inlineStr">
        <is>
          <t>TOTAL DESPESAS COMERCIAIS</t>
        </is>
      </c>
      <c r="B46" s="58" t="inlineStr"/>
      <c r="C46" s="70">
        <f>C41+C42+C43+C44+C45</f>
        <v/>
      </c>
      <c r="D46" s="70">
        <f>D41+D42+D43+D44+D45</f>
        <v/>
      </c>
      <c r="E46" s="70">
        <f>E41+E42+E43+E44+E45</f>
        <v/>
      </c>
      <c r="F46" s="70">
        <f>F41+F42+F43+F44+F45</f>
        <v/>
      </c>
      <c r="G46" s="70">
        <f>G41+G42+G43+G44+G45</f>
        <v/>
      </c>
      <c r="H46" s="70">
        <f>H41+H42+H43+H44+H45</f>
        <v/>
      </c>
      <c r="I46" s="70">
        <f>I41+I42+I43+I44+I45</f>
        <v/>
      </c>
      <c r="J46" s="70">
        <f>J41+J42+J43+J44+J45</f>
        <v/>
      </c>
      <c r="K46" s="70">
        <f>K41+K42+K43+K44+K45</f>
        <v/>
      </c>
      <c r="L46" s="70">
        <f>SUM(C46:K46)</f>
        <v/>
      </c>
    </row>
    <row r="47">
      <c r="A47" s="52" t="inlineStr">
        <is>
          <t>DESPESAS COM PESSOAL</t>
        </is>
      </c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</row>
    <row r="48">
      <c r="A48" s="53" t="inlineStr">
        <is>
          <t>EndoMarketing</t>
        </is>
      </c>
      <c r="B48" s="48" t="inlineStr">
        <is>
          <t>NF-e · 2.03.02</t>
        </is>
      </c>
      <c r="C48" s="68">
        <f>SUMIFS(Notas!$W:$W,Notas!$C:$C,"NF-e",Notas!$E:$E,"2.03.02*",Notas!$U:$U,'Premissas DRE'!$C$10,Notas!$A:$A,C$4)-'Premissas DRE'!$C$8*SUMIFS(Notas!$AA:$AA,Notas!$C:$C,"NF-e",Notas!$E:$E,"2.03.02*",Notas!$U:$U,'Premissas DRE'!$C$10,Notas!$A:$A,C$4)-'Premissas DRE'!$C$6*SUMIFS(Notas!$AB:$AB,Notas!$C:$C,"NF-e",Notas!$E:$E,"2.03.02*",Notas!$U:$U,'Premissas DRE'!$C$10,Notas!$A:$A,C$4)-'Premissas DRE'!$C$7*SUMIFS(Notas!$AD:$AD,Notas!$C:$C,"NF-e",Notas!$E:$E,"2.03.02*",Notas!$U:$U,'Premissas DRE'!$C$10,Notas!$A:$A,C$4)-'Premissas DRE'!$C$7*SUMIFS(Notas!$AE:$AE,Notas!$C:$C,"NF-e",Notas!$E:$E,"2.03.02*",Notas!$U:$U,'Premissas DRE'!$C$10,Notas!$A:$A,C$4)</f>
        <v/>
      </c>
      <c r="D48" s="68">
        <f>SUMIFS(Notas!$W:$W,Notas!$C:$C,"NF-e",Notas!$E:$E,"2.03.02*",Notas!$U:$U,'Premissas DRE'!$C$10,Notas!$A:$A,D$4)-'Premissas DRE'!$C$8*SUMIFS(Notas!$AA:$AA,Notas!$C:$C,"NF-e",Notas!$E:$E,"2.03.02*",Notas!$U:$U,'Premissas DRE'!$C$10,Notas!$A:$A,D$4)-'Premissas DRE'!$C$6*SUMIFS(Notas!$AB:$AB,Notas!$C:$C,"NF-e",Notas!$E:$E,"2.03.02*",Notas!$U:$U,'Premissas DRE'!$C$10,Notas!$A:$A,D$4)-'Premissas DRE'!$C$7*SUMIFS(Notas!$AD:$AD,Notas!$C:$C,"NF-e",Notas!$E:$E,"2.03.02*",Notas!$U:$U,'Premissas DRE'!$C$10,Notas!$A:$A,D$4)-'Premissas DRE'!$C$7*SUMIFS(Notas!$AE:$AE,Notas!$C:$C,"NF-e",Notas!$E:$E,"2.03.02*",Notas!$U:$U,'Premissas DRE'!$C$10,Notas!$A:$A,D$4)</f>
        <v/>
      </c>
      <c r="E48" s="68">
        <f>SUMIFS(Notas!$W:$W,Notas!$C:$C,"NF-e",Notas!$E:$E,"2.03.02*",Notas!$U:$U,'Premissas DRE'!$C$10,Notas!$A:$A,E$4)-'Premissas DRE'!$C$8*SUMIFS(Notas!$AA:$AA,Notas!$C:$C,"NF-e",Notas!$E:$E,"2.03.02*",Notas!$U:$U,'Premissas DRE'!$C$10,Notas!$A:$A,E$4)-'Premissas DRE'!$C$6*SUMIFS(Notas!$AB:$AB,Notas!$C:$C,"NF-e",Notas!$E:$E,"2.03.02*",Notas!$U:$U,'Premissas DRE'!$C$10,Notas!$A:$A,E$4)-'Premissas DRE'!$C$7*SUMIFS(Notas!$AD:$AD,Notas!$C:$C,"NF-e",Notas!$E:$E,"2.03.02*",Notas!$U:$U,'Premissas DRE'!$C$10,Notas!$A:$A,E$4)-'Premissas DRE'!$C$7*SUMIFS(Notas!$AE:$AE,Notas!$C:$C,"NF-e",Notas!$E:$E,"2.03.02*",Notas!$U:$U,'Premissas DRE'!$C$10,Notas!$A:$A,E$4)</f>
        <v/>
      </c>
      <c r="F48" s="68">
        <f>SUMIFS(Notas!$W:$W,Notas!$C:$C,"NF-e",Notas!$E:$E,"2.03.02*",Notas!$U:$U,'Premissas DRE'!$C$10,Notas!$A:$A,F$4)-'Premissas DRE'!$C$8*SUMIFS(Notas!$AA:$AA,Notas!$C:$C,"NF-e",Notas!$E:$E,"2.03.02*",Notas!$U:$U,'Premissas DRE'!$C$10,Notas!$A:$A,F$4)-'Premissas DRE'!$C$6*SUMIFS(Notas!$AB:$AB,Notas!$C:$C,"NF-e",Notas!$E:$E,"2.03.02*",Notas!$U:$U,'Premissas DRE'!$C$10,Notas!$A:$A,F$4)-'Premissas DRE'!$C$7*SUMIFS(Notas!$AD:$AD,Notas!$C:$C,"NF-e",Notas!$E:$E,"2.03.02*",Notas!$U:$U,'Premissas DRE'!$C$10,Notas!$A:$A,F$4)-'Premissas DRE'!$C$7*SUMIFS(Notas!$AE:$AE,Notas!$C:$C,"NF-e",Notas!$E:$E,"2.03.02*",Notas!$U:$U,'Premissas DRE'!$C$10,Notas!$A:$A,F$4)</f>
        <v/>
      </c>
      <c r="G48" s="68">
        <f>SUMIFS(Notas!$W:$W,Notas!$C:$C,"NF-e",Notas!$E:$E,"2.03.02*",Notas!$U:$U,'Premissas DRE'!$C$10,Notas!$A:$A,G$4)-'Premissas DRE'!$C$8*SUMIFS(Notas!$AA:$AA,Notas!$C:$C,"NF-e",Notas!$E:$E,"2.03.02*",Notas!$U:$U,'Premissas DRE'!$C$10,Notas!$A:$A,G$4)-'Premissas DRE'!$C$6*SUMIFS(Notas!$AB:$AB,Notas!$C:$C,"NF-e",Notas!$E:$E,"2.03.02*",Notas!$U:$U,'Premissas DRE'!$C$10,Notas!$A:$A,G$4)-'Premissas DRE'!$C$7*SUMIFS(Notas!$AD:$AD,Notas!$C:$C,"NF-e",Notas!$E:$E,"2.03.02*",Notas!$U:$U,'Premissas DRE'!$C$10,Notas!$A:$A,G$4)-'Premissas DRE'!$C$7*SUMIFS(Notas!$AE:$AE,Notas!$C:$C,"NF-e",Notas!$E:$E,"2.03.02*",Notas!$U:$U,'Premissas DRE'!$C$10,Notas!$A:$A,G$4)</f>
        <v/>
      </c>
      <c r="H48" s="68">
        <f>SUMIFS(Notas!$W:$W,Notas!$C:$C,"NF-e",Notas!$E:$E,"2.03.02*",Notas!$U:$U,'Premissas DRE'!$C$10,Notas!$A:$A,H$4)-'Premissas DRE'!$C$8*SUMIFS(Notas!$AA:$AA,Notas!$C:$C,"NF-e",Notas!$E:$E,"2.03.02*",Notas!$U:$U,'Premissas DRE'!$C$10,Notas!$A:$A,H$4)-'Premissas DRE'!$C$6*SUMIFS(Notas!$AB:$AB,Notas!$C:$C,"NF-e",Notas!$E:$E,"2.03.02*",Notas!$U:$U,'Premissas DRE'!$C$10,Notas!$A:$A,H$4)-'Premissas DRE'!$C$7*SUMIFS(Notas!$AD:$AD,Notas!$C:$C,"NF-e",Notas!$E:$E,"2.03.02*",Notas!$U:$U,'Premissas DRE'!$C$10,Notas!$A:$A,H$4)-'Premissas DRE'!$C$7*SUMIFS(Notas!$AE:$AE,Notas!$C:$C,"NF-e",Notas!$E:$E,"2.03.02*",Notas!$U:$U,'Premissas DRE'!$C$10,Notas!$A:$A,H$4)</f>
        <v/>
      </c>
      <c r="I48" s="68">
        <f>SUMIFS(Notas!$W:$W,Notas!$C:$C,"NF-e",Notas!$E:$E,"2.03.02*",Notas!$U:$U,'Premissas DRE'!$C$10,Notas!$A:$A,I$4)-'Premissas DRE'!$C$8*SUMIFS(Notas!$AA:$AA,Notas!$C:$C,"NF-e",Notas!$E:$E,"2.03.02*",Notas!$U:$U,'Premissas DRE'!$C$10,Notas!$A:$A,I$4)-'Premissas DRE'!$C$6*SUMIFS(Notas!$AB:$AB,Notas!$C:$C,"NF-e",Notas!$E:$E,"2.03.02*",Notas!$U:$U,'Premissas DRE'!$C$10,Notas!$A:$A,I$4)-'Premissas DRE'!$C$7*SUMIFS(Notas!$AD:$AD,Notas!$C:$C,"NF-e",Notas!$E:$E,"2.03.02*",Notas!$U:$U,'Premissas DRE'!$C$10,Notas!$A:$A,I$4)-'Premissas DRE'!$C$7*SUMIFS(Notas!$AE:$AE,Notas!$C:$C,"NF-e",Notas!$E:$E,"2.03.02*",Notas!$U:$U,'Premissas DRE'!$C$10,Notas!$A:$A,I$4)</f>
        <v/>
      </c>
      <c r="J48" s="68">
        <f>SUMIFS(Notas!$W:$W,Notas!$C:$C,"NF-e",Notas!$E:$E,"2.03.02*",Notas!$U:$U,'Premissas DRE'!$C$10,Notas!$A:$A,J$4)-'Premissas DRE'!$C$8*SUMIFS(Notas!$AA:$AA,Notas!$C:$C,"NF-e",Notas!$E:$E,"2.03.02*",Notas!$U:$U,'Premissas DRE'!$C$10,Notas!$A:$A,J$4)-'Premissas DRE'!$C$6*SUMIFS(Notas!$AB:$AB,Notas!$C:$C,"NF-e",Notas!$E:$E,"2.03.02*",Notas!$U:$U,'Premissas DRE'!$C$10,Notas!$A:$A,J$4)-'Premissas DRE'!$C$7*SUMIFS(Notas!$AD:$AD,Notas!$C:$C,"NF-e",Notas!$E:$E,"2.03.02*",Notas!$U:$U,'Premissas DRE'!$C$10,Notas!$A:$A,J$4)-'Premissas DRE'!$C$7*SUMIFS(Notas!$AE:$AE,Notas!$C:$C,"NF-e",Notas!$E:$E,"2.03.02*",Notas!$U:$U,'Premissas DRE'!$C$10,Notas!$A:$A,J$4)</f>
        <v/>
      </c>
      <c r="K48" s="68">
        <f>SUMIFS(Notas!$W:$W,Notas!$C:$C,"NF-e",Notas!$E:$E,"2.03.02*",Notas!$U:$U,'Premissas DRE'!$C$10,Notas!$A:$A,K$4)-'Premissas DRE'!$C$8*SUMIFS(Notas!$AA:$AA,Notas!$C:$C,"NF-e",Notas!$E:$E,"2.03.02*",Notas!$U:$U,'Premissas DRE'!$C$10,Notas!$A:$A,K$4)-'Premissas DRE'!$C$6*SUMIFS(Notas!$AB:$AB,Notas!$C:$C,"NF-e",Notas!$E:$E,"2.03.02*",Notas!$U:$U,'Premissas DRE'!$C$10,Notas!$A:$A,K$4)-'Premissas DRE'!$C$7*SUMIFS(Notas!$AD:$AD,Notas!$C:$C,"NF-e",Notas!$E:$E,"2.03.02*",Notas!$U:$U,'Premissas DRE'!$C$10,Notas!$A:$A,K$4)-'Premissas DRE'!$C$7*SUMIFS(Notas!$AE:$AE,Notas!$C:$C,"NF-e",Notas!$E:$E,"2.03.02*",Notas!$U:$U,'Premissas DRE'!$C$10,Notas!$A:$A,K$4)</f>
        <v/>
      </c>
      <c r="L48" s="68">
        <f>SUM(C48:K48)</f>
        <v/>
      </c>
    </row>
    <row r="49">
      <c r="A49" s="53" t="inlineStr">
        <is>
          <t>Fardamento</t>
        </is>
      </c>
      <c r="B49" s="48" t="inlineStr">
        <is>
          <t>NF-e · 2.03.88</t>
        </is>
      </c>
      <c r="C49" s="68">
        <f>SUMIFS(Notas!$W:$W,Notas!$C:$C,"NF-e",Notas!$E:$E,"2.03.88*",Notas!$U:$U,'Premissas DRE'!$C$10,Notas!$A:$A,C$4)-'Premissas DRE'!$C$8*SUMIFS(Notas!$AA:$AA,Notas!$C:$C,"NF-e",Notas!$E:$E,"2.03.88*",Notas!$U:$U,'Premissas DRE'!$C$10,Notas!$A:$A,C$4)-'Premissas DRE'!$C$6*SUMIFS(Notas!$AB:$AB,Notas!$C:$C,"NF-e",Notas!$E:$E,"2.03.88*",Notas!$U:$U,'Premissas DRE'!$C$10,Notas!$A:$A,C$4)-'Premissas DRE'!$C$7*SUMIFS(Notas!$AD:$AD,Notas!$C:$C,"NF-e",Notas!$E:$E,"2.03.88*",Notas!$U:$U,'Premissas DRE'!$C$10,Notas!$A:$A,C$4)-'Premissas DRE'!$C$7*SUMIFS(Notas!$AE:$AE,Notas!$C:$C,"NF-e",Notas!$E:$E,"2.03.88*",Notas!$U:$U,'Premissas DRE'!$C$10,Notas!$A:$A,C$4)</f>
        <v/>
      </c>
      <c r="D49" s="68">
        <f>SUMIFS(Notas!$W:$W,Notas!$C:$C,"NF-e",Notas!$E:$E,"2.03.88*",Notas!$U:$U,'Premissas DRE'!$C$10,Notas!$A:$A,D$4)-'Premissas DRE'!$C$8*SUMIFS(Notas!$AA:$AA,Notas!$C:$C,"NF-e",Notas!$E:$E,"2.03.88*",Notas!$U:$U,'Premissas DRE'!$C$10,Notas!$A:$A,D$4)-'Premissas DRE'!$C$6*SUMIFS(Notas!$AB:$AB,Notas!$C:$C,"NF-e",Notas!$E:$E,"2.03.88*",Notas!$U:$U,'Premissas DRE'!$C$10,Notas!$A:$A,D$4)-'Premissas DRE'!$C$7*SUMIFS(Notas!$AD:$AD,Notas!$C:$C,"NF-e",Notas!$E:$E,"2.03.88*",Notas!$U:$U,'Premissas DRE'!$C$10,Notas!$A:$A,D$4)-'Premissas DRE'!$C$7*SUMIFS(Notas!$AE:$AE,Notas!$C:$C,"NF-e",Notas!$E:$E,"2.03.88*",Notas!$U:$U,'Premissas DRE'!$C$10,Notas!$A:$A,D$4)</f>
        <v/>
      </c>
      <c r="E49" s="68">
        <f>SUMIFS(Notas!$W:$W,Notas!$C:$C,"NF-e",Notas!$E:$E,"2.03.88*",Notas!$U:$U,'Premissas DRE'!$C$10,Notas!$A:$A,E$4)-'Premissas DRE'!$C$8*SUMIFS(Notas!$AA:$AA,Notas!$C:$C,"NF-e",Notas!$E:$E,"2.03.88*",Notas!$U:$U,'Premissas DRE'!$C$10,Notas!$A:$A,E$4)-'Premissas DRE'!$C$6*SUMIFS(Notas!$AB:$AB,Notas!$C:$C,"NF-e",Notas!$E:$E,"2.03.88*",Notas!$U:$U,'Premissas DRE'!$C$10,Notas!$A:$A,E$4)-'Premissas DRE'!$C$7*SUMIFS(Notas!$AD:$AD,Notas!$C:$C,"NF-e",Notas!$E:$E,"2.03.88*",Notas!$U:$U,'Premissas DRE'!$C$10,Notas!$A:$A,E$4)-'Premissas DRE'!$C$7*SUMIFS(Notas!$AE:$AE,Notas!$C:$C,"NF-e",Notas!$E:$E,"2.03.88*",Notas!$U:$U,'Premissas DRE'!$C$10,Notas!$A:$A,E$4)</f>
        <v/>
      </c>
      <c r="F49" s="68">
        <f>SUMIFS(Notas!$W:$W,Notas!$C:$C,"NF-e",Notas!$E:$E,"2.03.88*",Notas!$U:$U,'Premissas DRE'!$C$10,Notas!$A:$A,F$4)-'Premissas DRE'!$C$8*SUMIFS(Notas!$AA:$AA,Notas!$C:$C,"NF-e",Notas!$E:$E,"2.03.88*",Notas!$U:$U,'Premissas DRE'!$C$10,Notas!$A:$A,F$4)-'Premissas DRE'!$C$6*SUMIFS(Notas!$AB:$AB,Notas!$C:$C,"NF-e",Notas!$E:$E,"2.03.88*",Notas!$U:$U,'Premissas DRE'!$C$10,Notas!$A:$A,F$4)-'Premissas DRE'!$C$7*SUMIFS(Notas!$AD:$AD,Notas!$C:$C,"NF-e",Notas!$E:$E,"2.03.88*",Notas!$U:$U,'Premissas DRE'!$C$10,Notas!$A:$A,F$4)-'Premissas DRE'!$C$7*SUMIFS(Notas!$AE:$AE,Notas!$C:$C,"NF-e",Notas!$E:$E,"2.03.88*",Notas!$U:$U,'Premissas DRE'!$C$10,Notas!$A:$A,F$4)</f>
        <v/>
      </c>
      <c r="G49" s="68">
        <f>SUMIFS(Notas!$W:$W,Notas!$C:$C,"NF-e",Notas!$E:$E,"2.03.88*",Notas!$U:$U,'Premissas DRE'!$C$10,Notas!$A:$A,G$4)-'Premissas DRE'!$C$8*SUMIFS(Notas!$AA:$AA,Notas!$C:$C,"NF-e",Notas!$E:$E,"2.03.88*",Notas!$U:$U,'Premissas DRE'!$C$10,Notas!$A:$A,G$4)-'Premissas DRE'!$C$6*SUMIFS(Notas!$AB:$AB,Notas!$C:$C,"NF-e",Notas!$E:$E,"2.03.88*",Notas!$U:$U,'Premissas DRE'!$C$10,Notas!$A:$A,G$4)-'Premissas DRE'!$C$7*SUMIFS(Notas!$AD:$AD,Notas!$C:$C,"NF-e",Notas!$E:$E,"2.03.88*",Notas!$U:$U,'Premissas DRE'!$C$10,Notas!$A:$A,G$4)-'Premissas DRE'!$C$7*SUMIFS(Notas!$AE:$AE,Notas!$C:$C,"NF-e",Notas!$E:$E,"2.03.88*",Notas!$U:$U,'Premissas DRE'!$C$10,Notas!$A:$A,G$4)</f>
        <v/>
      </c>
      <c r="H49" s="68">
        <f>SUMIFS(Notas!$W:$W,Notas!$C:$C,"NF-e",Notas!$E:$E,"2.03.88*",Notas!$U:$U,'Premissas DRE'!$C$10,Notas!$A:$A,H$4)-'Premissas DRE'!$C$8*SUMIFS(Notas!$AA:$AA,Notas!$C:$C,"NF-e",Notas!$E:$E,"2.03.88*",Notas!$U:$U,'Premissas DRE'!$C$10,Notas!$A:$A,H$4)-'Premissas DRE'!$C$6*SUMIFS(Notas!$AB:$AB,Notas!$C:$C,"NF-e",Notas!$E:$E,"2.03.88*",Notas!$U:$U,'Premissas DRE'!$C$10,Notas!$A:$A,H$4)-'Premissas DRE'!$C$7*SUMIFS(Notas!$AD:$AD,Notas!$C:$C,"NF-e",Notas!$E:$E,"2.03.88*",Notas!$U:$U,'Premissas DRE'!$C$10,Notas!$A:$A,H$4)-'Premissas DRE'!$C$7*SUMIFS(Notas!$AE:$AE,Notas!$C:$C,"NF-e",Notas!$E:$E,"2.03.88*",Notas!$U:$U,'Premissas DRE'!$C$10,Notas!$A:$A,H$4)</f>
        <v/>
      </c>
      <c r="I49" s="68">
        <f>SUMIFS(Notas!$W:$W,Notas!$C:$C,"NF-e",Notas!$E:$E,"2.03.88*",Notas!$U:$U,'Premissas DRE'!$C$10,Notas!$A:$A,I$4)-'Premissas DRE'!$C$8*SUMIFS(Notas!$AA:$AA,Notas!$C:$C,"NF-e",Notas!$E:$E,"2.03.88*",Notas!$U:$U,'Premissas DRE'!$C$10,Notas!$A:$A,I$4)-'Premissas DRE'!$C$6*SUMIFS(Notas!$AB:$AB,Notas!$C:$C,"NF-e",Notas!$E:$E,"2.03.88*",Notas!$U:$U,'Premissas DRE'!$C$10,Notas!$A:$A,I$4)-'Premissas DRE'!$C$7*SUMIFS(Notas!$AD:$AD,Notas!$C:$C,"NF-e",Notas!$E:$E,"2.03.88*",Notas!$U:$U,'Premissas DRE'!$C$10,Notas!$A:$A,I$4)-'Premissas DRE'!$C$7*SUMIFS(Notas!$AE:$AE,Notas!$C:$C,"NF-e",Notas!$E:$E,"2.03.88*",Notas!$U:$U,'Premissas DRE'!$C$10,Notas!$A:$A,I$4)</f>
        <v/>
      </c>
      <c r="J49" s="68">
        <f>SUMIFS(Notas!$W:$W,Notas!$C:$C,"NF-e",Notas!$E:$E,"2.03.88*",Notas!$U:$U,'Premissas DRE'!$C$10,Notas!$A:$A,J$4)-'Premissas DRE'!$C$8*SUMIFS(Notas!$AA:$AA,Notas!$C:$C,"NF-e",Notas!$E:$E,"2.03.88*",Notas!$U:$U,'Premissas DRE'!$C$10,Notas!$A:$A,J$4)-'Premissas DRE'!$C$6*SUMIFS(Notas!$AB:$AB,Notas!$C:$C,"NF-e",Notas!$E:$E,"2.03.88*",Notas!$U:$U,'Premissas DRE'!$C$10,Notas!$A:$A,J$4)-'Premissas DRE'!$C$7*SUMIFS(Notas!$AD:$AD,Notas!$C:$C,"NF-e",Notas!$E:$E,"2.03.88*",Notas!$U:$U,'Premissas DRE'!$C$10,Notas!$A:$A,J$4)-'Premissas DRE'!$C$7*SUMIFS(Notas!$AE:$AE,Notas!$C:$C,"NF-e",Notas!$E:$E,"2.03.88*",Notas!$U:$U,'Premissas DRE'!$C$10,Notas!$A:$A,J$4)</f>
        <v/>
      </c>
      <c r="K49" s="68">
        <f>SUMIFS(Notas!$W:$W,Notas!$C:$C,"NF-e",Notas!$E:$E,"2.03.88*",Notas!$U:$U,'Premissas DRE'!$C$10,Notas!$A:$A,K$4)-'Premissas DRE'!$C$8*SUMIFS(Notas!$AA:$AA,Notas!$C:$C,"NF-e",Notas!$E:$E,"2.03.88*",Notas!$U:$U,'Premissas DRE'!$C$10,Notas!$A:$A,K$4)-'Premissas DRE'!$C$6*SUMIFS(Notas!$AB:$AB,Notas!$C:$C,"NF-e",Notas!$E:$E,"2.03.88*",Notas!$U:$U,'Premissas DRE'!$C$10,Notas!$A:$A,K$4)-'Premissas DRE'!$C$7*SUMIFS(Notas!$AD:$AD,Notas!$C:$C,"NF-e",Notas!$E:$E,"2.03.88*",Notas!$U:$U,'Premissas DRE'!$C$10,Notas!$A:$A,K$4)-'Premissas DRE'!$C$7*SUMIFS(Notas!$AE:$AE,Notas!$C:$C,"NF-e",Notas!$E:$E,"2.03.88*",Notas!$U:$U,'Premissas DRE'!$C$10,Notas!$A:$A,K$4)</f>
        <v/>
      </c>
      <c r="L49" s="68">
        <f>SUM(C49:K49)</f>
        <v/>
      </c>
    </row>
    <row r="50">
      <c r="A50" s="53" t="inlineStr">
        <is>
          <t>EPI</t>
        </is>
      </c>
      <c r="B50" s="48" t="inlineStr">
        <is>
          <t>NF-e · 2.03.90</t>
        </is>
      </c>
      <c r="C50" s="68">
        <f>SUMIFS(Notas!$W:$W,Notas!$C:$C,"NF-e",Notas!$E:$E,"2.03.90*",Notas!$U:$U,'Premissas DRE'!$C$10,Notas!$A:$A,C$4)-'Premissas DRE'!$C$8*SUMIFS(Notas!$AA:$AA,Notas!$C:$C,"NF-e",Notas!$E:$E,"2.03.90*",Notas!$U:$U,'Premissas DRE'!$C$10,Notas!$A:$A,C$4)-'Premissas DRE'!$C$6*SUMIFS(Notas!$AB:$AB,Notas!$C:$C,"NF-e",Notas!$E:$E,"2.03.90*",Notas!$U:$U,'Premissas DRE'!$C$10,Notas!$A:$A,C$4)-'Premissas DRE'!$C$7*SUMIFS(Notas!$AD:$AD,Notas!$C:$C,"NF-e",Notas!$E:$E,"2.03.90*",Notas!$U:$U,'Premissas DRE'!$C$10,Notas!$A:$A,C$4)-'Premissas DRE'!$C$7*SUMIFS(Notas!$AE:$AE,Notas!$C:$C,"NF-e",Notas!$E:$E,"2.03.90*",Notas!$U:$U,'Premissas DRE'!$C$10,Notas!$A:$A,C$4)</f>
        <v/>
      </c>
      <c r="D50" s="68">
        <f>SUMIFS(Notas!$W:$W,Notas!$C:$C,"NF-e",Notas!$E:$E,"2.03.90*",Notas!$U:$U,'Premissas DRE'!$C$10,Notas!$A:$A,D$4)-'Premissas DRE'!$C$8*SUMIFS(Notas!$AA:$AA,Notas!$C:$C,"NF-e",Notas!$E:$E,"2.03.90*",Notas!$U:$U,'Premissas DRE'!$C$10,Notas!$A:$A,D$4)-'Premissas DRE'!$C$6*SUMIFS(Notas!$AB:$AB,Notas!$C:$C,"NF-e",Notas!$E:$E,"2.03.90*",Notas!$U:$U,'Premissas DRE'!$C$10,Notas!$A:$A,D$4)-'Premissas DRE'!$C$7*SUMIFS(Notas!$AD:$AD,Notas!$C:$C,"NF-e",Notas!$E:$E,"2.03.90*",Notas!$U:$U,'Premissas DRE'!$C$10,Notas!$A:$A,D$4)-'Premissas DRE'!$C$7*SUMIFS(Notas!$AE:$AE,Notas!$C:$C,"NF-e",Notas!$E:$E,"2.03.90*",Notas!$U:$U,'Premissas DRE'!$C$10,Notas!$A:$A,D$4)</f>
        <v/>
      </c>
      <c r="E50" s="68">
        <f>SUMIFS(Notas!$W:$W,Notas!$C:$C,"NF-e",Notas!$E:$E,"2.03.90*",Notas!$U:$U,'Premissas DRE'!$C$10,Notas!$A:$A,E$4)-'Premissas DRE'!$C$8*SUMIFS(Notas!$AA:$AA,Notas!$C:$C,"NF-e",Notas!$E:$E,"2.03.90*",Notas!$U:$U,'Premissas DRE'!$C$10,Notas!$A:$A,E$4)-'Premissas DRE'!$C$6*SUMIFS(Notas!$AB:$AB,Notas!$C:$C,"NF-e",Notas!$E:$E,"2.03.90*",Notas!$U:$U,'Premissas DRE'!$C$10,Notas!$A:$A,E$4)-'Premissas DRE'!$C$7*SUMIFS(Notas!$AD:$AD,Notas!$C:$C,"NF-e",Notas!$E:$E,"2.03.90*",Notas!$U:$U,'Premissas DRE'!$C$10,Notas!$A:$A,E$4)-'Premissas DRE'!$C$7*SUMIFS(Notas!$AE:$AE,Notas!$C:$C,"NF-e",Notas!$E:$E,"2.03.90*",Notas!$U:$U,'Premissas DRE'!$C$10,Notas!$A:$A,E$4)</f>
        <v/>
      </c>
      <c r="F50" s="68">
        <f>SUMIFS(Notas!$W:$W,Notas!$C:$C,"NF-e",Notas!$E:$E,"2.03.90*",Notas!$U:$U,'Premissas DRE'!$C$10,Notas!$A:$A,F$4)-'Premissas DRE'!$C$8*SUMIFS(Notas!$AA:$AA,Notas!$C:$C,"NF-e",Notas!$E:$E,"2.03.90*",Notas!$U:$U,'Premissas DRE'!$C$10,Notas!$A:$A,F$4)-'Premissas DRE'!$C$6*SUMIFS(Notas!$AB:$AB,Notas!$C:$C,"NF-e",Notas!$E:$E,"2.03.90*",Notas!$U:$U,'Premissas DRE'!$C$10,Notas!$A:$A,F$4)-'Premissas DRE'!$C$7*SUMIFS(Notas!$AD:$AD,Notas!$C:$C,"NF-e",Notas!$E:$E,"2.03.90*",Notas!$U:$U,'Premissas DRE'!$C$10,Notas!$A:$A,F$4)-'Premissas DRE'!$C$7*SUMIFS(Notas!$AE:$AE,Notas!$C:$C,"NF-e",Notas!$E:$E,"2.03.90*",Notas!$U:$U,'Premissas DRE'!$C$10,Notas!$A:$A,F$4)</f>
        <v/>
      </c>
      <c r="G50" s="68">
        <f>SUMIFS(Notas!$W:$W,Notas!$C:$C,"NF-e",Notas!$E:$E,"2.03.90*",Notas!$U:$U,'Premissas DRE'!$C$10,Notas!$A:$A,G$4)-'Premissas DRE'!$C$8*SUMIFS(Notas!$AA:$AA,Notas!$C:$C,"NF-e",Notas!$E:$E,"2.03.90*",Notas!$U:$U,'Premissas DRE'!$C$10,Notas!$A:$A,G$4)-'Premissas DRE'!$C$6*SUMIFS(Notas!$AB:$AB,Notas!$C:$C,"NF-e",Notas!$E:$E,"2.03.90*",Notas!$U:$U,'Premissas DRE'!$C$10,Notas!$A:$A,G$4)-'Premissas DRE'!$C$7*SUMIFS(Notas!$AD:$AD,Notas!$C:$C,"NF-e",Notas!$E:$E,"2.03.90*",Notas!$U:$U,'Premissas DRE'!$C$10,Notas!$A:$A,G$4)-'Premissas DRE'!$C$7*SUMIFS(Notas!$AE:$AE,Notas!$C:$C,"NF-e",Notas!$E:$E,"2.03.90*",Notas!$U:$U,'Premissas DRE'!$C$10,Notas!$A:$A,G$4)</f>
        <v/>
      </c>
      <c r="H50" s="68">
        <f>SUMIFS(Notas!$W:$W,Notas!$C:$C,"NF-e",Notas!$E:$E,"2.03.90*",Notas!$U:$U,'Premissas DRE'!$C$10,Notas!$A:$A,H$4)-'Premissas DRE'!$C$8*SUMIFS(Notas!$AA:$AA,Notas!$C:$C,"NF-e",Notas!$E:$E,"2.03.90*",Notas!$U:$U,'Premissas DRE'!$C$10,Notas!$A:$A,H$4)-'Premissas DRE'!$C$6*SUMIFS(Notas!$AB:$AB,Notas!$C:$C,"NF-e",Notas!$E:$E,"2.03.90*",Notas!$U:$U,'Premissas DRE'!$C$10,Notas!$A:$A,H$4)-'Premissas DRE'!$C$7*SUMIFS(Notas!$AD:$AD,Notas!$C:$C,"NF-e",Notas!$E:$E,"2.03.90*",Notas!$U:$U,'Premissas DRE'!$C$10,Notas!$A:$A,H$4)-'Premissas DRE'!$C$7*SUMIFS(Notas!$AE:$AE,Notas!$C:$C,"NF-e",Notas!$E:$E,"2.03.90*",Notas!$U:$U,'Premissas DRE'!$C$10,Notas!$A:$A,H$4)</f>
        <v/>
      </c>
      <c r="I50" s="68">
        <f>SUMIFS(Notas!$W:$W,Notas!$C:$C,"NF-e",Notas!$E:$E,"2.03.90*",Notas!$U:$U,'Premissas DRE'!$C$10,Notas!$A:$A,I$4)-'Premissas DRE'!$C$8*SUMIFS(Notas!$AA:$AA,Notas!$C:$C,"NF-e",Notas!$E:$E,"2.03.90*",Notas!$U:$U,'Premissas DRE'!$C$10,Notas!$A:$A,I$4)-'Premissas DRE'!$C$6*SUMIFS(Notas!$AB:$AB,Notas!$C:$C,"NF-e",Notas!$E:$E,"2.03.90*",Notas!$U:$U,'Premissas DRE'!$C$10,Notas!$A:$A,I$4)-'Premissas DRE'!$C$7*SUMIFS(Notas!$AD:$AD,Notas!$C:$C,"NF-e",Notas!$E:$E,"2.03.90*",Notas!$U:$U,'Premissas DRE'!$C$10,Notas!$A:$A,I$4)-'Premissas DRE'!$C$7*SUMIFS(Notas!$AE:$AE,Notas!$C:$C,"NF-e",Notas!$E:$E,"2.03.90*",Notas!$U:$U,'Premissas DRE'!$C$10,Notas!$A:$A,I$4)</f>
        <v/>
      </c>
      <c r="J50" s="68">
        <f>SUMIFS(Notas!$W:$W,Notas!$C:$C,"NF-e",Notas!$E:$E,"2.03.90*",Notas!$U:$U,'Premissas DRE'!$C$10,Notas!$A:$A,J$4)-'Premissas DRE'!$C$8*SUMIFS(Notas!$AA:$AA,Notas!$C:$C,"NF-e",Notas!$E:$E,"2.03.90*",Notas!$U:$U,'Premissas DRE'!$C$10,Notas!$A:$A,J$4)-'Premissas DRE'!$C$6*SUMIFS(Notas!$AB:$AB,Notas!$C:$C,"NF-e",Notas!$E:$E,"2.03.90*",Notas!$U:$U,'Premissas DRE'!$C$10,Notas!$A:$A,J$4)-'Premissas DRE'!$C$7*SUMIFS(Notas!$AD:$AD,Notas!$C:$C,"NF-e",Notas!$E:$E,"2.03.90*",Notas!$U:$U,'Premissas DRE'!$C$10,Notas!$A:$A,J$4)-'Premissas DRE'!$C$7*SUMIFS(Notas!$AE:$AE,Notas!$C:$C,"NF-e",Notas!$E:$E,"2.03.90*",Notas!$U:$U,'Premissas DRE'!$C$10,Notas!$A:$A,J$4)</f>
        <v/>
      </c>
      <c r="K50" s="68">
        <f>SUMIFS(Notas!$W:$W,Notas!$C:$C,"NF-e",Notas!$E:$E,"2.03.90*",Notas!$U:$U,'Premissas DRE'!$C$10,Notas!$A:$A,K$4)-'Premissas DRE'!$C$8*SUMIFS(Notas!$AA:$AA,Notas!$C:$C,"NF-e",Notas!$E:$E,"2.03.90*",Notas!$U:$U,'Premissas DRE'!$C$10,Notas!$A:$A,K$4)-'Premissas DRE'!$C$6*SUMIFS(Notas!$AB:$AB,Notas!$C:$C,"NF-e",Notas!$E:$E,"2.03.90*",Notas!$U:$U,'Premissas DRE'!$C$10,Notas!$A:$A,K$4)-'Premissas DRE'!$C$7*SUMIFS(Notas!$AD:$AD,Notas!$C:$C,"NF-e",Notas!$E:$E,"2.03.90*",Notas!$U:$U,'Premissas DRE'!$C$10,Notas!$A:$A,K$4)-'Premissas DRE'!$C$7*SUMIFS(Notas!$AE:$AE,Notas!$C:$C,"NF-e",Notas!$E:$E,"2.03.90*",Notas!$U:$U,'Premissas DRE'!$C$10,Notas!$A:$A,K$4)</f>
        <v/>
      </c>
      <c r="L50" s="68">
        <f>SUM(C50:K50)</f>
        <v/>
      </c>
    </row>
    <row r="51">
      <c r="A51" s="58" t="inlineStr">
        <is>
          <t>TOTAL DESPESAS COM PESSOAL</t>
        </is>
      </c>
      <c r="B51" s="58" t="inlineStr"/>
      <c r="C51" s="70">
        <f>C48+C49+C50</f>
        <v/>
      </c>
      <c r="D51" s="70">
        <f>D48+D49+D50</f>
        <v/>
      </c>
      <c r="E51" s="70">
        <f>E48+E49+E50</f>
        <v/>
      </c>
      <c r="F51" s="70">
        <f>F48+F49+F50</f>
        <v/>
      </c>
      <c r="G51" s="70">
        <f>G48+G49+G50</f>
        <v/>
      </c>
      <c r="H51" s="70">
        <f>H48+H49+H50</f>
        <v/>
      </c>
      <c r="I51" s="70">
        <f>I48+I49+I50</f>
        <v/>
      </c>
      <c r="J51" s="70">
        <f>J48+J49+J50</f>
        <v/>
      </c>
      <c r="K51" s="70">
        <f>K48+K49+K50</f>
        <v/>
      </c>
      <c r="L51" s="70">
        <f>SUM(C51:K51)</f>
        <v/>
      </c>
    </row>
    <row r="52">
      <c r="A52" s="52" t="inlineStr">
        <is>
          <t>DESPESAS ADMINISTRATIVAS</t>
        </is>
      </c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</row>
    <row r="53">
      <c r="A53" s="53" t="inlineStr">
        <is>
          <t>Material de escritório</t>
        </is>
      </c>
      <c r="B53" s="48" t="inlineStr">
        <is>
          <t>NF-e · 2.04.06</t>
        </is>
      </c>
      <c r="C53" s="68">
        <f>SUMIFS(Notas!$W:$W,Notas!$C:$C,"NF-e",Notas!$E:$E,"2.04.06*",Notas!$U:$U,'Premissas DRE'!$C$10,Notas!$A:$A,C$4)-'Premissas DRE'!$C$8*SUMIFS(Notas!$AA:$AA,Notas!$C:$C,"NF-e",Notas!$E:$E,"2.04.06*",Notas!$U:$U,'Premissas DRE'!$C$10,Notas!$A:$A,C$4)-'Premissas DRE'!$C$6*SUMIFS(Notas!$AB:$AB,Notas!$C:$C,"NF-e",Notas!$E:$E,"2.04.06*",Notas!$U:$U,'Premissas DRE'!$C$10,Notas!$A:$A,C$4)-'Premissas DRE'!$C$7*SUMIFS(Notas!$AD:$AD,Notas!$C:$C,"NF-e",Notas!$E:$E,"2.04.06*",Notas!$U:$U,'Premissas DRE'!$C$10,Notas!$A:$A,C$4)-'Premissas DRE'!$C$7*SUMIFS(Notas!$AE:$AE,Notas!$C:$C,"NF-e",Notas!$E:$E,"2.04.06*",Notas!$U:$U,'Premissas DRE'!$C$10,Notas!$A:$A,C$4)</f>
        <v/>
      </c>
      <c r="D53" s="68">
        <f>SUMIFS(Notas!$W:$W,Notas!$C:$C,"NF-e",Notas!$E:$E,"2.04.06*",Notas!$U:$U,'Premissas DRE'!$C$10,Notas!$A:$A,D$4)-'Premissas DRE'!$C$8*SUMIFS(Notas!$AA:$AA,Notas!$C:$C,"NF-e",Notas!$E:$E,"2.04.06*",Notas!$U:$U,'Premissas DRE'!$C$10,Notas!$A:$A,D$4)-'Premissas DRE'!$C$6*SUMIFS(Notas!$AB:$AB,Notas!$C:$C,"NF-e",Notas!$E:$E,"2.04.06*",Notas!$U:$U,'Premissas DRE'!$C$10,Notas!$A:$A,D$4)-'Premissas DRE'!$C$7*SUMIFS(Notas!$AD:$AD,Notas!$C:$C,"NF-e",Notas!$E:$E,"2.04.06*",Notas!$U:$U,'Premissas DRE'!$C$10,Notas!$A:$A,D$4)-'Premissas DRE'!$C$7*SUMIFS(Notas!$AE:$AE,Notas!$C:$C,"NF-e",Notas!$E:$E,"2.04.06*",Notas!$U:$U,'Premissas DRE'!$C$10,Notas!$A:$A,D$4)</f>
        <v/>
      </c>
      <c r="E53" s="68">
        <f>SUMIFS(Notas!$W:$W,Notas!$C:$C,"NF-e",Notas!$E:$E,"2.04.06*",Notas!$U:$U,'Premissas DRE'!$C$10,Notas!$A:$A,E$4)-'Premissas DRE'!$C$8*SUMIFS(Notas!$AA:$AA,Notas!$C:$C,"NF-e",Notas!$E:$E,"2.04.06*",Notas!$U:$U,'Premissas DRE'!$C$10,Notas!$A:$A,E$4)-'Premissas DRE'!$C$6*SUMIFS(Notas!$AB:$AB,Notas!$C:$C,"NF-e",Notas!$E:$E,"2.04.06*",Notas!$U:$U,'Premissas DRE'!$C$10,Notas!$A:$A,E$4)-'Premissas DRE'!$C$7*SUMIFS(Notas!$AD:$AD,Notas!$C:$C,"NF-e",Notas!$E:$E,"2.04.06*",Notas!$U:$U,'Premissas DRE'!$C$10,Notas!$A:$A,E$4)-'Premissas DRE'!$C$7*SUMIFS(Notas!$AE:$AE,Notas!$C:$C,"NF-e",Notas!$E:$E,"2.04.06*",Notas!$U:$U,'Premissas DRE'!$C$10,Notas!$A:$A,E$4)</f>
        <v/>
      </c>
      <c r="F53" s="68">
        <f>SUMIFS(Notas!$W:$W,Notas!$C:$C,"NF-e",Notas!$E:$E,"2.04.06*",Notas!$U:$U,'Premissas DRE'!$C$10,Notas!$A:$A,F$4)-'Premissas DRE'!$C$8*SUMIFS(Notas!$AA:$AA,Notas!$C:$C,"NF-e",Notas!$E:$E,"2.04.06*",Notas!$U:$U,'Premissas DRE'!$C$10,Notas!$A:$A,F$4)-'Premissas DRE'!$C$6*SUMIFS(Notas!$AB:$AB,Notas!$C:$C,"NF-e",Notas!$E:$E,"2.04.06*",Notas!$U:$U,'Premissas DRE'!$C$10,Notas!$A:$A,F$4)-'Premissas DRE'!$C$7*SUMIFS(Notas!$AD:$AD,Notas!$C:$C,"NF-e",Notas!$E:$E,"2.04.06*",Notas!$U:$U,'Premissas DRE'!$C$10,Notas!$A:$A,F$4)-'Premissas DRE'!$C$7*SUMIFS(Notas!$AE:$AE,Notas!$C:$C,"NF-e",Notas!$E:$E,"2.04.06*",Notas!$U:$U,'Premissas DRE'!$C$10,Notas!$A:$A,F$4)</f>
        <v/>
      </c>
      <c r="G53" s="68">
        <f>SUMIFS(Notas!$W:$W,Notas!$C:$C,"NF-e",Notas!$E:$E,"2.04.06*",Notas!$U:$U,'Premissas DRE'!$C$10,Notas!$A:$A,G$4)-'Premissas DRE'!$C$8*SUMIFS(Notas!$AA:$AA,Notas!$C:$C,"NF-e",Notas!$E:$E,"2.04.06*",Notas!$U:$U,'Premissas DRE'!$C$10,Notas!$A:$A,G$4)-'Premissas DRE'!$C$6*SUMIFS(Notas!$AB:$AB,Notas!$C:$C,"NF-e",Notas!$E:$E,"2.04.06*",Notas!$U:$U,'Premissas DRE'!$C$10,Notas!$A:$A,G$4)-'Premissas DRE'!$C$7*SUMIFS(Notas!$AD:$AD,Notas!$C:$C,"NF-e",Notas!$E:$E,"2.04.06*",Notas!$U:$U,'Premissas DRE'!$C$10,Notas!$A:$A,G$4)-'Premissas DRE'!$C$7*SUMIFS(Notas!$AE:$AE,Notas!$C:$C,"NF-e",Notas!$E:$E,"2.04.06*",Notas!$U:$U,'Premissas DRE'!$C$10,Notas!$A:$A,G$4)</f>
        <v/>
      </c>
      <c r="H53" s="68">
        <f>SUMIFS(Notas!$W:$W,Notas!$C:$C,"NF-e",Notas!$E:$E,"2.04.06*",Notas!$U:$U,'Premissas DRE'!$C$10,Notas!$A:$A,H$4)-'Premissas DRE'!$C$8*SUMIFS(Notas!$AA:$AA,Notas!$C:$C,"NF-e",Notas!$E:$E,"2.04.06*",Notas!$U:$U,'Premissas DRE'!$C$10,Notas!$A:$A,H$4)-'Premissas DRE'!$C$6*SUMIFS(Notas!$AB:$AB,Notas!$C:$C,"NF-e",Notas!$E:$E,"2.04.06*",Notas!$U:$U,'Premissas DRE'!$C$10,Notas!$A:$A,H$4)-'Premissas DRE'!$C$7*SUMIFS(Notas!$AD:$AD,Notas!$C:$C,"NF-e",Notas!$E:$E,"2.04.06*",Notas!$U:$U,'Premissas DRE'!$C$10,Notas!$A:$A,H$4)-'Premissas DRE'!$C$7*SUMIFS(Notas!$AE:$AE,Notas!$C:$C,"NF-e",Notas!$E:$E,"2.04.06*",Notas!$U:$U,'Premissas DRE'!$C$10,Notas!$A:$A,H$4)</f>
        <v/>
      </c>
      <c r="I53" s="68">
        <f>SUMIFS(Notas!$W:$W,Notas!$C:$C,"NF-e",Notas!$E:$E,"2.04.06*",Notas!$U:$U,'Premissas DRE'!$C$10,Notas!$A:$A,I$4)-'Premissas DRE'!$C$8*SUMIFS(Notas!$AA:$AA,Notas!$C:$C,"NF-e",Notas!$E:$E,"2.04.06*",Notas!$U:$U,'Premissas DRE'!$C$10,Notas!$A:$A,I$4)-'Premissas DRE'!$C$6*SUMIFS(Notas!$AB:$AB,Notas!$C:$C,"NF-e",Notas!$E:$E,"2.04.06*",Notas!$U:$U,'Premissas DRE'!$C$10,Notas!$A:$A,I$4)-'Premissas DRE'!$C$7*SUMIFS(Notas!$AD:$AD,Notas!$C:$C,"NF-e",Notas!$E:$E,"2.04.06*",Notas!$U:$U,'Premissas DRE'!$C$10,Notas!$A:$A,I$4)-'Premissas DRE'!$C$7*SUMIFS(Notas!$AE:$AE,Notas!$C:$C,"NF-e",Notas!$E:$E,"2.04.06*",Notas!$U:$U,'Premissas DRE'!$C$10,Notas!$A:$A,I$4)</f>
        <v/>
      </c>
      <c r="J53" s="68">
        <f>SUMIFS(Notas!$W:$W,Notas!$C:$C,"NF-e",Notas!$E:$E,"2.04.06*",Notas!$U:$U,'Premissas DRE'!$C$10,Notas!$A:$A,J$4)-'Premissas DRE'!$C$8*SUMIFS(Notas!$AA:$AA,Notas!$C:$C,"NF-e",Notas!$E:$E,"2.04.06*",Notas!$U:$U,'Premissas DRE'!$C$10,Notas!$A:$A,J$4)-'Premissas DRE'!$C$6*SUMIFS(Notas!$AB:$AB,Notas!$C:$C,"NF-e",Notas!$E:$E,"2.04.06*",Notas!$U:$U,'Premissas DRE'!$C$10,Notas!$A:$A,J$4)-'Premissas DRE'!$C$7*SUMIFS(Notas!$AD:$AD,Notas!$C:$C,"NF-e",Notas!$E:$E,"2.04.06*",Notas!$U:$U,'Premissas DRE'!$C$10,Notas!$A:$A,J$4)-'Premissas DRE'!$C$7*SUMIFS(Notas!$AE:$AE,Notas!$C:$C,"NF-e",Notas!$E:$E,"2.04.06*",Notas!$U:$U,'Premissas DRE'!$C$10,Notas!$A:$A,J$4)</f>
        <v/>
      </c>
      <c r="K53" s="68">
        <f>SUMIFS(Notas!$W:$W,Notas!$C:$C,"NF-e",Notas!$E:$E,"2.04.06*",Notas!$U:$U,'Premissas DRE'!$C$10,Notas!$A:$A,K$4)-'Premissas DRE'!$C$8*SUMIFS(Notas!$AA:$AA,Notas!$C:$C,"NF-e",Notas!$E:$E,"2.04.06*",Notas!$U:$U,'Premissas DRE'!$C$10,Notas!$A:$A,K$4)-'Premissas DRE'!$C$6*SUMIFS(Notas!$AB:$AB,Notas!$C:$C,"NF-e",Notas!$E:$E,"2.04.06*",Notas!$U:$U,'Premissas DRE'!$C$10,Notas!$A:$A,K$4)-'Premissas DRE'!$C$7*SUMIFS(Notas!$AD:$AD,Notas!$C:$C,"NF-e",Notas!$E:$E,"2.04.06*",Notas!$U:$U,'Premissas DRE'!$C$10,Notas!$A:$A,K$4)-'Premissas DRE'!$C$7*SUMIFS(Notas!$AE:$AE,Notas!$C:$C,"NF-e",Notas!$E:$E,"2.04.06*",Notas!$U:$U,'Premissas DRE'!$C$10,Notas!$A:$A,K$4)</f>
        <v/>
      </c>
      <c r="L53" s="68">
        <f>SUM(C53:K53)</f>
        <v/>
      </c>
    </row>
    <row r="54">
      <c r="A54" s="53" t="inlineStr">
        <is>
          <t>Manutenção de imobilizado</t>
        </is>
      </c>
      <c r="B54" s="48" t="inlineStr">
        <is>
          <t>NF-e · 2.04.07</t>
        </is>
      </c>
      <c r="C54" s="68">
        <f>SUMIFS(Notas!$W:$W,Notas!$C:$C,"NF-e",Notas!$E:$E,"2.04.07*",Notas!$U:$U,'Premissas DRE'!$C$10,Notas!$A:$A,C$4)-'Premissas DRE'!$C$8*SUMIFS(Notas!$AA:$AA,Notas!$C:$C,"NF-e",Notas!$E:$E,"2.04.07*",Notas!$U:$U,'Premissas DRE'!$C$10,Notas!$A:$A,C$4)-'Premissas DRE'!$C$6*SUMIFS(Notas!$AB:$AB,Notas!$C:$C,"NF-e",Notas!$E:$E,"2.04.07*",Notas!$U:$U,'Premissas DRE'!$C$10,Notas!$A:$A,C$4)-'Premissas DRE'!$C$7*SUMIFS(Notas!$AD:$AD,Notas!$C:$C,"NF-e",Notas!$E:$E,"2.04.07*",Notas!$U:$U,'Premissas DRE'!$C$10,Notas!$A:$A,C$4)-'Premissas DRE'!$C$7*SUMIFS(Notas!$AE:$AE,Notas!$C:$C,"NF-e",Notas!$E:$E,"2.04.07*",Notas!$U:$U,'Premissas DRE'!$C$10,Notas!$A:$A,C$4)</f>
        <v/>
      </c>
      <c r="D54" s="68">
        <f>SUMIFS(Notas!$W:$W,Notas!$C:$C,"NF-e",Notas!$E:$E,"2.04.07*",Notas!$U:$U,'Premissas DRE'!$C$10,Notas!$A:$A,D$4)-'Premissas DRE'!$C$8*SUMIFS(Notas!$AA:$AA,Notas!$C:$C,"NF-e",Notas!$E:$E,"2.04.07*",Notas!$U:$U,'Premissas DRE'!$C$10,Notas!$A:$A,D$4)-'Premissas DRE'!$C$6*SUMIFS(Notas!$AB:$AB,Notas!$C:$C,"NF-e",Notas!$E:$E,"2.04.07*",Notas!$U:$U,'Premissas DRE'!$C$10,Notas!$A:$A,D$4)-'Premissas DRE'!$C$7*SUMIFS(Notas!$AD:$AD,Notas!$C:$C,"NF-e",Notas!$E:$E,"2.04.07*",Notas!$U:$U,'Premissas DRE'!$C$10,Notas!$A:$A,D$4)-'Premissas DRE'!$C$7*SUMIFS(Notas!$AE:$AE,Notas!$C:$C,"NF-e",Notas!$E:$E,"2.04.07*",Notas!$U:$U,'Premissas DRE'!$C$10,Notas!$A:$A,D$4)</f>
        <v/>
      </c>
      <c r="E54" s="68">
        <f>SUMIFS(Notas!$W:$W,Notas!$C:$C,"NF-e",Notas!$E:$E,"2.04.07*",Notas!$U:$U,'Premissas DRE'!$C$10,Notas!$A:$A,E$4)-'Premissas DRE'!$C$8*SUMIFS(Notas!$AA:$AA,Notas!$C:$C,"NF-e",Notas!$E:$E,"2.04.07*",Notas!$U:$U,'Premissas DRE'!$C$10,Notas!$A:$A,E$4)-'Premissas DRE'!$C$6*SUMIFS(Notas!$AB:$AB,Notas!$C:$C,"NF-e",Notas!$E:$E,"2.04.07*",Notas!$U:$U,'Premissas DRE'!$C$10,Notas!$A:$A,E$4)-'Premissas DRE'!$C$7*SUMIFS(Notas!$AD:$AD,Notas!$C:$C,"NF-e",Notas!$E:$E,"2.04.07*",Notas!$U:$U,'Premissas DRE'!$C$10,Notas!$A:$A,E$4)-'Premissas DRE'!$C$7*SUMIFS(Notas!$AE:$AE,Notas!$C:$C,"NF-e",Notas!$E:$E,"2.04.07*",Notas!$U:$U,'Premissas DRE'!$C$10,Notas!$A:$A,E$4)</f>
        <v/>
      </c>
      <c r="F54" s="68">
        <f>SUMIFS(Notas!$W:$W,Notas!$C:$C,"NF-e",Notas!$E:$E,"2.04.07*",Notas!$U:$U,'Premissas DRE'!$C$10,Notas!$A:$A,F$4)-'Premissas DRE'!$C$8*SUMIFS(Notas!$AA:$AA,Notas!$C:$C,"NF-e",Notas!$E:$E,"2.04.07*",Notas!$U:$U,'Premissas DRE'!$C$10,Notas!$A:$A,F$4)-'Premissas DRE'!$C$6*SUMIFS(Notas!$AB:$AB,Notas!$C:$C,"NF-e",Notas!$E:$E,"2.04.07*",Notas!$U:$U,'Premissas DRE'!$C$10,Notas!$A:$A,F$4)-'Premissas DRE'!$C$7*SUMIFS(Notas!$AD:$AD,Notas!$C:$C,"NF-e",Notas!$E:$E,"2.04.07*",Notas!$U:$U,'Premissas DRE'!$C$10,Notas!$A:$A,F$4)-'Premissas DRE'!$C$7*SUMIFS(Notas!$AE:$AE,Notas!$C:$C,"NF-e",Notas!$E:$E,"2.04.07*",Notas!$U:$U,'Premissas DRE'!$C$10,Notas!$A:$A,F$4)</f>
        <v/>
      </c>
      <c r="G54" s="68">
        <f>SUMIFS(Notas!$W:$W,Notas!$C:$C,"NF-e",Notas!$E:$E,"2.04.07*",Notas!$U:$U,'Premissas DRE'!$C$10,Notas!$A:$A,G$4)-'Premissas DRE'!$C$8*SUMIFS(Notas!$AA:$AA,Notas!$C:$C,"NF-e",Notas!$E:$E,"2.04.07*",Notas!$U:$U,'Premissas DRE'!$C$10,Notas!$A:$A,G$4)-'Premissas DRE'!$C$6*SUMIFS(Notas!$AB:$AB,Notas!$C:$C,"NF-e",Notas!$E:$E,"2.04.07*",Notas!$U:$U,'Premissas DRE'!$C$10,Notas!$A:$A,G$4)-'Premissas DRE'!$C$7*SUMIFS(Notas!$AD:$AD,Notas!$C:$C,"NF-e",Notas!$E:$E,"2.04.07*",Notas!$U:$U,'Premissas DRE'!$C$10,Notas!$A:$A,G$4)-'Premissas DRE'!$C$7*SUMIFS(Notas!$AE:$AE,Notas!$C:$C,"NF-e",Notas!$E:$E,"2.04.07*",Notas!$U:$U,'Premissas DRE'!$C$10,Notas!$A:$A,G$4)</f>
        <v/>
      </c>
      <c r="H54" s="68">
        <f>SUMIFS(Notas!$W:$W,Notas!$C:$C,"NF-e",Notas!$E:$E,"2.04.07*",Notas!$U:$U,'Premissas DRE'!$C$10,Notas!$A:$A,H$4)-'Premissas DRE'!$C$8*SUMIFS(Notas!$AA:$AA,Notas!$C:$C,"NF-e",Notas!$E:$E,"2.04.07*",Notas!$U:$U,'Premissas DRE'!$C$10,Notas!$A:$A,H$4)-'Premissas DRE'!$C$6*SUMIFS(Notas!$AB:$AB,Notas!$C:$C,"NF-e",Notas!$E:$E,"2.04.07*",Notas!$U:$U,'Premissas DRE'!$C$10,Notas!$A:$A,H$4)-'Premissas DRE'!$C$7*SUMIFS(Notas!$AD:$AD,Notas!$C:$C,"NF-e",Notas!$E:$E,"2.04.07*",Notas!$U:$U,'Premissas DRE'!$C$10,Notas!$A:$A,H$4)-'Premissas DRE'!$C$7*SUMIFS(Notas!$AE:$AE,Notas!$C:$C,"NF-e",Notas!$E:$E,"2.04.07*",Notas!$U:$U,'Premissas DRE'!$C$10,Notas!$A:$A,H$4)</f>
        <v/>
      </c>
      <c r="I54" s="68">
        <f>SUMIFS(Notas!$W:$W,Notas!$C:$C,"NF-e",Notas!$E:$E,"2.04.07*",Notas!$U:$U,'Premissas DRE'!$C$10,Notas!$A:$A,I$4)-'Premissas DRE'!$C$8*SUMIFS(Notas!$AA:$AA,Notas!$C:$C,"NF-e",Notas!$E:$E,"2.04.07*",Notas!$U:$U,'Premissas DRE'!$C$10,Notas!$A:$A,I$4)-'Premissas DRE'!$C$6*SUMIFS(Notas!$AB:$AB,Notas!$C:$C,"NF-e",Notas!$E:$E,"2.04.07*",Notas!$U:$U,'Premissas DRE'!$C$10,Notas!$A:$A,I$4)-'Premissas DRE'!$C$7*SUMIFS(Notas!$AD:$AD,Notas!$C:$C,"NF-e",Notas!$E:$E,"2.04.07*",Notas!$U:$U,'Premissas DRE'!$C$10,Notas!$A:$A,I$4)-'Premissas DRE'!$C$7*SUMIFS(Notas!$AE:$AE,Notas!$C:$C,"NF-e",Notas!$E:$E,"2.04.07*",Notas!$U:$U,'Premissas DRE'!$C$10,Notas!$A:$A,I$4)</f>
        <v/>
      </c>
      <c r="J54" s="68">
        <f>SUMIFS(Notas!$W:$W,Notas!$C:$C,"NF-e",Notas!$E:$E,"2.04.07*",Notas!$U:$U,'Premissas DRE'!$C$10,Notas!$A:$A,J$4)-'Premissas DRE'!$C$8*SUMIFS(Notas!$AA:$AA,Notas!$C:$C,"NF-e",Notas!$E:$E,"2.04.07*",Notas!$U:$U,'Premissas DRE'!$C$10,Notas!$A:$A,J$4)-'Premissas DRE'!$C$6*SUMIFS(Notas!$AB:$AB,Notas!$C:$C,"NF-e",Notas!$E:$E,"2.04.07*",Notas!$U:$U,'Premissas DRE'!$C$10,Notas!$A:$A,J$4)-'Premissas DRE'!$C$7*SUMIFS(Notas!$AD:$AD,Notas!$C:$C,"NF-e",Notas!$E:$E,"2.04.07*",Notas!$U:$U,'Premissas DRE'!$C$10,Notas!$A:$A,J$4)-'Premissas DRE'!$C$7*SUMIFS(Notas!$AE:$AE,Notas!$C:$C,"NF-e",Notas!$E:$E,"2.04.07*",Notas!$U:$U,'Premissas DRE'!$C$10,Notas!$A:$A,J$4)</f>
        <v/>
      </c>
      <c r="K54" s="68">
        <f>SUMIFS(Notas!$W:$W,Notas!$C:$C,"NF-e",Notas!$E:$E,"2.04.07*",Notas!$U:$U,'Premissas DRE'!$C$10,Notas!$A:$A,K$4)-'Premissas DRE'!$C$8*SUMIFS(Notas!$AA:$AA,Notas!$C:$C,"NF-e",Notas!$E:$E,"2.04.07*",Notas!$U:$U,'Premissas DRE'!$C$10,Notas!$A:$A,K$4)-'Premissas DRE'!$C$6*SUMIFS(Notas!$AB:$AB,Notas!$C:$C,"NF-e",Notas!$E:$E,"2.04.07*",Notas!$U:$U,'Premissas DRE'!$C$10,Notas!$A:$A,K$4)-'Premissas DRE'!$C$7*SUMIFS(Notas!$AD:$AD,Notas!$C:$C,"NF-e",Notas!$E:$E,"2.04.07*",Notas!$U:$U,'Premissas DRE'!$C$10,Notas!$A:$A,K$4)-'Premissas DRE'!$C$7*SUMIFS(Notas!$AE:$AE,Notas!$C:$C,"NF-e",Notas!$E:$E,"2.04.07*",Notas!$U:$U,'Premissas DRE'!$C$10,Notas!$A:$A,K$4)</f>
        <v/>
      </c>
      <c r="L54" s="68">
        <f>SUM(C54:K54)</f>
        <v/>
      </c>
    </row>
    <row r="55">
      <c r="A55" s="53" t="inlineStr">
        <is>
          <t>Frete sobre compra lançado em NF-e  [SINALIZADO]</t>
        </is>
      </c>
      <c r="B55" s="48" t="inlineStr">
        <is>
          <t>NF-e · 2.04.87</t>
        </is>
      </c>
      <c r="C55" s="68">
        <f>SUMIFS(Notas!$W:$W,Notas!$C:$C,"NF-e",Notas!$E:$E,"2.04.87*",Notas!$U:$U,'Premissas DRE'!$C$10,Notas!$A:$A,C$4)-'Premissas DRE'!$C$8*SUMIFS(Notas!$AA:$AA,Notas!$C:$C,"NF-e",Notas!$E:$E,"2.04.87*",Notas!$U:$U,'Premissas DRE'!$C$10,Notas!$A:$A,C$4)-'Premissas DRE'!$C$6*SUMIFS(Notas!$AB:$AB,Notas!$C:$C,"NF-e",Notas!$E:$E,"2.04.87*",Notas!$U:$U,'Premissas DRE'!$C$10,Notas!$A:$A,C$4)-'Premissas DRE'!$C$7*SUMIFS(Notas!$AD:$AD,Notas!$C:$C,"NF-e",Notas!$E:$E,"2.04.87*",Notas!$U:$U,'Premissas DRE'!$C$10,Notas!$A:$A,C$4)-'Premissas DRE'!$C$7*SUMIFS(Notas!$AE:$AE,Notas!$C:$C,"NF-e",Notas!$E:$E,"2.04.87*",Notas!$U:$U,'Premissas DRE'!$C$10,Notas!$A:$A,C$4)</f>
        <v/>
      </c>
      <c r="D55" s="68">
        <f>SUMIFS(Notas!$W:$W,Notas!$C:$C,"NF-e",Notas!$E:$E,"2.04.87*",Notas!$U:$U,'Premissas DRE'!$C$10,Notas!$A:$A,D$4)-'Premissas DRE'!$C$8*SUMIFS(Notas!$AA:$AA,Notas!$C:$C,"NF-e",Notas!$E:$E,"2.04.87*",Notas!$U:$U,'Premissas DRE'!$C$10,Notas!$A:$A,D$4)-'Premissas DRE'!$C$6*SUMIFS(Notas!$AB:$AB,Notas!$C:$C,"NF-e",Notas!$E:$E,"2.04.87*",Notas!$U:$U,'Premissas DRE'!$C$10,Notas!$A:$A,D$4)-'Premissas DRE'!$C$7*SUMIFS(Notas!$AD:$AD,Notas!$C:$C,"NF-e",Notas!$E:$E,"2.04.87*",Notas!$U:$U,'Premissas DRE'!$C$10,Notas!$A:$A,D$4)-'Premissas DRE'!$C$7*SUMIFS(Notas!$AE:$AE,Notas!$C:$C,"NF-e",Notas!$E:$E,"2.04.87*",Notas!$U:$U,'Premissas DRE'!$C$10,Notas!$A:$A,D$4)</f>
        <v/>
      </c>
      <c r="E55" s="68">
        <f>SUMIFS(Notas!$W:$W,Notas!$C:$C,"NF-e",Notas!$E:$E,"2.04.87*",Notas!$U:$U,'Premissas DRE'!$C$10,Notas!$A:$A,E$4)-'Premissas DRE'!$C$8*SUMIFS(Notas!$AA:$AA,Notas!$C:$C,"NF-e",Notas!$E:$E,"2.04.87*",Notas!$U:$U,'Premissas DRE'!$C$10,Notas!$A:$A,E$4)-'Premissas DRE'!$C$6*SUMIFS(Notas!$AB:$AB,Notas!$C:$C,"NF-e",Notas!$E:$E,"2.04.87*",Notas!$U:$U,'Premissas DRE'!$C$10,Notas!$A:$A,E$4)-'Premissas DRE'!$C$7*SUMIFS(Notas!$AD:$AD,Notas!$C:$C,"NF-e",Notas!$E:$E,"2.04.87*",Notas!$U:$U,'Premissas DRE'!$C$10,Notas!$A:$A,E$4)-'Premissas DRE'!$C$7*SUMIFS(Notas!$AE:$AE,Notas!$C:$C,"NF-e",Notas!$E:$E,"2.04.87*",Notas!$U:$U,'Premissas DRE'!$C$10,Notas!$A:$A,E$4)</f>
        <v/>
      </c>
      <c r="F55" s="68">
        <f>SUMIFS(Notas!$W:$W,Notas!$C:$C,"NF-e",Notas!$E:$E,"2.04.87*",Notas!$U:$U,'Premissas DRE'!$C$10,Notas!$A:$A,F$4)-'Premissas DRE'!$C$8*SUMIFS(Notas!$AA:$AA,Notas!$C:$C,"NF-e",Notas!$E:$E,"2.04.87*",Notas!$U:$U,'Premissas DRE'!$C$10,Notas!$A:$A,F$4)-'Premissas DRE'!$C$6*SUMIFS(Notas!$AB:$AB,Notas!$C:$C,"NF-e",Notas!$E:$E,"2.04.87*",Notas!$U:$U,'Premissas DRE'!$C$10,Notas!$A:$A,F$4)-'Premissas DRE'!$C$7*SUMIFS(Notas!$AD:$AD,Notas!$C:$C,"NF-e",Notas!$E:$E,"2.04.87*",Notas!$U:$U,'Premissas DRE'!$C$10,Notas!$A:$A,F$4)-'Premissas DRE'!$C$7*SUMIFS(Notas!$AE:$AE,Notas!$C:$C,"NF-e",Notas!$E:$E,"2.04.87*",Notas!$U:$U,'Premissas DRE'!$C$10,Notas!$A:$A,F$4)</f>
        <v/>
      </c>
      <c r="G55" s="68">
        <f>SUMIFS(Notas!$W:$W,Notas!$C:$C,"NF-e",Notas!$E:$E,"2.04.87*",Notas!$U:$U,'Premissas DRE'!$C$10,Notas!$A:$A,G$4)-'Premissas DRE'!$C$8*SUMIFS(Notas!$AA:$AA,Notas!$C:$C,"NF-e",Notas!$E:$E,"2.04.87*",Notas!$U:$U,'Premissas DRE'!$C$10,Notas!$A:$A,G$4)-'Premissas DRE'!$C$6*SUMIFS(Notas!$AB:$AB,Notas!$C:$C,"NF-e",Notas!$E:$E,"2.04.87*",Notas!$U:$U,'Premissas DRE'!$C$10,Notas!$A:$A,G$4)-'Premissas DRE'!$C$7*SUMIFS(Notas!$AD:$AD,Notas!$C:$C,"NF-e",Notas!$E:$E,"2.04.87*",Notas!$U:$U,'Premissas DRE'!$C$10,Notas!$A:$A,G$4)-'Premissas DRE'!$C$7*SUMIFS(Notas!$AE:$AE,Notas!$C:$C,"NF-e",Notas!$E:$E,"2.04.87*",Notas!$U:$U,'Premissas DRE'!$C$10,Notas!$A:$A,G$4)</f>
        <v/>
      </c>
      <c r="H55" s="68">
        <f>SUMIFS(Notas!$W:$W,Notas!$C:$C,"NF-e",Notas!$E:$E,"2.04.87*",Notas!$U:$U,'Premissas DRE'!$C$10,Notas!$A:$A,H$4)-'Premissas DRE'!$C$8*SUMIFS(Notas!$AA:$AA,Notas!$C:$C,"NF-e",Notas!$E:$E,"2.04.87*",Notas!$U:$U,'Premissas DRE'!$C$10,Notas!$A:$A,H$4)-'Premissas DRE'!$C$6*SUMIFS(Notas!$AB:$AB,Notas!$C:$C,"NF-e",Notas!$E:$E,"2.04.87*",Notas!$U:$U,'Premissas DRE'!$C$10,Notas!$A:$A,H$4)-'Premissas DRE'!$C$7*SUMIFS(Notas!$AD:$AD,Notas!$C:$C,"NF-e",Notas!$E:$E,"2.04.87*",Notas!$U:$U,'Premissas DRE'!$C$10,Notas!$A:$A,H$4)-'Premissas DRE'!$C$7*SUMIFS(Notas!$AE:$AE,Notas!$C:$C,"NF-e",Notas!$E:$E,"2.04.87*",Notas!$U:$U,'Premissas DRE'!$C$10,Notas!$A:$A,H$4)</f>
        <v/>
      </c>
      <c r="I55" s="68">
        <f>SUMIFS(Notas!$W:$W,Notas!$C:$C,"NF-e",Notas!$E:$E,"2.04.87*",Notas!$U:$U,'Premissas DRE'!$C$10,Notas!$A:$A,I$4)-'Premissas DRE'!$C$8*SUMIFS(Notas!$AA:$AA,Notas!$C:$C,"NF-e",Notas!$E:$E,"2.04.87*",Notas!$U:$U,'Premissas DRE'!$C$10,Notas!$A:$A,I$4)-'Premissas DRE'!$C$6*SUMIFS(Notas!$AB:$AB,Notas!$C:$C,"NF-e",Notas!$E:$E,"2.04.87*",Notas!$U:$U,'Premissas DRE'!$C$10,Notas!$A:$A,I$4)-'Premissas DRE'!$C$7*SUMIFS(Notas!$AD:$AD,Notas!$C:$C,"NF-e",Notas!$E:$E,"2.04.87*",Notas!$U:$U,'Premissas DRE'!$C$10,Notas!$A:$A,I$4)-'Premissas DRE'!$C$7*SUMIFS(Notas!$AE:$AE,Notas!$C:$C,"NF-e",Notas!$E:$E,"2.04.87*",Notas!$U:$U,'Premissas DRE'!$C$10,Notas!$A:$A,I$4)</f>
        <v/>
      </c>
      <c r="J55" s="68">
        <f>SUMIFS(Notas!$W:$W,Notas!$C:$C,"NF-e",Notas!$E:$E,"2.04.87*",Notas!$U:$U,'Premissas DRE'!$C$10,Notas!$A:$A,J$4)-'Premissas DRE'!$C$8*SUMIFS(Notas!$AA:$AA,Notas!$C:$C,"NF-e",Notas!$E:$E,"2.04.87*",Notas!$U:$U,'Premissas DRE'!$C$10,Notas!$A:$A,J$4)-'Premissas DRE'!$C$6*SUMIFS(Notas!$AB:$AB,Notas!$C:$C,"NF-e",Notas!$E:$E,"2.04.87*",Notas!$U:$U,'Premissas DRE'!$C$10,Notas!$A:$A,J$4)-'Premissas DRE'!$C$7*SUMIFS(Notas!$AD:$AD,Notas!$C:$C,"NF-e",Notas!$E:$E,"2.04.87*",Notas!$U:$U,'Premissas DRE'!$C$10,Notas!$A:$A,J$4)-'Premissas DRE'!$C$7*SUMIFS(Notas!$AE:$AE,Notas!$C:$C,"NF-e",Notas!$E:$E,"2.04.87*",Notas!$U:$U,'Premissas DRE'!$C$10,Notas!$A:$A,J$4)</f>
        <v/>
      </c>
      <c r="K55" s="68">
        <f>SUMIFS(Notas!$W:$W,Notas!$C:$C,"NF-e",Notas!$E:$E,"2.04.87*",Notas!$U:$U,'Premissas DRE'!$C$10,Notas!$A:$A,K$4)-'Premissas DRE'!$C$8*SUMIFS(Notas!$AA:$AA,Notas!$C:$C,"NF-e",Notas!$E:$E,"2.04.87*",Notas!$U:$U,'Premissas DRE'!$C$10,Notas!$A:$A,K$4)-'Premissas DRE'!$C$6*SUMIFS(Notas!$AB:$AB,Notas!$C:$C,"NF-e",Notas!$E:$E,"2.04.87*",Notas!$U:$U,'Premissas DRE'!$C$10,Notas!$A:$A,K$4)-'Premissas DRE'!$C$7*SUMIFS(Notas!$AD:$AD,Notas!$C:$C,"NF-e",Notas!$E:$E,"2.04.87*",Notas!$U:$U,'Premissas DRE'!$C$10,Notas!$A:$A,K$4)-'Premissas DRE'!$C$7*SUMIFS(Notas!$AE:$AE,Notas!$C:$C,"NF-e",Notas!$E:$E,"2.04.87*",Notas!$U:$U,'Premissas DRE'!$C$10,Notas!$A:$A,K$4)</f>
        <v/>
      </c>
      <c r="L55" s="68">
        <f>SUM(C55:K55)</f>
        <v/>
      </c>
    </row>
    <row r="56">
      <c r="A56" s="53" t="inlineStr">
        <is>
          <t>Material de limpeza</t>
        </is>
      </c>
      <c r="B56" s="48" t="inlineStr">
        <is>
          <t>NF-e · 2.04.91</t>
        </is>
      </c>
      <c r="C56" s="68">
        <f>SUMIFS(Notas!$W:$W,Notas!$C:$C,"NF-e",Notas!$E:$E,"2.04.91*",Notas!$U:$U,'Premissas DRE'!$C$10,Notas!$A:$A,C$4)-'Premissas DRE'!$C$8*SUMIFS(Notas!$AA:$AA,Notas!$C:$C,"NF-e",Notas!$E:$E,"2.04.91*",Notas!$U:$U,'Premissas DRE'!$C$10,Notas!$A:$A,C$4)-'Premissas DRE'!$C$6*SUMIFS(Notas!$AB:$AB,Notas!$C:$C,"NF-e",Notas!$E:$E,"2.04.91*",Notas!$U:$U,'Premissas DRE'!$C$10,Notas!$A:$A,C$4)-'Premissas DRE'!$C$7*SUMIFS(Notas!$AD:$AD,Notas!$C:$C,"NF-e",Notas!$E:$E,"2.04.91*",Notas!$U:$U,'Premissas DRE'!$C$10,Notas!$A:$A,C$4)-'Premissas DRE'!$C$7*SUMIFS(Notas!$AE:$AE,Notas!$C:$C,"NF-e",Notas!$E:$E,"2.04.91*",Notas!$U:$U,'Premissas DRE'!$C$10,Notas!$A:$A,C$4)</f>
        <v/>
      </c>
      <c r="D56" s="68">
        <f>SUMIFS(Notas!$W:$W,Notas!$C:$C,"NF-e",Notas!$E:$E,"2.04.91*",Notas!$U:$U,'Premissas DRE'!$C$10,Notas!$A:$A,D$4)-'Premissas DRE'!$C$8*SUMIFS(Notas!$AA:$AA,Notas!$C:$C,"NF-e",Notas!$E:$E,"2.04.91*",Notas!$U:$U,'Premissas DRE'!$C$10,Notas!$A:$A,D$4)-'Premissas DRE'!$C$6*SUMIFS(Notas!$AB:$AB,Notas!$C:$C,"NF-e",Notas!$E:$E,"2.04.91*",Notas!$U:$U,'Premissas DRE'!$C$10,Notas!$A:$A,D$4)-'Premissas DRE'!$C$7*SUMIFS(Notas!$AD:$AD,Notas!$C:$C,"NF-e",Notas!$E:$E,"2.04.91*",Notas!$U:$U,'Premissas DRE'!$C$10,Notas!$A:$A,D$4)-'Premissas DRE'!$C$7*SUMIFS(Notas!$AE:$AE,Notas!$C:$C,"NF-e",Notas!$E:$E,"2.04.91*",Notas!$U:$U,'Premissas DRE'!$C$10,Notas!$A:$A,D$4)</f>
        <v/>
      </c>
      <c r="E56" s="68">
        <f>SUMIFS(Notas!$W:$W,Notas!$C:$C,"NF-e",Notas!$E:$E,"2.04.91*",Notas!$U:$U,'Premissas DRE'!$C$10,Notas!$A:$A,E$4)-'Premissas DRE'!$C$8*SUMIFS(Notas!$AA:$AA,Notas!$C:$C,"NF-e",Notas!$E:$E,"2.04.91*",Notas!$U:$U,'Premissas DRE'!$C$10,Notas!$A:$A,E$4)-'Premissas DRE'!$C$6*SUMIFS(Notas!$AB:$AB,Notas!$C:$C,"NF-e",Notas!$E:$E,"2.04.91*",Notas!$U:$U,'Premissas DRE'!$C$10,Notas!$A:$A,E$4)-'Premissas DRE'!$C$7*SUMIFS(Notas!$AD:$AD,Notas!$C:$C,"NF-e",Notas!$E:$E,"2.04.91*",Notas!$U:$U,'Premissas DRE'!$C$10,Notas!$A:$A,E$4)-'Premissas DRE'!$C$7*SUMIFS(Notas!$AE:$AE,Notas!$C:$C,"NF-e",Notas!$E:$E,"2.04.91*",Notas!$U:$U,'Premissas DRE'!$C$10,Notas!$A:$A,E$4)</f>
        <v/>
      </c>
      <c r="F56" s="68">
        <f>SUMIFS(Notas!$W:$W,Notas!$C:$C,"NF-e",Notas!$E:$E,"2.04.91*",Notas!$U:$U,'Premissas DRE'!$C$10,Notas!$A:$A,F$4)-'Premissas DRE'!$C$8*SUMIFS(Notas!$AA:$AA,Notas!$C:$C,"NF-e",Notas!$E:$E,"2.04.91*",Notas!$U:$U,'Premissas DRE'!$C$10,Notas!$A:$A,F$4)-'Premissas DRE'!$C$6*SUMIFS(Notas!$AB:$AB,Notas!$C:$C,"NF-e",Notas!$E:$E,"2.04.91*",Notas!$U:$U,'Premissas DRE'!$C$10,Notas!$A:$A,F$4)-'Premissas DRE'!$C$7*SUMIFS(Notas!$AD:$AD,Notas!$C:$C,"NF-e",Notas!$E:$E,"2.04.91*",Notas!$U:$U,'Premissas DRE'!$C$10,Notas!$A:$A,F$4)-'Premissas DRE'!$C$7*SUMIFS(Notas!$AE:$AE,Notas!$C:$C,"NF-e",Notas!$E:$E,"2.04.91*",Notas!$U:$U,'Premissas DRE'!$C$10,Notas!$A:$A,F$4)</f>
        <v/>
      </c>
      <c r="G56" s="68">
        <f>SUMIFS(Notas!$W:$W,Notas!$C:$C,"NF-e",Notas!$E:$E,"2.04.91*",Notas!$U:$U,'Premissas DRE'!$C$10,Notas!$A:$A,G$4)-'Premissas DRE'!$C$8*SUMIFS(Notas!$AA:$AA,Notas!$C:$C,"NF-e",Notas!$E:$E,"2.04.91*",Notas!$U:$U,'Premissas DRE'!$C$10,Notas!$A:$A,G$4)-'Premissas DRE'!$C$6*SUMIFS(Notas!$AB:$AB,Notas!$C:$C,"NF-e",Notas!$E:$E,"2.04.91*",Notas!$U:$U,'Premissas DRE'!$C$10,Notas!$A:$A,G$4)-'Premissas DRE'!$C$7*SUMIFS(Notas!$AD:$AD,Notas!$C:$C,"NF-e",Notas!$E:$E,"2.04.91*",Notas!$U:$U,'Premissas DRE'!$C$10,Notas!$A:$A,G$4)-'Premissas DRE'!$C$7*SUMIFS(Notas!$AE:$AE,Notas!$C:$C,"NF-e",Notas!$E:$E,"2.04.91*",Notas!$U:$U,'Premissas DRE'!$C$10,Notas!$A:$A,G$4)</f>
        <v/>
      </c>
      <c r="H56" s="68">
        <f>SUMIFS(Notas!$W:$W,Notas!$C:$C,"NF-e",Notas!$E:$E,"2.04.91*",Notas!$U:$U,'Premissas DRE'!$C$10,Notas!$A:$A,H$4)-'Premissas DRE'!$C$8*SUMIFS(Notas!$AA:$AA,Notas!$C:$C,"NF-e",Notas!$E:$E,"2.04.91*",Notas!$U:$U,'Premissas DRE'!$C$10,Notas!$A:$A,H$4)-'Premissas DRE'!$C$6*SUMIFS(Notas!$AB:$AB,Notas!$C:$C,"NF-e",Notas!$E:$E,"2.04.91*",Notas!$U:$U,'Premissas DRE'!$C$10,Notas!$A:$A,H$4)-'Premissas DRE'!$C$7*SUMIFS(Notas!$AD:$AD,Notas!$C:$C,"NF-e",Notas!$E:$E,"2.04.91*",Notas!$U:$U,'Premissas DRE'!$C$10,Notas!$A:$A,H$4)-'Premissas DRE'!$C$7*SUMIFS(Notas!$AE:$AE,Notas!$C:$C,"NF-e",Notas!$E:$E,"2.04.91*",Notas!$U:$U,'Premissas DRE'!$C$10,Notas!$A:$A,H$4)</f>
        <v/>
      </c>
      <c r="I56" s="68">
        <f>SUMIFS(Notas!$W:$W,Notas!$C:$C,"NF-e",Notas!$E:$E,"2.04.91*",Notas!$U:$U,'Premissas DRE'!$C$10,Notas!$A:$A,I$4)-'Premissas DRE'!$C$8*SUMIFS(Notas!$AA:$AA,Notas!$C:$C,"NF-e",Notas!$E:$E,"2.04.91*",Notas!$U:$U,'Premissas DRE'!$C$10,Notas!$A:$A,I$4)-'Premissas DRE'!$C$6*SUMIFS(Notas!$AB:$AB,Notas!$C:$C,"NF-e",Notas!$E:$E,"2.04.91*",Notas!$U:$U,'Premissas DRE'!$C$10,Notas!$A:$A,I$4)-'Premissas DRE'!$C$7*SUMIFS(Notas!$AD:$AD,Notas!$C:$C,"NF-e",Notas!$E:$E,"2.04.91*",Notas!$U:$U,'Premissas DRE'!$C$10,Notas!$A:$A,I$4)-'Premissas DRE'!$C$7*SUMIFS(Notas!$AE:$AE,Notas!$C:$C,"NF-e",Notas!$E:$E,"2.04.91*",Notas!$U:$U,'Premissas DRE'!$C$10,Notas!$A:$A,I$4)</f>
        <v/>
      </c>
      <c r="J56" s="68">
        <f>SUMIFS(Notas!$W:$W,Notas!$C:$C,"NF-e",Notas!$E:$E,"2.04.91*",Notas!$U:$U,'Premissas DRE'!$C$10,Notas!$A:$A,J$4)-'Premissas DRE'!$C$8*SUMIFS(Notas!$AA:$AA,Notas!$C:$C,"NF-e",Notas!$E:$E,"2.04.91*",Notas!$U:$U,'Premissas DRE'!$C$10,Notas!$A:$A,J$4)-'Premissas DRE'!$C$6*SUMIFS(Notas!$AB:$AB,Notas!$C:$C,"NF-e",Notas!$E:$E,"2.04.91*",Notas!$U:$U,'Premissas DRE'!$C$10,Notas!$A:$A,J$4)-'Premissas DRE'!$C$7*SUMIFS(Notas!$AD:$AD,Notas!$C:$C,"NF-e",Notas!$E:$E,"2.04.91*",Notas!$U:$U,'Premissas DRE'!$C$10,Notas!$A:$A,J$4)-'Premissas DRE'!$C$7*SUMIFS(Notas!$AE:$AE,Notas!$C:$C,"NF-e",Notas!$E:$E,"2.04.91*",Notas!$U:$U,'Premissas DRE'!$C$10,Notas!$A:$A,J$4)</f>
        <v/>
      </c>
      <c r="K56" s="68">
        <f>SUMIFS(Notas!$W:$W,Notas!$C:$C,"NF-e",Notas!$E:$E,"2.04.91*",Notas!$U:$U,'Premissas DRE'!$C$10,Notas!$A:$A,K$4)-'Premissas DRE'!$C$8*SUMIFS(Notas!$AA:$AA,Notas!$C:$C,"NF-e",Notas!$E:$E,"2.04.91*",Notas!$U:$U,'Premissas DRE'!$C$10,Notas!$A:$A,K$4)-'Premissas DRE'!$C$6*SUMIFS(Notas!$AB:$AB,Notas!$C:$C,"NF-e",Notas!$E:$E,"2.04.91*",Notas!$U:$U,'Premissas DRE'!$C$10,Notas!$A:$A,K$4)-'Premissas DRE'!$C$7*SUMIFS(Notas!$AD:$AD,Notas!$C:$C,"NF-e",Notas!$E:$E,"2.04.91*",Notas!$U:$U,'Premissas DRE'!$C$10,Notas!$A:$A,K$4)-'Premissas DRE'!$C$7*SUMIFS(Notas!$AE:$AE,Notas!$C:$C,"NF-e",Notas!$E:$E,"2.04.91*",Notas!$U:$U,'Premissas DRE'!$C$10,Notas!$A:$A,K$4)</f>
        <v/>
      </c>
      <c r="L56" s="68">
        <f>SUM(C56:K56)</f>
        <v/>
      </c>
    </row>
    <row r="57">
      <c r="A57" s="53" t="inlineStr">
        <is>
          <t>Copa e cozinha</t>
        </is>
      </c>
      <c r="B57" s="48" t="inlineStr">
        <is>
          <t>NF-e · 2.04.95</t>
        </is>
      </c>
      <c r="C57" s="68">
        <f>SUMIFS(Notas!$W:$W,Notas!$C:$C,"NF-e",Notas!$E:$E,"2.04.95*",Notas!$U:$U,'Premissas DRE'!$C$10,Notas!$A:$A,C$4)-'Premissas DRE'!$C$8*SUMIFS(Notas!$AA:$AA,Notas!$C:$C,"NF-e",Notas!$E:$E,"2.04.95*",Notas!$U:$U,'Premissas DRE'!$C$10,Notas!$A:$A,C$4)-'Premissas DRE'!$C$6*SUMIFS(Notas!$AB:$AB,Notas!$C:$C,"NF-e",Notas!$E:$E,"2.04.95*",Notas!$U:$U,'Premissas DRE'!$C$10,Notas!$A:$A,C$4)-'Premissas DRE'!$C$7*SUMIFS(Notas!$AD:$AD,Notas!$C:$C,"NF-e",Notas!$E:$E,"2.04.95*",Notas!$U:$U,'Premissas DRE'!$C$10,Notas!$A:$A,C$4)-'Premissas DRE'!$C$7*SUMIFS(Notas!$AE:$AE,Notas!$C:$C,"NF-e",Notas!$E:$E,"2.04.95*",Notas!$U:$U,'Premissas DRE'!$C$10,Notas!$A:$A,C$4)</f>
        <v/>
      </c>
      <c r="D57" s="68">
        <f>SUMIFS(Notas!$W:$W,Notas!$C:$C,"NF-e",Notas!$E:$E,"2.04.95*",Notas!$U:$U,'Premissas DRE'!$C$10,Notas!$A:$A,D$4)-'Premissas DRE'!$C$8*SUMIFS(Notas!$AA:$AA,Notas!$C:$C,"NF-e",Notas!$E:$E,"2.04.95*",Notas!$U:$U,'Premissas DRE'!$C$10,Notas!$A:$A,D$4)-'Premissas DRE'!$C$6*SUMIFS(Notas!$AB:$AB,Notas!$C:$C,"NF-e",Notas!$E:$E,"2.04.95*",Notas!$U:$U,'Premissas DRE'!$C$10,Notas!$A:$A,D$4)-'Premissas DRE'!$C$7*SUMIFS(Notas!$AD:$AD,Notas!$C:$C,"NF-e",Notas!$E:$E,"2.04.95*",Notas!$U:$U,'Premissas DRE'!$C$10,Notas!$A:$A,D$4)-'Premissas DRE'!$C$7*SUMIFS(Notas!$AE:$AE,Notas!$C:$C,"NF-e",Notas!$E:$E,"2.04.95*",Notas!$U:$U,'Premissas DRE'!$C$10,Notas!$A:$A,D$4)</f>
        <v/>
      </c>
      <c r="E57" s="68">
        <f>SUMIFS(Notas!$W:$W,Notas!$C:$C,"NF-e",Notas!$E:$E,"2.04.95*",Notas!$U:$U,'Premissas DRE'!$C$10,Notas!$A:$A,E$4)-'Premissas DRE'!$C$8*SUMIFS(Notas!$AA:$AA,Notas!$C:$C,"NF-e",Notas!$E:$E,"2.04.95*",Notas!$U:$U,'Premissas DRE'!$C$10,Notas!$A:$A,E$4)-'Premissas DRE'!$C$6*SUMIFS(Notas!$AB:$AB,Notas!$C:$C,"NF-e",Notas!$E:$E,"2.04.95*",Notas!$U:$U,'Premissas DRE'!$C$10,Notas!$A:$A,E$4)-'Premissas DRE'!$C$7*SUMIFS(Notas!$AD:$AD,Notas!$C:$C,"NF-e",Notas!$E:$E,"2.04.95*",Notas!$U:$U,'Premissas DRE'!$C$10,Notas!$A:$A,E$4)-'Premissas DRE'!$C$7*SUMIFS(Notas!$AE:$AE,Notas!$C:$C,"NF-e",Notas!$E:$E,"2.04.95*",Notas!$U:$U,'Premissas DRE'!$C$10,Notas!$A:$A,E$4)</f>
        <v/>
      </c>
      <c r="F57" s="68">
        <f>SUMIFS(Notas!$W:$W,Notas!$C:$C,"NF-e",Notas!$E:$E,"2.04.95*",Notas!$U:$U,'Premissas DRE'!$C$10,Notas!$A:$A,F$4)-'Premissas DRE'!$C$8*SUMIFS(Notas!$AA:$AA,Notas!$C:$C,"NF-e",Notas!$E:$E,"2.04.95*",Notas!$U:$U,'Premissas DRE'!$C$10,Notas!$A:$A,F$4)-'Premissas DRE'!$C$6*SUMIFS(Notas!$AB:$AB,Notas!$C:$C,"NF-e",Notas!$E:$E,"2.04.95*",Notas!$U:$U,'Premissas DRE'!$C$10,Notas!$A:$A,F$4)-'Premissas DRE'!$C$7*SUMIFS(Notas!$AD:$AD,Notas!$C:$C,"NF-e",Notas!$E:$E,"2.04.95*",Notas!$U:$U,'Premissas DRE'!$C$10,Notas!$A:$A,F$4)-'Premissas DRE'!$C$7*SUMIFS(Notas!$AE:$AE,Notas!$C:$C,"NF-e",Notas!$E:$E,"2.04.95*",Notas!$U:$U,'Premissas DRE'!$C$10,Notas!$A:$A,F$4)</f>
        <v/>
      </c>
      <c r="G57" s="68">
        <f>SUMIFS(Notas!$W:$W,Notas!$C:$C,"NF-e",Notas!$E:$E,"2.04.95*",Notas!$U:$U,'Premissas DRE'!$C$10,Notas!$A:$A,G$4)-'Premissas DRE'!$C$8*SUMIFS(Notas!$AA:$AA,Notas!$C:$C,"NF-e",Notas!$E:$E,"2.04.95*",Notas!$U:$U,'Premissas DRE'!$C$10,Notas!$A:$A,G$4)-'Premissas DRE'!$C$6*SUMIFS(Notas!$AB:$AB,Notas!$C:$C,"NF-e",Notas!$E:$E,"2.04.95*",Notas!$U:$U,'Premissas DRE'!$C$10,Notas!$A:$A,G$4)-'Premissas DRE'!$C$7*SUMIFS(Notas!$AD:$AD,Notas!$C:$C,"NF-e",Notas!$E:$E,"2.04.95*",Notas!$U:$U,'Premissas DRE'!$C$10,Notas!$A:$A,G$4)-'Premissas DRE'!$C$7*SUMIFS(Notas!$AE:$AE,Notas!$C:$C,"NF-e",Notas!$E:$E,"2.04.95*",Notas!$U:$U,'Premissas DRE'!$C$10,Notas!$A:$A,G$4)</f>
        <v/>
      </c>
      <c r="H57" s="68">
        <f>SUMIFS(Notas!$W:$W,Notas!$C:$C,"NF-e",Notas!$E:$E,"2.04.95*",Notas!$U:$U,'Premissas DRE'!$C$10,Notas!$A:$A,H$4)-'Premissas DRE'!$C$8*SUMIFS(Notas!$AA:$AA,Notas!$C:$C,"NF-e",Notas!$E:$E,"2.04.95*",Notas!$U:$U,'Premissas DRE'!$C$10,Notas!$A:$A,H$4)-'Premissas DRE'!$C$6*SUMIFS(Notas!$AB:$AB,Notas!$C:$C,"NF-e",Notas!$E:$E,"2.04.95*",Notas!$U:$U,'Premissas DRE'!$C$10,Notas!$A:$A,H$4)-'Premissas DRE'!$C$7*SUMIFS(Notas!$AD:$AD,Notas!$C:$C,"NF-e",Notas!$E:$E,"2.04.95*",Notas!$U:$U,'Premissas DRE'!$C$10,Notas!$A:$A,H$4)-'Premissas DRE'!$C$7*SUMIFS(Notas!$AE:$AE,Notas!$C:$C,"NF-e",Notas!$E:$E,"2.04.95*",Notas!$U:$U,'Premissas DRE'!$C$10,Notas!$A:$A,H$4)</f>
        <v/>
      </c>
      <c r="I57" s="68">
        <f>SUMIFS(Notas!$W:$W,Notas!$C:$C,"NF-e",Notas!$E:$E,"2.04.95*",Notas!$U:$U,'Premissas DRE'!$C$10,Notas!$A:$A,I$4)-'Premissas DRE'!$C$8*SUMIFS(Notas!$AA:$AA,Notas!$C:$C,"NF-e",Notas!$E:$E,"2.04.95*",Notas!$U:$U,'Premissas DRE'!$C$10,Notas!$A:$A,I$4)-'Premissas DRE'!$C$6*SUMIFS(Notas!$AB:$AB,Notas!$C:$C,"NF-e",Notas!$E:$E,"2.04.95*",Notas!$U:$U,'Premissas DRE'!$C$10,Notas!$A:$A,I$4)-'Premissas DRE'!$C$7*SUMIFS(Notas!$AD:$AD,Notas!$C:$C,"NF-e",Notas!$E:$E,"2.04.95*",Notas!$U:$U,'Premissas DRE'!$C$10,Notas!$A:$A,I$4)-'Premissas DRE'!$C$7*SUMIFS(Notas!$AE:$AE,Notas!$C:$C,"NF-e",Notas!$E:$E,"2.04.95*",Notas!$U:$U,'Premissas DRE'!$C$10,Notas!$A:$A,I$4)</f>
        <v/>
      </c>
      <c r="J57" s="68">
        <f>SUMIFS(Notas!$W:$W,Notas!$C:$C,"NF-e",Notas!$E:$E,"2.04.95*",Notas!$U:$U,'Premissas DRE'!$C$10,Notas!$A:$A,J$4)-'Premissas DRE'!$C$8*SUMIFS(Notas!$AA:$AA,Notas!$C:$C,"NF-e",Notas!$E:$E,"2.04.95*",Notas!$U:$U,'Premissas DRE'!$C$10,Notas!$A:$A,J$4)-'Premissas DRE'!$C$6*SUMIFS(Notas!$AB:$AB,Notas!$C:$C,"NF-e",Notas!$E:$E,"2.04.95*",Notas!$U:$U,'Premissas DRE'!$C$10,Notas!$A:$A,J$4)-'Premissas DRE'!$C$7*SUMIFS(Notas!$AD:$AD,Notas!$C:$C,"NF-e",Notas!$E:$E,"2.04.95*",Notas!$U:$U,'Premissas DRE'!$C$10,Notas!$A:$A,J$4)-'Premissas DRE'!$C$7*SUMIFS(Notas!$AE:$AE,Notas!$C:$C,"NF-e",Notas!$E:$E,"2.04.95*",Notas!$U:$U,'Premissas DRE'!$C$10,Notas!$A:$A,J$4)</f>
        <v/>
      </c>
      <c r="K57" s="68">
        <f>SUMIFS(Notas!$W:$W,Notas!$C:$C,"NF-e",Notas!$E:$E,"2.04.95*",Notas!$U:$U,'Premissas DRE'!$C$10,Notas!$A:$A,K$4)-'Premissas DRE'!$C$8*SUMIFS(Notas!$AA:$AA,Notas!$C:$C,"NF-e",Notas!$E:$E,"2.04.95*",Notas!$U:$U,'Premissas DRE'!$C$10,Notas!$A:$A,K$4)-'Premissas DRE'!$C$6*SUMIFS(Notas!$AB:$AB,Notas!$C:$C,"NF-e",Notas!$E:$E,"2.04.95*",Notas!$U:$U,'Premissas DRE'!$C$10,Notas!$A:$A,K$4)-'Premissas DRE'!$C$7*SUMIFS(Notas!$AD:$AD,Notas!$C:$C,"NF-e",Notas!$E:$E,"2.04.95*",Notas!$U:$U,'Premissas DRE'!$C$10,Notas!$A:$A,K$4)-'Premissas DRE'!$C$7*SUMIFS(Notas!$AE:$AE,Notas!$C:$C,"NF-e",Notas!$E:$E,"2.04.95*",Notas!$U:$U,'Premissas DRE'!$C$10,Notas!$A:$A,K$4)</f>
        <v/>
      </c>
      <c r="L57" s="68">
        <f>SUM(C57:K57)</f>
        <v/>
      </c>
    </row>
    <row r="58">
      <c r="A58" s="53" t="inlineStr">
        <is>
          <t>Bens de pequeno valor</t>
        </is>
      </c>
      <c r="B58" s="48" t="inlineStr">
        <is>
          <t>NF-e · 2.04.96</t>
        </is>
      </c>
      <c r="C58" s="68">
        <f>SUMIFS(Notas!$W:$W,Notas!$C:$C,"NF-e",Notas!$E:$E,"2.04.96*",Notas!$U:$U,'Premissas DRE'!$C$10,Notas!$A:$A,C$4)-'Premissas DRE'!$C$8*SUMIFS(Notas!$AA:$AA,Notas!$C:$C,"NF-e",Notas!$E:$E,"2.04.96*",Notas!$U:$U,'Premissas DRE'!$C$10,Notas!$A:$A,C$4)-'Premissas DRE'!$C$6*SUMIFS(Notas!$AB:$AB,Notas!$C:$C,"NF-e",Notas!$E:$E,"2.04.96*",Notas!$U:$U,'Premissas DRE'!$C$10,Notas!$A:$A,C$4)-'Premissas DRE'!$C$7*SUMIFS(Notas!$AD:$AD,Notas!$C:$C,"NF-e",Notas!$E:$E,"2.04.96*",Notas!$U:$U,'Premissas DRE'!$C$10,Notas!$A:$A,C$4)-'Premissas DRE'!$C$7*SUMIFS(Notas!$AE:$AE,Notas!$C:$C,"NF-e",Notas!$E:$E,"2.04.96*",Notas!$U:$U,'Premissas DRE'!$C$10,Notas!$A:$A,C$4)</f>
        <v/>
      </c>
      <c r="D58" s="68">
        <f>SUMIFS(Notas!$W:$W,Notas!$C:$C,"NF-e",Notas!$E:$E,"2.04.96*",Notas!$U:$U,'Premissas DRE'!$C$10,Notas!$A:$A,D$4)-'Premissas DRE'!$C$8*SUMIFS(Notas!$AA:$AA,Notas!$C:$C,"NF-e",Notas!$E:$E,"2.04.96*",Notas!$U:$U,'Premissas DRE'!$C$10,Notas!$A:$A,D$4)-'Premissas DRE'!$C$6*SUMIFS(Notas!$AB:$AB,Notas!$C:$C,"NF-e",Notas!$E:$E,"2.04.96*",Notas!$U:$U,'Premissas DRE'!$C$10,Notas!$A:$A,D$4)-'Premissas DRE'!$C$7*SUMIFS(Notas!$AD:$AD,Notas!$C:$C,"NF-e",Notas!$E:$E,"2.04.96*",Notas!$U:$U,'Premissas DRE'!$C$10,Notas!$A:$A,D$4)-'Premissas DRE'!$C$7*SUMIFS(Notas!$AE:$AE,Notas!$C:$C,"NF-e",Notas!$E:$E,"2.04.96*",Notas!$U:$U,'Premissas DRE'!$C$10,Notas!$A:$A,D$4)</f>
        <v/>
      </c>
      <c r="E58" s="68">
        <f>SUMIFS(Notas!$W:$W,Notas!$C:$C,"NF-e",Notas!$E:$E,"2.04.96*",Notas!$U:$U,'Premissas DRE'!$C$10,Notas!$A:$A,E$4)-'Premissas DRE'!$C$8*SUMIFS(Notas!$AA:$AA,Notas!$C:$C,"NF-e",Notas!$E:$E,"2.04.96*",Notas!$U:$U,'Premissas DRE'!$C$10,Notas!$A:$A,E$4)-'Premissas DRE'!$C$6*SUMIFS(Notas!$AB:$AB,Notas!$C:$C,"NF-e",Notas!$E:$E,"2.04.96*",Notas!$U:$U,'Premissas DRE'!$C$10,Notas!$A:$A,E$4)-'Premissas DRE'!$C$7*SUMIFS(Notas!$AD:$AD,Notas!$C:$C,"NF-e",Notas!$E:$E,"2.04.96*",Notas!$U:$U,'Premissas DRE'!$C$10,Notas!$A:$A,E$4)-'Premissas DRE'!$C$7*SUMIFS(Notas!$AE:$AE,Notas!$C:$C,"NF-e",Notas!$E:$E,"2.04.96*",Notas!$U:$U,'Premissas DRE'!$C$10,Notas!$A:$A,E$4)</f>
        <v/>
      </c>
      <c r="F58" s="68">
        <f>SUMIFS(Notas!$W:$W,Notas!$C:$C,"NF-e",Notas!$E:$E,"2.04.96*",Notas!$U:$U,'Premissas DRE'!$C$10,Notas!$A:$A,F$4)-'Premissas DRE'!$C$8*SUMIFS(Notas!$AA:$AA,Notas!$C:$C,"NF-e",Notas!$E:$E,"2.04.96*",Notas!$U:$U,'Premissas DRE'!$C$10,Notas!$A:$A,F$4)-'Premissas DRE'!$C$6*SUMIFS(Notas!$AB:$AB,Notas!$C:$C,"NF-e",Notas!$E:$E,"2.04.96*",Notas!$U:$U,'Premissas DRE'!$C$10,Notas!$A:$A,F$4)-'Premissas DRE'!$C$7*SUMIFS(Notas!$AD:$AD,Notas!$C:$C,"NF-e",Notas!$E:$E,"2.04.96*",Notas!$U:$U,'Premissas DRE'!$C$10,Notas!$A:$A,F$4)-'Premissas DRE'!$C$7*SUMIFS(Notas!$AE:$AE,Notas!$C:$C,"NF-e",Notas!$E:$E,"2.04.96*",Notas!$U:$U,'Premissas DRE'!$C$10,Notas!$A:$A,F$4)</f>
        <v/>
      </c>
      <c r="G58" s="68">
        <f>SUMIFS(Notas!$W:$W,Notas!$C:$C,"NF-e",Notas!$E:$E,"2.04.96*",Notas!$U:$U,'Premissas DRE'!$C$10,Notas!$A:$A,G$4)-'Premissas DRE'!$C$8*SUMIFS(Notas!$AA:$AA,Notas!$C:$C,"NF-e",Notas!$E:$E,"2.04.96*",Notas!$U:$U,'Premissas DRE'!$C$10,Notas!$A:$A,G$4)-'Premissas DRE'!$C$6*SUMIFS(Notas!$AB:$AB,Notas!$C:$C,"NF-e",Notas!$E:$E,"2.04.96*",Notas!$U:$U,'Premissas DRE'!$C$10,Notas!$A:$A,G$4)-'Premissas DRE'!$C$7*SUMIFS(Notas!$AD:$AD,Notas!$C:$C,"NF-e",Notas!$E:$E,"2.04.96*",Notas!$U:$U,'Premissas DRE'!$C$10,Notas!$A:$A,G$4)-'Premissas DRE'!$C$7*SUMIFS(Notas!$AE:$AE,Notas!$C:$C,"NF-e",Notas!$E:$E,"2.04.96*",Notas!$U:$U,'Premissas DRE'!$C$10,Notas!$A:$A,G$4)</f>
        <v/>
      </c>
      <c r="H58" s="68">
        <f>SUMIFS(Notas!$W:$W,Notas!$C:$C,"NF-e",Notas!$E:$E,"2.04.96*",Notas!$U:$U,'Premissas DRE'!$C$10,Notas!$A:$A,H$4)-'Premissas DRE'!$C$8*SUMIFS(Notas!$AA:$AA,Notas!$C:$C,"NF-e",Notas!$E:$E,"2.04.96*",Notas!$U:$U,'Premissas DRE'!$C$10,Notas!$A:$A,H$4)-'Premissas DRE'!$C$6*SUMIFS(Notas!$AB:$AB,Notas!$C:$C,"NF-e",Notas!$E:$E,"2.04.96*",Notas!$U:$U,'Premissas DRE'!$C$10,Notas!$A:$A,H$4)-'Premissas DRE'!$C$7*SUMIFS(Notas!$AD:$AD,Notas!$C:$C,"NF-e",Notas!$E:$E,"2.04.96*",Notas!$U:$U,'Premissas DRE'!$C$10,Notas!$A:$A,H$4)-'Premissas DRE'!$C$7*SUMIFS(Notas!$AE:$AE,Notas!$C:$C,"NF-e",Notas!$E:$E,"2.04.96*",Notas!$U:$U,'Premissas DRE'!$C$10,Notas!$A:$A,H$4)</f>
        <v/>
      </c>
      <c r="I58" s="68">
        <f>SUMIFS(Notas!$W:$W,Notas!$C:$C,"NF-e",Notas!$E:$E,"2.04.96*",Notas!$U:$U,'Premissas DRE'!$C$10,Notas!$A:$A,I$4)-'Premissas DRE'!$C$8*SUMIFS(Notas!$AA:$AA,Notas!$C:$C,"NF-e",Notas!$E:$E,"2.04.96*",Notas!$U:$U,'Premissas DRE'!$C$10,Notas!$A:$A,I$4)-'Premissas DRE'!$C$6*SUMIFS(Notas!$AB:$AB,Notas!$C:$C,"NF-e",Notas!$E:$E,"2.04.96*",Notas!$U:$U,'Premissas DRE'!$C$10,Notas!$A:$A,I$4)-'Premissas DRE'!$C$7*SUMIFS(Notas!$AD:$AD,Notas!$C:$C,"NF-e",Notas!$E:$E,"2.04.96*",Notas!$U:$U,'Premissas DRE'!$C$10,Notas!$A:$A,I$4)-'Premissas DRE'!$C$7*SUMIFS(Notas!$AE:$AE,Notas!$C:$C,"NF-e",Notas!$E:$E,"2.04.96*",Notas!$U:$U,'Premissas DRE'!$C$10,Notas!$A:$A,I$4)</f>
        <v/>
      </c>
      <c r="J58" s="68">
        <f>SUMIFS(Notas!$W:$W,Notas!$C:$C,"NF-e",Notas!$E:$E,"2.04.96*",Notas!$U:$U,'Premissas DRE'!$C$10,Notas!$A:$A,J$4)-'Premissas DRE'!$C$8*SUMIFS(Notas!$AA:$AA,Notas!$C:$C,"NF-e",Notas!$E:$E,"2.04.96*",Notas!$U:$U,'Premissas DRE'!$C$10,Notas!$A:$A,J$4)-'Premissas DRE'!$C$6*SUMIFS(Notas!$AB:$AB,Notas!$C:$C,"NF-e",Notas!$E:$E,"2.04.96*",Notas!$U:$U,'Premissas DRE'!$C$10,Notas!$A:$A,J$4)-'Premissas DRE'!$C$7*SUMIFS(Notas!$AD:$AD,Notas!$C:$C,"NF-e",Notas!$E:$E,"2.04.96*",Notas!$U:$U,'Premissas DRE'!$C$10,Notas!$A:$A,J$4)-'Premissas DRE'!$C$7*SUMIFS(Notas!$AE:$AE,Notas!$C:$C,"NF-e",Notas!$E:$E,"2.04.96*",Notas!$U:$U,'Premissas DRE'!$C$10,Notas!$A:$A,J$4)</f>
        <v/>
      </c>
      <c r="K58" s="68">
        <f>SUMIFS(Notas!$W:$W,Notas!$C:$C,"NF-e",Notas!$E:$E,"2.04.96*",Notas!$U:$U,'Premissas DRE'!$C$10,Notas!$A:$A,K$4)-'Premissas DRE'!$C$8*SUMIFS(Notas!$AA:$AA,Notas!$C:$C,"NF-e",Notas!$E:$E,"2.04.96*",Notas!$U:$U,'Premissas DRE'!$C$10,Notas!$A:$A,K$4)-'Premissas DRE'!$C$6*SUMIFS(Notas!$AB:$AB,Notas!$C:$C,"NF-e",Notas!$E:$E,"2.04.96*",Notas!$U:$U,'Premissas DRE'!$C$10,Notas!$A:$A,K$4)-'Premissas DRE'!$C$7*SUMIFS(Notas!$AD:$AD,Notas!$C:$C,"NF-e",Notas!$E:$E,"2.04.96*",Notas!$U:$U,'Premissas DRE'!$C$10,Notas!$A:$A,K$4)-'Premissas DRE'!$C$7*SUMIFS(Notas!$AE:$AE,Notas!$C:$C,"NF-e",Notas!$E:$E,"2.04.96*",Notas!$U:$U,'Premissas DRE'!$C$10,Notas!$A:$A,K$4)</f>
        <v/>
      </c>
      <c r="L58" s="68">
        <f>SUM(C58:K58)</f>
        <v/>
      </c>
    </row>
    <row r="59">
      <c r="A59" s="58" t="inlineStr">
        <is>
          <t>TOTAL DESPESAS ADMINISTRATIVAS</t>
        </is>
      </c>
      <c r="B59" s="58" t="inlineStr"/>
      <c r="C59" s="70">
        <f>C53+C54+C55+C56+C57+C58</f>
        <v/>
      </c>
      <c r="D59" s="70">
        <f>D53+D54+D55+D56+D57+D58</f>
        <v/>
      </c>
      <c r="E59" s="70">
        <f>E53+E54+E55+E56+E57+E58</f>
        <v/>
      </c>
      <c r="F59" s="70">
        <f>F53+F54+F55+F56+F57+F58</f>
        <v/>
      </c>
      <c r="G59" s="70">
        <f>G53+G54+G55+G56+G57+G58</f>
        <v/>
      </c>
      <c r="H59" s="70">
        <f>H53+H54+H55+H56+H57+H58</f>
        <v/>
      </c>
      <c r="I59" s="70">
        <f>I53+I54+I55+I56+I57+I58</f>
        <v/>
      </c>
      <c r="J59" s="70">
        <f>J53+J54+J55+J56+J57+J58</f>
        <v/>
      </c>
      <c r="K59" s="70">
        <f>K53+K54+K55+K56+K57+K58</f>
        <v/>
      </c>
      <c r="L59" s="70">
        <f>SUM(C59:K59)</f>
        <v/>
      </c>
    </row>
    <row r="60">
      <c r="A60" s="52" t="inlineStr">
        <is>
          <t>OUTRAS DESPESAS OPERACIONAIS</t>
        </is>
      </c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</row>
    <row r="61">
      <c r="A61" s="53" t="inlineStr">
        <is>
          <t>Manutenção predial (imóvel)</t>
        </is>
      </c>
      <c r="B61" s="48" t="inlineStr">
        <is>
          <t>NF-e · 2.11.93</t>
        </is>
      </c>
      <c r="C61" s="68">
        <f>SUMIFS(Notas!$W:$W,Notas!$C:$C,"NF-e",Notas!$E:$E,"2.11.93*",Notas!$U:$U,'Premissas DRE'!$C$10,Notas!$A:$A,C$4)-'Premissas DRE'!$C$8*SUMIFS(Notas!$AA:$AA,Notas!$C:$C,"NF-e",Notas!$E:$E,"2.11.93*",Notas!$U:$U,'Premissas DRE'!$C$10,Notas!$A:$A,C$4)-'Premissas DRE'!$C$6*SUMIFS(Notas!$AB:$AB,Notas!$C:$C,"NF-e",Notas!$E:$E,"2.11.93*",Notas!$U:$U,'Premissas DRE'!$C$10,Notas!$A:$A,C$4)-'Premissas DRE'!$C$7*SUMIFS(Notas!$AD:$AD,Notas!$C:$C,"NF-e",Notas!$E:$E,"2.11.93*",Notas!$U:$U,'Premissas DRE'!$C$10,Notas!$A:$A,C$4)-'Premissas DRE'!$C$7*SUMIFS(Notas!$AE:$AE,Notas!$C:$C,"NF-e",Notas!$E:$E,"2.11.93*",Notas!$U:$U,'Premissas DRE'!$C$10,Notas!$A:$A,C$4)</f>
        <v/>
      </c>
      <c r="D61" s="68">
        <f>SUMIFS(Notas!$W:$W,Notas!$C:$C,"NF-e",Notas!$E:$E,"2.11.93*",Notas!$U:$U,'Premissas DRE'!$C$10,Notas!$A:$A,D$4)-'Premissas DRE'!$C$8*SUMIFS(Notas!$AA:$AA,Notas!$C:$C,"NF-e",Notas!$E:$E,"2.11.93*",Notas!$U:$U,'Premissas DRE'!$C$10,Notas!$A:$A,D$4)-'Premissas DRE'!$C$6*SUMIFS(Notas!$AB:$AB,Notas!$C:$C,"NF-e",Notas!$E:$E,"2.11.93*",Notas!$U:$U,'Premissas DRE'!$C$10,Notas!$A:$A,D$4)-'Premissas DRE'!$C$7*SUMIFS(Notas!$AD:$AD,Notas!$C:$C,"NF-e",Notas!$E:$E,"2.11.93*",Notas!$U:$U,'Premissas DRE'!$C$10,Notas!$A:$A,D$4)-'Premissas DRE'!$C$7*SUMIFS(Notas!$AE:$AE,Notas!$C:$C,"NF-e",Notas!$E:$E,"2.11.93*",Notas!$U:$U,'Premissas DRE'!$C$10,Notas!$A:$A,D$4)</f>
        <v/>
      </c>
      <c r="E61" s="68">
        <f>SUMIFS(Notas!$W:$W,Notas!$C:$C,"NF-e",Notas!$E:$E,"2.11.93*",Notas!$U:$U,'Premissas DRE'!$C$10,Notas!$A:$A,E$4)-'Premissas DRE'!$C$8*SUMIFS(Notas!$AA:$AA,Notas!$C:$C,"NF-e",Notas!$E:$E,"2.11.93*",Notas!$U:$U,'Premissas DRE'!$C$10,Notas!$A:$A,E$4)-'Premissas DRE'!$C$6*SUMIFS(Notas!$AB:$AB,Notas!$C:$C,"NF-e",Notas!$E:$E,"2.11.93*",Notas!$U:$U,'Premissas DRE'!$C$10,Notas!$A:$A,E$4)-'Premissas DRE'!$C$7*SUMIFS(Notas!$AD:$AD,Notas!$C:$C,"NF-e",Notas!$E:$E,"2.11.93*",Notas!$U:$U,'Premissas DRE'!$C$10,Notas!$A:$A,E$4)-'Premissas DRE'!$C$7*SUMIFS(Notas!$AE:$AE,Notas!$C:$C,"NF-e",Notas!$E:$E,"2.11.93*",Notas!$U:$U,'Premissas DRE'!$C$10,Notas!$A:$A,E$4)</f>
        <v/>
      </c>
      <c r="F61" s="68">
        <f>SUMIFS(Notas!$W:$W,Notas!$C:$C,"NF-e",Notas!$E:$E,"2.11.93*",Notas!$U:$U,'Premissas DRE'!$C$10,Notas!$A:$A,F$4)-'Premissas DRE'!$C$8*SUMIFS(Notas!$AA:$AA,Notas!$C:$C,"NF-e",Notas!$E:$E,"2.11.93*",Notas!$U:$U,'Premissas DRE'!$C$10,Notas!$A:$A,F$4)-'Premissas DRE'!$C$6*SUMIFS(Notas!$AB:$AB,Notas!$C:$C,"NF-e",Notas!$E:$E,"2.11.93*",Notas!$U:$U,'Premissas DRE'!$C$10,Notas!$A:$A,F$4)-'Premissas DRE'!$C$7*SUMIFS(Notas!$AD:$AD,Notas!$C:$C,"NF-e",Notas!$E:$E,"2.11.93*",Notas!$U:$U,'Premissas DRE'!$C$10,Notas!$A:$A,F$4)-'Premissas DRE'!$C$7*SUMIFS(Notas!$AE:$AE,Notas!$C:$C,"NF-e",Notas!$E:$E,"2.11.93*",Notas!$U:$U,'Premissas DRE'!$C$10,Notas!$A:$A,F$4)</f>
        <v/>
      </c>
      <c r="G61" s="68">
        <f>SUMIFS(Notas!$W:$W,Notas!$C:$C,"NF-e",Notas!$E:$E,"2.11.93*",Notas!$U:$U,'Premissas DRE'!$C$10,Notas!$A:$A,G$4)-'Premissas DRE'!$C$8*SUMIFS(Notas!$AA:$AA,Notas!$C:$C,"NF-e",Notas!$E:$E,"2.11.93*",Notas!$U:$U,'Premissas DRE'!$C$10,Notas!$A:$A,G$4)-'Premissas DRE'!$C$6*SUMIFS(Notas!$AB:$AB,Notas!$C:$C,"NF-e",Notas!$E:$E,"2.11.93*",Notas!$U:$U,'Premissas DRE'!$C$10,Notas!$A:$A,G$4)-'Premissas DRE'!$C$7*SUMIFS(Notas!$AD:$AD,Notas!$C:$C,"NF-e",Notas!$E:$E,"2.11.93*",Notas!$U:$U,'Premissas DRE'!$C$10,Notas!$A:$A,G$4)-'Premissas DRE'!$C$7*SUMIFS(Notas!$AE:$AE,Notas!$C:$C,"NF-e",Notas!$E:$E,"2.11.93*",Notas!$U:$U,'Premissas DRE'!$C$10,Notas!$A:$A,G$4)</f>
        <v/>
      </c>
      <c r="H61" s="68">
        <f>SUMIFS(Notas!$W:$W,Notas!$C:$C,"NF-e",Notas!$E:$E,"2.11.93*",Notas!$U:$U,'Premissas DRE'!$C$10,Notas!$A:$A,H$4)-'Premissas DRE'!$C$8*SUMIFS(Notas!$AA:$AA,Notas!$C:$C,"NF-e",Notas!$E:$E,"2.11.93*",Notas!$U:$U,'Premissas DRE'!$C$10,Notas!$A:$A,H$4)-'Premissas DRE'!$C$6*SUMIFS(Notas!$AB:$AB,Notas!$C:$C,"NF-e",Notas!$E:$E,"2.11.93*",Notas!$U:$U,'Premissas DRE'!$C$10,Notas!$A:$A,H$4)-'Premissas DRE'!$C$7*SUMIFS(Notas!$AD:$AD,Notas!$C:$C,"NF-e",Notas!$E:$E,"2.11.93*",Notas!$U:$U,'Premissas DRE'!$C$10,Notas!$A:$A,H$4)-'Premissas DRE'!$C$7*SUMIFS(Notas!$AE:$AE,Notas!$C:$C,"NF-e",Notas!$E:$E,"2.11.93*",Notas!$U:$U,'Premissas DRE'!$C$10,Notas!$A:$A,H$4)</f>
        <v/>
      </c>
      <c r="I61" s="68">
        <f>SUMIFS(Notas!$W:$W,Notas!$C:$C,"NF-e",Notas!$E:$E,"2.11.93*",Notas!$U:$U,'Premissas DRE'!$C$10,Notas!$A:$A,I$4)-'Premissas DRE'!$C$8*SUMIFS(Notas!$AA:$AA,Notas!$C:$C,"NF-e",Notas!$E:$E,"2.11.93*",Notas!$U:$U,'Premissas DRE'!$C$10,Notas!$A:$A,I$4)-'Premissas DRE'!$C$6*SUMIFS(Notas!$AB:$AB,Notas!$C:$C,"NF-e",Notas!$E:$E,"2.11.93*",Notas!$U:$U,'Premissas DRE'!$C$10,Notas!$A:$A,I$4)-'Premissas DRE'!$C$7*SUMIFS(Notas!$AD:$AD,Notas!$C:$C,"NF-e",Notas!$E:$E,"2.11.93*",Notas!$U:$U,'Premissas DRE'!$C$10,Notas!$A:$A,I$4)-'Premissas DRE'!$C$7*SUMIFS(Notas!$AE:$AE,Notas!$C:$C,"NF-e",Notas!$E:$E,"2.11.93*",Notas!$U:$U,'Premissas DRE'!$C$10,Notas!$A:$A,I$4)</f>
        <v/>
      </c>
      <c r="J61" s="68">
        <f>SUMIFS(Notas!$W:$W,Notas!$C:$C,"NF-e",Notas!$E:$E,"2.11.93*",Notas!$U:$U,'Premissas DRE'!$C$10,Notas!$A:$A,J$4)-'Premissas DRE'!$C$8*SUMIFS(Notas!$AA:$AA,Notas!$C:$C,"NF-e",Notas!$E:$E,"2.11.93*",Notas!$U:$U,'Premissas DRE'!$C$10,Notas!$A:$A,J$4)-'Premissas DRE'!$C$6*SUMIFS(Notas!$AB:$AB,Notas!$C:$C,"NF-e",Notas!$E:$E,"2.11.93*",Notas!$U:$U,'Premissas DRE'!$C$10,Notas!$A:$A,J$4)-'Premissas DRE'!$C$7*SUMIFS(Notas!$AD:$AD,Notas!$C:$C,"NF-e",Notas!$E:$E,"2.11.93*",Notas!$U:$U,'Premissas DRE'!$C$10,Notas!$A:$A,J$4)-'Premissas DRE'!$C$7*SUMIFS(Notas!$AE:$AE,Notas!$C:$C,"NF-e",Notas!$E:$E,"2.11.93*",Notas!$U:$U,'Premissas DRE'!$C$10,Notas!$A:$A,J$4)</f>
        <v/>
      </c>
      <c r="K61" s="68">
        <f>SUMIFS(Notas!$W:$W,Notas!$C:$C,"NF-e",Notas!$E:$E,"2.11.93*",Notas!$U:$U,'Premissas DRE'!$C$10,Notas!$A:$A,K$4)-'Premissas DRE'!$C$8*SUMIFS(Notas!$AA:$AA,Notas!$C:$C,"NF-e",Notas!$E:$E,"2.11.93*",Notas!$U:$U,'Premissas DRE'!$C$10,Notas!$A:$A,K$4)-'Premissas DRE'!$C$6*SUMIFS(Notas!$AB:$AB,Notas!$C:$C,"NF-e",Notas!$E:$E,"2.11.93*",Notas!$U:$U,'Premissas DRE'!$C$10,Notas!$A:$A,K$4)-'Premissas DRE'!$C$7*SUMIFS(Notas!$AD:$AD,Notas!$C:$C,"NF-e",Notas!$E:$E,"2.11.93*",Notas!$U:$U,'Premissas DRE'!$C$10,Notas!$A:$A,K$4)-'Premissas DRE'!$C$7*SUMIFS(Notas!$AE:$AE,Notas!$C:$C,"NF-e",Notas!$E:$E,"2.11.93*",Notas!$U:$U,'Premissas DRE'!$C$10,Notas!$A:$A,K$4)</f>
        <v/>
      </c>
      <c r="L61" s="68">
        <f>SUM(C61:K61)</f>
        <v/>
      </c>
    </row>
    <row r="62">
      <c r="A62" s="53" t="inlineStr">
        <is>
          <t>Combustível (veículos)</t>
        </is>
      </c>
      <c r="B62" s="48" t="inlineStr">
        <is>
          <t>NF-e · 2.12.99</t>
        </is>
      </c>
      <c r="C62" s="68">
        <f>SUMIFS(Notas!$W:$W,Notas!$C:$C,"NF-e",Notas!$E:$E,"2.12.99*",Notas!$U:$U,'Premissas DRE'!$C$10,Notas!$A:$A,C$4)-'Premissas DRE'!$C$8*SUMIFS(Notas!$AA:$AA,Notas!$C:$C,"NF-e",Notas!$E:$E,"2.12.99*",Notas!$U:$U,'Premissas DRE'!$C$10,Notas!$A:$A,C$4)-'Premissas DRE'!$C$6*SUMIFS(Notas!$AB:$AB,Notas!$C:$C,"NF-e",Notas!$E:$E,"2.12.99*",Notas!$U:$U,'Premissas DRE'!$C$10,Notas!$A:$A,C$4)-'Premissas DRE'!$C$7*SUMIFS(Notas!$AD:$AD,Notas!$C:$C,"NF-e",Notas!$E:$E,"2.12.99*",Notas!$U:$U,'Premissas DRE'!$C$10,Notas!$A:$A,C$4)-'Premissas DRE'!$C$7*SUMIFS(Notas!$AE:$AE,Notas!$C:$C,"NF-e",Notas!$E:$E,"2.12.99*",Notas!$U:$U,'Premissas DRE'!$C$10,Notas!$A:$A,C$4)</f>
        <v/>
      </c>
      <c r="D62" s="68">
        <f>SUMIFS(Notas!$W:$W,Notas!$C:$C,"NF-e",Notas!$E:$E,"2.12.99*",Notas!$U:$U,'Premissas DRE'!$C$10,Notas!$A:$A,D$4)-'Premissas DRE'!$C$8*SUMIFS(Notas!$AA:$AA,Notas!$C:$C,"NF-e",Notas!$E:$E,"2.12.99*",Notas!$U:$U,'Premissas DRE'!$C$10,Notas!$A:$A,D$4)-'Premissas DRE'!$C$6*SUMIFS(Notas!$AB:$AB,Notas!$C:$C,"NF-e",Notas!$E:$E,"2.12.99*",Notas!$U:$U,'Premissas DRE'!$C$10,Notas!$A:$A,D$4)-'Premissas DRE'!$C$7*SUMIFS(Notas!$AD:$AD,Notas!$C:$C,"NF-e",Notas!$E:$E,"2.12.99*",Notas!$U:$U,'Premissas DRE'!$C$10,Notas!$A:$A,D$4)-'Premissas DRE'!$C$7*SUMIFS(Notas!$AE:$AE,Notas!$C:$C,"NF-e",Notas!$E:$E,"2.12.99*",Notas!$U:$U,'Premissas DRE'!$C$10,Notas!$A:$A,D$4)</f>
        <v/>
      </c>
      <c r="E62" s="68">
        <f>SUMIFS(Notas!$W:$W,Notas!$C:$C,"NF-e",Notas!$E:$E,"2.12.99*",Notas!$U:$U,'Premissas DRE'!$C$10,Notas!$A:$A,E$4)-'Premissas DRE'!$C$8*SUMIFS(Notas!$AA:$AA,Notas!$C:$C,"NF-e",Notas!$E:$E,"2.12.99*",Notas!$U:$U,'Premissas DRE'!$C$10,Notas!$A:$A,E$4)-'Premissas DRE'!$C$6*SUMIFS(Notas!$AB:$AB,Notas!$C:$C,"NF-e",Notas!$E:$E,"2.12.99*",Notas!$U:$U,'Premissas DRE'!$C$10,Notas!$A:$A,E$4)-'Premissas DRE'!$C$7*SUMIFS(Notas!$AD:$AD,Notas!$C:$C,"NF-e",Notas!$E:$E,"2.12.99*",Notas!$U:$U,'Premissas DRE'!$C$10,Notas!$A:$A,E$4)-'Premissas DRE'!$C$7*SUMIFS(Notas!$AE:$AE,Notas!$C:$C,"NF-e",Notas!$E:$E,"2.12.99*",Notas!$U:$U,'Premissas DRE'!$C$10,Notas!$A:$A,E$4)</f>
        <v/>
      </c>
      <c r="F62" s="68">
        <f>SUMIFS(Notas!$W:$W,Notas!$C:$C,"NF-e",Notas!$E:$E,"2.12.99*",Notas!$U:$U,'Premissas DRE'!$C$10,Notas!$A:$A,F$4)-'Premissas DRE'!$C$8*SUMIFS(Notas!$AA:$AA,Notas!$C:$C,"NF-e",Notas!$E:$E,"2.12.99*",Notas!$U:$U,'Premissas DRE'!$C$10,Notas!$A:$A,F$4)-'Premissas DRE'!$C$6*SUMIFS(Notas!$AB:$AB,Notas!$C:$C,"NF-e",Notas!$E:$E,"2.12.99*",Notas!$U:$U,'Premissas DRE'!$C$10,Notas!$A:$A,F$4)-'Premissas DRE'!$C$7*SUMIFS(Notas!$AD:$AD,Notas!$C:$C,"NF-e",Notas!$E:$E,"2.12.99*",Notas!$U:$U,'Premissas DRE'!$C$10,Notas!$A:$A,F$4)-'Premissas DRE'!$C$7*SUMIFS(Notas!$AE:$AE,Notas!$C:$C,"NF-e",Notas!$E:$E,"2.12.99*",Notas!$U:$U,'Premissas DRE'!$C$10,Notas!$A:$A,F$4)</f>
        <v/>
      </c>
      <c r="G62" s="68">
        <f>SUMIFS(Notas!$W:$W,Notas!$C:$C,"NF-e",Notas!$E:$E,"2.12.99*",Notas!$U:$U,'Premissas DRE'!$C$10,Notas!$A:$A,G$4)-'Premissas DRE'!$C$8*SUMIFS(Notas!$AA:$AA,Notas!$C:$C,"NF-e",Notas!$E:$E,"2.12.99*",Notas!$U:$U,'Premissas DRE'!$C$10,Notas!$A:$A,G$4)-'Premissas DRE'!$C$6*SUMIFS(Notas!$AB:$AB,Notas!$C:$C,"NF-e",Notas!$E:$E,"2.12.99*",Notas!$U:$U,'Premissas DRE'!$C$10,Notas!$A:$A,G$4)-'Premissas DRE'!$C$7*SUMIFS(Notas!$AD:$AD,Notas!$C:$C,"NF-e",Notas!$E:$E,"2.12.99*",Notas!$U:$U,'Premissas DRE'!$C$10,Notas!$A:$A,G$4)-'Premissas DRE'!$C$7*SUMIFS(Notas!$AE:$AE,Notas!$C:$C,"NF-e",Notas!$E:$E,"2.12.99*",Notas!$U:$U,'Premissas DRE'!$C$10,Notas!$A:$A,G$4)</f>
        <v/>
      </c>
      <c r="H62" s="68">
        <f>SUMIFS(Notas!$W:$W,Notas!$C:$C,"NF-e",Notas!$E:$E,"2.12.99*",Notas!$U:$U,'Premissas DRE'!$C$10,Notas!$A:$A,H$4)-'Premissas DRE'!$C$8*SUMIFS(Notas!$AA:$AA,Notas!$C:$C,"NF-e",Notas!$E:$E,"2.12.99*",Notas!$U:$U,'Premissas DRE'!$C$10,Notas!$A:$A,H$4)-'Premissas DRE'!$C$6*SUMIFS(Notas!$AB:$AB,Notas!$C:$C,"NF-e",Notas!$E:$E,"2.12.99*",Notas!$U:$U,'Premissas DRE'!$C$10,Notas!$A:$A,H$4)-'Premissas DRE'!$C$7*SUMIFS(Notas!$AD:$AD,Notas!$C:$C,"NF-e",Notas!$E:$E,"2.12.99*",Notas!$U:$U,'Premissas DRE'!$C$10,Notas!$A:$A,H$4)-'Premissas DRE'!$C$7*SUMIFS(Notas!$AE:$AE,Notas!$C:$C,"NF-e",Notas!$E:$E,"2.12.99*",Notas!$U:$U,'Premissas DRE'!$C$10,Notas!$A:$A,H$4)</f>
        <v/>
      </c>
      <c r="I62" s="68">
        <f>SUMIFS(Notas!$W:$W,Notas!$C:$C,"NF-e",Notas!$E:$E,"2.12.99*",Notas!$U:$U,'Premissas DRE'!$C$10,Notas!$A:$A,I$4)-'Premissas DRE'!$C$8*SUMIFS(Notas!$AA:$AA,Notas!$C:$C,"NF-e",Notas!$E:$E,"2.12.99*",Notas!$U:$U,'Premissas DRE'!$C$10,Notas!$A:$A,I$4)-'Premissas DRE'!$C$6*SUMIFS(Notas!$AB:$AB,Notas!$C:$C,"NF-e",Notas!$E:$E,"2.12.99*",Notas!$U:$U,'Premissas DRE'!$C$10,Notas!$A:$A,I$4)-'Premissas DRE'!$C$7*SUMIFS(Notas!$AD:$AD,Notas!$C:$C,"NF-e",Notas!$E:$E,"2.12.99*",Notas!$U:$U,'Premissas DRE'!$C$10,Notas!$A:$A,I$4)-'Premissas DRE'!$C$7*SUMIFS(Notas!$AE:$AE,Notas!$C:$C,"NF-e",Notas!$E:$E,"2.12.99*",Notas!$U:$U,'Premissas DRE'!$C$10,Notas!$A:$A,I$4)</f>
        <v/>
      </c>
      <c r="J62" s="68">
        <f>SUMIFS(Notas!$W:$W,Notas!$C:$C,"NF-e",Notas!$E:$E,"2.12.99*",Notas!$U:$U,'Premissas DRE'!$C$10,Notas!$A:$A,J$4)-'Premissas DRE'!$C$8*SUMIFS(Notas!$AA:$AA,Notas!$C:$C,"NF-e",Notas!$E:$E,"2.12.99*",Notas!$U:$U,'Premissas DRE'!$C$10,Notas!$A:$A,J$4)-'Premissas DRE'!$C$6*SUMIFS(Notas!$AB:$AB,Notas!$C:$C,"NF-e",Notas!$E:$E,"2.12.99*",Notas!$U:$U,'Premissas DRE'!$C$10,Notas!$A:$A,J$4)-'Premissas DRE'!$C$7*SUMIFS(Notas!$AD:$AD,Notas!$C:$C,"NF-e",Notas!$E:$E,"2.12.99*",Notas!$U:$U,'Premissas DRE'!$C$10,Notas!$A:$A,J$4)-'Premissas DRE'!$C$7*SUMIFS(Notas!$AE:$AE,Notas!$C:$C,"NF-e",Notas!$E:$E,"2.12.99*",Notas!$U:$U,'Premissas DRE'!$C$10,Notas!$A:$A,J$4)</f>
        <v/>
      </c>
      <c r="K62" s="68">
        <f>SUMIFS(Notas!$W:$W,Notas!$C:$C,"NF-e",Notas!$E:$E,"2.12.99*",Notas!$U:$U,'Premissas DRE'!$C$10,Notas!$A:$A,K$4)-'Premissas DRE'!$C$8*SUMIFS(Notas!$AA:$AA,Notas!$C:$C,"NF-e",Notas!$E:$E,"2.12.99*",Notas!$U:$U,'Premissas DRE'!$C$10,Notas!$A:$A,K$4)-'Premissas DRE'!$C$6*SUMIFS(Notas!$AB:$AB,Notas!$C:$C,"NF-e",Notas!$E:$E,"2.12.99*",Notas!$U:$U,'Premissas DRE'!$C$10,Notas!$A:$A,K$4)-'Premissas DRE'!$C$7*SUMIFS(Notas!$AD:$AD,Notas!$C:$C,"NF-e",Notas!$E:$E,"2.12.99*",Notas!$U:$U,'Premissas DRE'!$C$10,Notas!$A:$A,K$4)-'Premissas DRE'!$C$7*SUMIFS(Notas!$AE:$AE,Notas!$C:$C,"NF-e",Notas!$E:$E,"2.12.99*",Notas!$U:$U,'Premissas DRE'!$C$10,Notas!$A:$A,K$4)</f>
        <v/>
      </c>
      <c r="L62" s="68">
        <f>SUM(C62:K62)</f>
        <v/>
      </c>
    </row>
    <row r="63">
      <c r="A63" s="53" t="inlineStr">
        <is>
          <t>Sede — benfeitoria</t>
        </is>
      </c>
      <c r="B63" s="48" t="inlineStr">
        <is>
          <t>NF-e · 2.16.93</t>
        </is>
      </c>
      <c r="C63" s="68">
        <f>SUMIFS(Notas!$W:$W,Notas!$C:$C,"NF-e",Notas!$E:$E,"2.16.93*",Notas!$U:$U,'Premissas DRE'!$C$10,Notas!$A:$A,C$4)-'Premissas DRE'!$C$8*SUMIFS(Notas!$AA:$AA,Notas!$C:$C,"NF-e",Notas!$E:$E,"2.16.93*",Notas!$U:$U,'Premissas DRE'!$C$10,Notas!$A:$A,C$4)-'Premissas DRE'!$C$6*SUMIFS(Notas!$AB:$AB,Notas!$C:$C,"NF-e",Notas!$E:$E,"2.16.93*",Notas!$U:$U,'Premissas DRE'!$C$10,Notas!$A:$A,C$4)-'Premissas DRE'!$C$7*SUMIFS(Notas!$AD:$AD,Notas!$C:$C,"NF-e",Notas!$E:$E,"2.16.93*",Notas!$U:$U,'Premissas DRE'!$C$10,Notas!$A:$A,C$4)-'Premissas DRE'!$C$7*SUMIFS(Notas!$AE:$AE,Notas!$C:$C,"NF-e",Notas!$E:$E,"2.16.93*",Notas!$U:$U,'Premissas DRE'!$C$10,Notas!$A:$A,C$4)</f>
        <v/>
      </c>
      <c r="D63" s="68">
        <f>SUMIFS(Notas!$W:$W,Notas!$C:$C,"NF-e",Notas!$E:$E,"2.16.93*",Notas!$U:$U,'Premissas DRE'!$C$10,Notas!$A:$A,D$4)-'Premissas DRE'!$C$8*SUMIFS(Notas!$AA:$AA,Notas!$C:$C,"NF-e",Notas!$E:$E,"2.16.93*",Notas!$U:$U,'Premissas DRE'!$C$10,Notas!$A:$A,D$4)-'Premissas DRE'!$C$6*SUMIFS(Notas!$AB:$AB,Notas!$C:$C,"NF-e",Notas!$E:$E,"2.16.93*",Notas!$U:$U,'Premissas DRE'!$C$10,Notas!$A:$A,D$4)-'Premissas DRE'!$C$7*SUMIFS(Notas!$AD:$AD,Notas!$C:$C,"NF-e",Notas!$E:$E,"2.16.93*",Notas!$U:$U,'Premissas DRE'!$C$10,Notas!$A:$A,D$4)-'Premissas DRE'!$C$7*SUMIFS(Notas!$AE:$AE,Notas!$C:$C,"NF-e",Notas!$E:$E,"2.16.93*",Notas!$U:$U,'Premissas DRE'!$C$10,Notas!$A:$A,D$4)</f>
        <v/>
      </c>
      <c r="E63" s="68">
        <f>SUMIFS(Notas!$W:$W,Notas!$C:$C,"NF-e",Notas!$E:$E,"2.16.93*",Notas!$U:$U,'Premissas DRE'!$C$10,Notas!$A:$A,E$4)-'Premissas DRE'!$C$8*SUMIFS(Notas!$AA:$AA,Notas!$C:$C,"NF-e",Notas!$E:$E,"2.16.93*",Notas!$U:$U,'Premissas DRE'!$C$10,Notas!$A:$A,E$4)-'Premissas DRE'!$C$6*SUMIFS(Notas!$AB:$AB,Notas!$C:$C,"NF-e",Notas!$E:$E,"2.16.93*",Notas!$U:$U,'Premissas DRE'!$C$10,Notas!$A:$A,E$4)-'Premissas DRE'!$C$7*SUMIFS(Notas!$AD:$AD,Notas!$C:$C,"NF-e",Notas!$E:$E,"2.16.93*",Notas!$U:$U,'Premissas DRE'!$C$10,Notas!$A:$A,E$4)-'Premissas DRE'!$C$7*SUMIFS(Notas!$AE:$AE,Notas!$C:$C,"NF-e",Notas!$E:$E,"2.16.93*",Notas!$U:$U,'Premissas DRE'!$C$10,Notas!$A:$A,E$4)</f>
        <v/>
      </c>
      <c r="F63" s="68">
        <f>SUMIFS(Notas!$W:$W,Notas!$C:$C,"NF-e",Notas!$E:$E,"2.16.93*",Notas!$U:$U,'Premissas DRE'!$C$10,Notas!$A:$A,F$4)-'Premissas DRE'!$C$8*SUMIFS(Notas!$AA:$AA,Notas!$C:$C,"NF-e",Notas!$E:$E,"2.16.93*",Notas!$U:$U,'Premissas DRE'!$C$10,Notas!$A:$A,F$4)-'Premissas DRE'!$C$6*SUMIFS(Notas!$AB:$AB,Notas!$C:$C,"NF-e",Notas!$E:$E,"2.16.93*",Notas!$U:$U,'Premissas DRE'!$C$10,Notas!$A:$A,F$4)-'Premissas DRE'!$C$7*SUMIFS(Notas!$AD:$AD,Notas!$C:$C,"NF-e",Notas!$E:$E,"2.16.93*",Notas!$U:$U,'Premissas DRE'!$C$10,Notas!$A:$A,F$4)-'Premissas DRE'!$C$7*SUMIFS(Notas!$AE:$AE,Notas!$C:$C,"NF-e",Notas!$E:$E,"2.16.93*",Notas!$U:$U,'Premissas DRE'!$C$10,Notas!$A:$A,F$4)</f>
        <v/>
      </c>
      <c r="G63" s="68">
        <f>SUMIFS(Notas!$W:$W,Notas!$C:$C,"NF-e",Notas!$E:$E,"2.16.93*",Notas!$U:$U,'Premissas DRE'!$C$10,Notas!$A:$A,G$4)-'Premissas DRE'!$C$8*SUMIFS(Notas!$AA:$AA,Notas!$C:$C,"NF-e",Notas!$E:$E,"2.16.93*",Notas!$U:$U,'Premissas DRE'!$C$10,Notas!$A:$A,G$4)-'Premissas DRE'!$C$6*SUMIFS(Notas!$AB:$AB,Notas!$C:$C,"NF-e",Notas!$E:$E,"2.16.93*",Notas!$U:$U,'Premissas DRE'!$C$10,Notas!$A:$A,G$4)-'Premissas DRE'!$C$7*SUMIFS(Notas!$AD:$AD,Notas!$C:$C,"NF-e",Notas!$E:$E,"2.16.93*",Notas!$U:$U,'Premissas DRE'!$C$10,Notas!$A:$A,G$4)-'Premissas DRE'!$C$7*SUMIFS(Notas!$AE:$AE,Notas!$C:$C,"NF-e",Notas!$E:$E,"2.16.93*",Notas!$U:$U,'Premissas DRE'!$C$10,Notas!$A:$A,G$4)</f>
        <v/>
      </c>
      <c r="H63" s="68">
        <f>SUMIFS(Notas!$W:$W,Notas!$C:$C,"NF-e",Notas!$E:$E,"2.16.93*",Notas!$U:$U,'Premissas DRE'!$C$10,Notas!$A:$A,H$4)-'Premissas DRE'!$C$8*SUMIFS(Notas!$AA:$AA,Notas!$C:$C,"NF-e",Notas!$E:$E,"2.16.93*",Notas!$U:$U,'Premissas DRE'!$C$10,Notas!$A:$A,H$4)-'Premissas DRE'!$C$6*SUMIFS(Notas!$AB:$AB,Notas!$C:$C,"NF-e",Notas!$E:$E,"2.16.93*",Notas!$U:$U,'Premissas DRE'!$C$10,Notas!$A:$A,H$4)-'Premissas DRE'!$C$7*SUMIFS(Notas!$AD:$AD,Notas!$C:$C,"NF-e",Notas!$E:$E,"2.16.93*",Notas!$U:$U,'Premissas DRE'!$C$10,Notas!$A:$A,H$4)-'Premissas DRE'!$C$7*SUMIFS(Notas!$AE:$AE,Notas!$C:$C,"NF-e",Notas!$E:$E,"2.16.93*",Notas!$U:$U,'Premissas DRE'!$C$10,Notas!$A:$A,H$4)</f>
        <v/>
      </c>
      <c r="I63" s="68">
        <f>SUMIFS(Notas!$W:$W,Notas!$C:$C,"NF-e",Notas!$E:$E,"2.16.93*",Notas!$U:$U,'Premissas DRE'!$C$10,Notas!$A:$A,I$4)-'Premissas DRE'!$C$8*SUMIFS(Notas!$AA:$AA,Notas!$C:$C,"NF-e",Notas!$E:$E,"2.16.93*",Notas!$U:$U,'Premissas DRE'!$C$10,Notas!$A:$A,I$4)-'Premissas DRE'!$C$6*SUMIFS(Notas!$AB:$AB,Notas!$C:$C,"NF-e",Notas!$E:$E,"2.16.93*",Notas!$U:$U,'Premissas DRE'!$C$10,Notas!$A:$A,I$4)-'Premissas DRE'!$C$7*SUMIFS(Notas!$AD:$AD,Notas!$C:$C,"NF-e",Notas!$E:$E,"2.16.93*",Notas!$U:$U,'Premissas DRE'!$C$10,Notas!$A:$A,I$4)-'Premissas DRE'!$C$7*SUMIFS(Notas!$AE:$AE,Notas!$C:$C,"NF-e",Notas!$E:$E,"2.16.93*",Notas!$U:$U,'Premissas DRE'!$C$10,Notas!$A:$A,I$4)</f>
        <v/>
      </c>
      <c r="J63" s="68">
        <f>SUMIFS(Notas!$W:$W,Notas!$C:$C,"NF-e",Notas!$E:$E,"2.16.93*",Notas!$U:$U,'Premissas DRE'!$C$10,Notas!$A:$A,J$4)-'Premissas DRE'!$C$8*SUMIFS(Notas!$AA:$AA,Notas!$C:$C,"NF-e",Notas!$E:$E,"2.16.93*",Notas!$U:$U,'Premissas DRE'!$C$10,Notas!$A:$A,J$4)-'Premissas DRE'!$C$6*SUMIFS(Notas!$AB:$AB,Notas!$C:$C,"NF-e",Notas!$E:$E,"2.16.93*",Notas!$U:$U,'Premissas DRE'!$C$10,Notas!$A:$A,J$4)-'Premissas DRE'!$C$7*SUMIFS(Notas!$AD:$AD,Notas!$C:$C,"NF-e",Notas!$E:$E,"2.16.93*",Notas!$U:$U,'Premissas DRE'!$C$10,Notas!$A:$A,J$4)-'Premissas DRE'!$C$7*SUMIFS(Notas!$AE:$AE,Notas!$C:$C,"NF-e",Notas!$E:$E,"2.16.93*",Notas!$U:$U,'Premissas DRE'!$C$10,Notas!$A:$A,J$4)</f>
        <v/>
      </c>
      <c r="K63" s="68">
        <f>SUMIFS(Notas!$W:$W,Notas!$C:$C,"NF-e",Notas!$E:$E,"2.16.93*",Notas!$U:$U,'Premissas DRE'!$C$10,Notas!$A:$A,K$4)-'Premissas DRE'!$C$8*SUMIFS(Notas!$AA:$AA,Notas!$C:$C,"NF-e",Notas!$E:$E,"2.16.93*",Notas!$U:$U,'Premissas DRE'!$C$10,Notas!$A:$A,K$4)-'Premissas DRE'!$C$6*SUMIFS(Notas!$AB:$AB,Notas!$C:$C,"NF-e",Notas!$E:$E,"2.16.93*",Notas!$U:$U,'Premissas DRE'!$C$10,Notas!$A:$A,K$4)-'Premissas DRE'!$C$7*SUMIFS(Notas!$AD:$AD,Notas!$C:$C,"NF-e",Notas!$E:$E,"2.16.93*",Notas!$U:$U,'Premissas DRE'!$C$10,Notas!$A:$A,K$4)-'Premissas DRE'!$C$7*SUMIFS(Notas!$AE:$AE,Notas!$C:$C,"NF-e",Notas!$E:$E,"2.16.93*",Notas!$U:$U,'Premissas DRE'!$C$10,Notas!$A:$A,K$4)</f>
        <v/>
      </c>
      <c r="L63" s="68">
        <f>SUM(C63:K63)</f>
        <v/>
      </c>
    </row>
    <row r="64">
      <c r="A64" s="53" t="inlineStr">
        <is>
          <t>Sede — despesas gerais</t>
        </is>
      </c>
      <c r="B64" s="48" t="inlineStr">
        <is>
          <t>NF-e · 2.16.94</t>
        </is>
      </c>
      <c r="C64" s="68">
        <f>SUMIFS(Notas!$W:$W,Notas!$C:$C,"NF-e",Notas!$E:$E,"2.16.94*",Notas!$U:$U,'Premissas DRE'!$C$10,Notas!$A:$A,C$4)-'Premissas DRE'!$C$8*SUMIFS(Notas!$AA:$AA,Notas!$C:$C,"NF-e",Notas!$E:$E,"2.16.94*",Notas!$U:$U,'Premissas DRE'!$C$10,Notas!$A:$A,C$4)-'Premissas DRE'!$C$6*SUMIFS(Notas!$AB:$AB,Notas!$C:$C,"NF-e",Notas!$E:$E,"2.16.94*",Notas!$U:$U,'Premissas DRE'!$C$10,Notas!$A:$A,C$4)-'Premissas DRE'!$C$7*SUMIFS(Notas!$AD:$AD,Notas!$C:$C,"NF-e",Notas!$E:$E,"2.16.94*",Notas!$U:$U,'Premissas DRE'!$C$10,Notas!$A:$A,C$4)-'Premissas DRE'!$C$7*SUMIFS(Notas!$AE:$AE,Notas!$C:$C,"NF-e",Notas!$E:$E,"2.16.94*",Notas!$U:$U,'Premissas DRE'!$C$10,Notas!$A:$A,C$4)</f>
        <v/>
      </c>
      <c r="D64" s="68">
        <f>SUMIFS(Notas!$W:$W,Notas!$C:$C,"NF-e",Notas!$E:$E,"2.16.94*",Notas!$U:$U,'Premissas DRE'!$C$10,Notas!$A:$A,D$4)-'Premissas DRE'!$C$8*SUMIFS(Notas!$AA:$AA,Notas!$C:$C,"NF-e",Notas!$E:$E,"2.16.94*",Notas!$U:$U,'Premissas DRE'!$C$10,Notas!$A:$A,D$4)-'Premissas DRE'!$C$6*SUMIFS(Notas!$AB:$AB,Notas!$C:$C,"NF-e",Notas!$E:$E,"2.16.94*",Notas!$U:$U,'Premissas DRE'!$C$10,Notas!$A:$A,D$4)-'Premissas DRE'!$C$7*SUMIFS(Notas!$AD:$AD,Notas!$C:$C,"NF-e",Notas!$E:$E,"2.16.94*",Notas!$U:$U,'Premissas DRE'!$C$10,Notas!$A:$A,D$4)-'Premissas DRE'!$C$7*SUMIFS(Notas!$AE:$AE,Notas!$C:$C,"NF-e",Notas!$E:$E,"2.16.94*",Notas!$U:$U,'Premissas DRE'!$C$10,Notas!$A:$A,D$4)</f>
        <v/>
      </c>
      <c r="E64" s="68">
        <f>SUMIFS(Notas!$W:$W,Notas!$C:$C,"NF-e",Notas!$E:$E,"2.16.94*",Notas!$U:$U,'Premissas DRE'!$C$10,Notas!$A:$A,E$4)-'Premissas DRE'!$C$8*SUMIFS(Notas!$AA:$AA,Notas!$C:$C,"NF-e",Notas!$E:$E,"2.16.94*",Notas!$U:$U,'Premissas DRE'!$C$10,Notas!$A:$A,E$4)-'Premissas DRE'!$C$6*SUMIFS(Notas!$AB:$AB,Notas!$C:$C,"NF-e",Notas!$E:$E,"2.16.94*",Notas!$U:$U,'Premissas DRE'!$C$10,Notas!$A:$A,E$4)-'Premissas DRE'!$C$7*SUMIFS(Notas!$AD:$AD,Notas!$C:$C,"NF-e",Notas!$E:$E,"2.16.94*",Notas!$U:$U,'Premissas DRE'!$C$10,Notas!$A:$A,E$4)-'Premissas DRE'!$C$7*SUMIFS(Notas!$AE:$AE,Notas!$C:$C,"NF-e",Notas!$E:$E,"2.16.94*",Notas!$U:$U,'Premissas DRE'!$C$10,Notas!$A:$A,E$4)</f>
        <v/>
      </c>
      <c r="F64" s="68">
        <f>SUMIFS(Notas!$W:$W,Notas!$C:$C,"NF-e",Notas!$E:$E,"2.16.94*",Notas!$U:$U,'Premissas DRE'!$C$10,Notas!$A:$A,F$4)-'Premissas DRE'!$C$8*SUMIFS(Notas!$AA:$AA,Notas!$C:$C,"NF-e",Notas!$E:$E,"2.16.94*",Notas!$U:$U,'Premissas DRE'!$C$10,Notas!$A:$A,F$4)-'Premissas DRE'!$C$6*SUMIFS(Notas!$AB:$AB,Notas!$C:$C,"NF-e",Notas!$E:$E,"2.16.94*",Notas!$U:$U,'Premissas DRE'!$C$10,Notas!$A:$A,F$4)-'Premissas DRE'!$C$7*SUMIFS(Notas!$AD:$AD,Notas!$C:$C,"NF-e",Notas!$E:$E,"2.16.94*",Notas!$U:$U,'Premissas DRE'!$C$10,Notas!$A:$A,F$4)-'Premissas DRE'!$C$7*SUMIFS(Notas!$AE:$AE,Notas!$C:$C,"NF-e",Notas!$E:$E,"2.16.94*",Notas!$U:$U,'Premissas DRE'!$C$10,Notas!$A:$A,F$4)</f>
        <v/>
      </c>
      <c r="G64" s="68">
        <f>SUMIFS(Notas!$W:$W,Notas!$C:$C,"NF-e",Notas!$E:$E,"2.16.94*",Notas!$U:$U,'Premissas DRE'!$C$10,Notas!$A:$A,G$4)-'Premissas DRE'!$C$8*SUMIFS(Notas!$AA:$AA,Notas!$C:$C,"NF-e",Notas!$E:$E,"2.16.94*",Notas!$U:$U,'Premissas DRE'!$C$10,Notas!$A:$A,G$4)-'Premissas DRE'!$C$6*SUMIFS(Notas!$AB:$AB,Notas!$C:$C,"NF-e",Notas!$E:$E,"2.16.94*",Notas!$U:$U,'Premissas DRE'!$C$10,Notas!$A:$A,G$4)-'Premissas DRE'!$C$7*SUMIFS(Notas!$AD:$AD,Notas!$C:$C,"NF-e",Notas!$E:$E,"2.16.94*",Notas!$U:$U,'Premissas DRE'!$C$10,Notas!$A:$A,G$4)-'Premissas DRE'!$C$7*SUMIFS(Notas!$AE:$AE,Notas!$C:$C,"NF-e",Notas!$E:$E,"2.16.94*",Notas!$U:$U,'Premissas DRE'!$C$10,Notas!$A:$A,G$4)</f>
        <v/>
      </c>
      <c r="H64" s="68">
        <f>SUMIFS(Notas!$W:$W,Notas!$C:$C,"NF-e",Notas!$E:$E,"2.16.94*",Notas!$U:$U,'Premissas DRE'!$C$10,Notas!$A:$A,H$4)-'Premissas DRE'!$C$8*SUMIFS(Notas!$AA:$AA,Notas!$C:$C,"NF-e",Notas!$E:$E,"2.16.94*",Notas!$U:$U,'Premissas DRE'!$C$10,Notas!$A:$A,H$4)-'Premissas DRE'!$C$6*SUMIFS(Notas!$AB:$AB,Notas!$C:$C,"NF-e",Notas!$E:$E,"2.16.94*",Notas!$U:$U,'Premissas DRE'!$C$10,Notas!$A:$A,H$4)-'Premissas DRE'!$C$7*SUMIFS(Notas!$AD:$AD,Notas!$C:$C,"NF-e",Notas!$E:$E,"2.16.94*",Notas!$U:$U,'Premissas DRE'!$C$10,Notas!$A:$A,H$4)-'Premissas DRE'!$C$7*SUMIFS(Notas!$AE:$AE,Notas!$C:$C,"NF-e",Notas!$E:$E,"2.16.94*",Notas!$U:$U,'Premissas DRE'!$C$10,Notas!$A:$A,H$4)</f>
        <v/>
      </c>
      <c r="I64" s="68">
        <f>SUMIFS(Notas!$W:$W,Notas!$C:$C,"NF-e",Notas!$E:$E,"2.16.94*",Notas!$U:$U,'Premissas DRE'!$C$10,Notas!$A:$A,I$4)-'Premissas DRE'!$C$8*SUMIFS(Notas!$AA:$AA,Notas!$C:$C,"NF-e",Notas!$E:$E,"2.16.94*",Notas!$U:$U,'Premissas DRE'!$C$10,Notas!$A:$A,I$4)-'Premissas DRE'!$C$6*SUMIFS(Notas!$AB:$AB,Notas!$C:$C,"NF-e",Notas!$E:$E,"2.16.94*",Notas!$U:$U,'Premissas DRE'!$C$10,Notas!$A:$A,I$4)-'Premissas DRE'!$C$7*SUMIFS(Notas!$AD:$AD,Notas!$C:$C,"NF-e",Notas!$E:$E,"2.16.94*",Notas!$U:$U,'Premissas DRE'!$C$10,Notas!$A:$A,I$4)-'Premissas DRE'!$C$7*SUMIFS(Notas!$AE:$AE,Notas!$C:$C,"NF-e",Notas!$E:$E,"2.16.94*",Notas!$U:$U,'Premissas DRE'!$C$10,Notas!$A:$A,I$4)</f>
        <v/>
      </c>
      <c r="J64" s="68">
        <f>SUMIFS(Notas!$W:$W,Notas!$C:$C,"NF-e",Notas!$E:$E,"2.16.94*",Notas!$U:$U,'Premissas DRE'!$C$10,Notas!$A:$A,J$4)-'Premissas DRE'!$C$8*SUMIFS(Notas!$AA:$AA,Notas!$C:$C,"NF-e",Notas!$E:$E,"2.16.94*",Notas!$U:$U,'Premissas DRE'!$C$10,Notas!$A:$A,J$4)-'Premissas DRE'!$C$6*SUMIFS(Notas!$AB:$AB,Notas!$C:$C,"NF-e",Notas!$E:$E,"2.16.94*",Notas!$U:$U,'Premissas DRE'!$C$10,Notas!$A:$A,J$4)-'Premissas DRE'!$C$7*SUMIFS(Notas!$AD:$AD,Notas!$C:$C,"NF-e",Notas!$E:$E,"2.16.94*",Notas!$U:$U,'Premissas DRE'!$C$10,Notas!$A:$A,J$4)-'Premissas DRE'!$C$7*SUMIFS(Notas!$AE:$AE,Notas!$C:$C,"NF-e",Notas!$E:$E,"2.16.94*",Notas!$U:$U,'Premissas DRE'!$C$10,Notas!$A:$A,J$4)</f>
        <v/>
      </c>
      <c r="K64" s="68">
        <f>SUMIFS(Notas!$W:$W,Notas!$C:$C,"NF-e",Notas!$E:$E,"2.16.94*",Notas!$U:$U,'Premissas DRE'!$C$10,Notas!$A:$A,K$4)-'Premissas DRE'!$C$8*SUMIFS(Notas!$AA:$AA,Notas!$C:$C,"NF-e",Notas!$E:$E,"2.16.94*",Notas!$U:$U,'Premissas DRE'!$C$10,Notas!$A:$A,K$4)-'Premissas DRE'!$C$6*SUMIFS(Notas!$AB:$AB,Notas!$C:$C,"NF-e",Notas!$E:$E,"2.16.94*",Notas!$U:$U,'Premissas DRE'!$C$10,Notas!$A:$A,K$4)-'Premissas DRE'!$C$7*SUMIFS(Notas!$AD:$AD,Notas!$C:$C,"NF-e",Notas!$E:$E,"2.16.94*",Notas!$U:$U,'Premissas DRE'!$C$10,Notas!$A:$A,K$4)-'Premissas DRE'!$C$7*SUMIFS(Notas!$AE:$AE,Notas!$C:$C,"NF-e",Notas!$E:$E,"2.16.94*",Notas!$U:$U,'Premissas DRE'!$C$10,Notas!$A:$A,K$4)</f>
        <v/>
      </c>
      <c r="L64" s="68">
        <f>SUM(C64:K64)</f>
        <v/>
      </c>
    </row>
    <row r="65">
      <c r="A65" s="53" t="inlineStr">
        <is>
          <t>Aporte Embalafoods (Sede)</t>
        </is>
      </c>
      <c r="B65" s="48" t="inlineStr">
        <is>
          <t>NF-e · 2.16.98</t>
        </is>
      </c>
      <c r="C65" s="68">
        <f>SUMIFS(Notas!$W:$W,Notas!$C:$C,"NF-e",Notas!$E:$E,"2.16.98*",Notas!$U:$U,'Premissas DRE'!$C$10,Notas!$A:$A,C$4)-'Premissas DRE'!$C$8*SUMIFS(Notas!$AA:$AA,Notas!$C:$C,"NF-e",Notas!$E:$E,"2.16.98*",Notas!$U:$U,'Premissas DRE'!$C$10,Notas!$A:$A,C$4)-'Premissas DRE'!$C$6*SUMIFS(Notas!$AB:$AB,Notas!$C:$C,"NF-e",Notas!$E:$E,"2.16.98*",Notas!$U:$U,'Premissas DRE'!$C$10,Notas!$A:$A,C$4)-'Premissas DRE'!$C$7*SUMIFS(Notas!$AD:$AD,Notas!$C:$C,"NF-e",Notas!$E:$E,"2.16.98*",Notas!$U:$U,'Premissas DRE'!$C$10,Notas!$A:$A,C$4)-'Premissas DRE'!$C$7*SUMIFS(Notas!$AE:$AE,Notas!$C:$C,"NF-e",Notas!$E:$E,"2.16.98*",Notas!$U:$U,'Premissas DRE'!$C$10,Notas!$A:$A,C$4)</f>
        <v/>
      </c>
      <c r="D65" s="68">
        <f>SUMIFS(Notas!$W:$W,Notas!$C:$C,"NF-e",Notas!$E:$E,"2.16.98*",Notas!$U:$U,'Premissas DRE'!$C$10,Notas!$A:$A,D$4)-'Premissas DRE'!$C$8*SUMIFS(Notas!$AA:$AA,Notas!$C:$C,"NF-e",Notas!$E:$E,"2.16.98*",Notas!$U:$U,'Premissas DRE'!$C$10,Notas!$A:$A,D$4)-'Premissas DRE'!$C$6*SUMIFS(Notas!$AB:$AB,Notas!$C:$C,"NF-e",Notas!$E:$E,"2.16.98*",Notas!$U:$U,'Premissas DRE'!$C$10,Notas!$A:$A,D$4)-'Premissas DRE'!$C$7*SUMIFS(Notas!$AD:$AD,Notas!$C:$C,"NF-e",Notas!$E:$E,"2.16.98*",Notas!$U:$U,'Premissas DRE'!$C$10,Notas!$A:$A,D$4)-'Premissas DRE'!$C$7*SUMIFS(Notas!$AE:$AE,Notas!$C:$C,"NF-e",Notas!$E:$E,"2.16.98*",Notas!$U:$U,'Premissas DRE'!$C$10,Notas!$A:$A,D$4)</f>
        <v/>
      </c>
      <c r="E65" s="68">
        <f>SUMIFS(Notas!$W:$W,Notas!$C:$C,"NF-e",Notas!$E:$E,"2.16.98*",Notas!$U:$U,'Premissas DRE'!$C$10,Notas!$A:$A,E$4)-'Premissas DRE'!$C$8*SUMIFS(Notas!$AA:$AA,Notas!$C:$C,"NF-e",Notas!$E:$E,"2.16.98*",Notas!$U:$U,'Premissas DRE'!$C$10,Notas!$A:$A,E$4)-'Premissas DRE'!$C$6*SUMIFS(Notas!$AB:$AB,Notas!$C:$C,"NF-e",Notas!$E:$E,"2.16.98*",Notas!$U:$U,'Premissas DRE'!$C$10,Notas!$A:$A,E$4)-'Premissas DRE'!$C$7*SUMIFS(Notas!$AD:$AD,Notas!$C:$C,"NF-e",Notas!$E:$E,"2.16.98*",Notas!$U:$U,'Premissas DRE'!$C$10,Notas!$A:$A,E$4)-'Premissas DRE'!$C$7*SUMIFS(Notas!$AE:$AE,Notas!$C:$C,"NF-e",Notas!$E:$E,"2.16.98*",Notas!$U:$U,'Premissas DRE'!$C$10,Notas!$A:$A,E$4)</f>
        <v/>
      </c>
      <c r="F65" s="68">
        <f>SUMIFS(Notas!$W:$W,Notas!$C:$C,"NF-e",Notas!$E:$E,"2.16.98*",Notas!$U:$U,'Premissas DRE'!$C$10,Notas!$A:$A,F$4)-'Premissas DRE'!$C$8*SUMIFS(Notas!$AA:$AA,Notas!$C:$C,"NF-e",Notas!$E:$E,"2.16.98*",Notas!$U:$U,'Premissas DRE'!$C$10,Notas!$A:$A,F$4)-'Premissas DRE'!$C$6*SUMIFS(Notas!$AB:$AB,Notas!$C:$C,"NF-e",Notas!$E:$E,"2.16.98*",Notas!$U:$U,'Premissas DRE'!$C$10,Notas!$A:$A,F$4)-'Premissas DRE'!$C$7*SUMIFS(Notas!$AD:$AD,Notas!$C:$C,"NF-e",Notas!$E:$E,"2.16.98*",Notas!$U:$U,'Premissas DRE'!$C$10,Notas!$A:$A,F$4)-'Premissas DRE'!$C$7*SUMIFS(Notas!$AE:$AE,Notas!$C:$C,"NF-e",Notas!$E:$E,"2.16.98*",Notas!$U:$U,'Premissas DRE'!$C$10,Notas!$A:$A,F$4)</f>
        <v/>
      </c>
      <c r="G65" s="68">
        <f>SUMIFS(Notas!$W:$W,Notas!$C:$C,"NF-e",Notas!$E:$E,"2.16.98*",Notas!$U:$U,'Premissas DRE'!$C$10,Notas!$A:$A,G$4)-'Premissas DRE'!$C$8*SUMIFS(Notas!$AA:$AA,Notas!$C:$C,"NF-e",Notas!$E:$E,"2.16.98*",Notas!$U:$U,'Premissas DRE'!$C$10,Notas!$A:$A,G$4)-'Premissas DRE'!$C$6*SUMIFS(Notas!$AB:$AB,Notas!$C:$C,"NF-e",Notas!$E:$E,"2.16.98*",Notas!$U:$U,'Premissas DRE'!$C$10,Notas!$A:$A,G$4)-'Premissas DRE'!$C$7*SUMIFS(Notas!$AD:$AD,Notas!$C:$C,"NF-e",Notas!$E:$E,"2.16.98*",Notas!$U:$U,'Premissas DRE'!$C$10,Notas!$A:$A,G$4)-'Premissas DRE'!$C$7*SUMIFS(Notas!$AE:$AE,Notas!$C:$C,"NF-e",Notas!$E:$E,"2.16.98*",Notas!$U:$U,'Premissas DRE'!$C$10,Notas!$A:$A,G$4)</f>
        <v/>
      </c>
      <c r="H65" s="68">
        <f>SUMIFS(Notas!$W:$W,Notas!$C:$C,"NF-e",Notas!$E:$E,"2.16.98*",Notas!$U:$U,'Premissas DRE'!$C$10,Notas!$A:$A,H$4)-'Premissas DRE'!$C$8*SUMIFS(Notas!$AA:$AA,Notas!$C:$C,"NF-e",Notas!$E:$E,"2.16.98*",Notas!$U:$U,'Premissas DRE'!$C$10,Notas!$A:$A,H$4)-'Premissas DRE'!$C$6*SUMIFS(Notas!$AB:$AB,Notas!$C:$C,"NF-e",Notas!$E:$E,"2.16.98*",Notas!$U:$U,'Premissas DRE'!$C$10,Notas!$A:$A,H$4)-'Premissas DRE'!$C$7*SUMIFS(Notas!$AD:$AD,Notas!$C:$C,"NF-e",Notas!$E:$E,"2.16.98*",Notas!$U:$U,'Premissas DRE'!$C$10,Notas!$A:$A,H$4)-'Premissas DRE'!$C$7*SUMIFS(Notas!$AE:$AE,Notas!$C:$C,"NF-e",Notas!$E:$E,"2.16.98*",Notas!$U:$U,'Premissas DRE'!$C$10,Notas!$A:$A,H$4)</f>
        <v/>
      </c>
      <c r="I65" s="68">
        <f>SUMIFS(Notas!$W:$W,Notas!$C:$C,"NF-e",Notas!$E:$E,"2.16.98*",Notas!$U:$U,'Premissas DRE'!$C$10,Notas!$A:$A,I$4)-'Premissas DRE'!$C$8*SUMIFS(Notas!$AA:$AA,Notas!$C:$C,"NF-e",Notas!$E:$E,"2.16.98*",Notas!$U:$U,'Premissas DRE'!$C$10,Notas!$A:$A,I$4)-'Premissas DRE'!$C$6*SUMIFS(Notas!$AB:$AB,Notas!$C:$C,"NF-e",Notas!$E:$E,"2.16.98*",Notas!$U:$U,'Premissas DRE'!$C$10,Notas!$A:$A,I$4)-'Premissas DRE'!$C$7*SUMIFS(Notas!$AD:$AD,Notas!$C:$C,"NF-e",Notas!$E:$E,"2.16.98*",Notas!$U:$U,'Premissas DRE'!$C$10,Notas!$A:$A,I$4)-'Premissas DRE'!$C$7*SUMIFS(Notas!$AE:$AE,Notas!$C:$C,"NF-e",Notas!$E:$E,"2.16.98*",Notas!$U:$U,'Premissas DRE'!$C$10,Notas!$A:$A,I$4)</f>
        <v/>
      </c>
      <c r="J65" s="68">
        <f>SUMIFS(Notas!$W:$W,Notas!$C:$C,"NF-e",Notas!$E:$E,"2.16.98*",Notas!$U:$U,'Premissas DRE'!$C$10,Notas!$A:$A,J$4)-'Premissas DRE'!$C$8*SUMIFS(Notas!$AA:$AA,Notas!$C:$C,"NF-e",Notas!$E:$E,"2.16.98*",Notas!$U:$U,'Premissas DRE'!$C$10,Notas!$A:$A,J$4)-'Premissas DRE'!$C$6*SUMIFS(Notas!$AB:$AB,Notas!$C:$C,"NF-e",Notas!$E:$E,"2.16.98*",Notas!$U:$U,'Premissas DRE'!$C$10,Notas!$A:$A,J$4)-'Premissas DRE'!$C$7*SUMIFS(Notas!$AD:$AD,Notas!$C:$C,"NF-e",Notas!$E:$E,"2.16.98*",Notas!$U:$U,'Premissas DRE'!$C$10,Notas!$A:$A,J$4)-'Premissas DRE'!$C$7*SUMIFS(Notas!$AE:$AE,Notas!$C:$C,"NF-e",Notas!$E:$E,"2.16.98*",Notas!$U:$U,'Premissas DRE'!$C$10,Notas!$A:$A,J$4)</f>
        <v/>
      </c>
      <c r="K65" s="68">
        <f>SUMIFS(Notas!$W:$W,Notas!$C:$C,"NF-e",Notas!$E:$E,"2.16.98*",Notas!$U:$U,'Premissas DRE'!$C$10,Notas!$A:$A,K$4)-'Premissas DRE'!$C$8*SUMIFS(Notas!$AA:$AA,Notas!$C:$C,"NF-e",Notas!$E:$E,"2.16.98*",Notas!$U:$U,'Premissas DRE'!$C$10,Notas!$A:$A,K$4)-'Premissas DRE'!$C$6*SUMIFS(Notas!$AB:$AB,Notas!$C:$C,"NF-e",Notas!$E:$E,"2.16.98*",Notas!$U:$U,'Premissas DRE'!$C$10,Notas!$A:$A,K$4)-'Premissas DRE'!$C$7*SUMIFS(Notas!$AD:$AD,Notas!$C:$C,"NF-e",Notas!$E:$E,"2.16.98*",Notas!$U:$U,'Premissas DRE'!$C$10,Notas!$A:$A,K$4)-'Premissas DRE'!$C$7*SUMIFS(Notas!$AE:$AE,Notas!$C:$C,"NF-e",Notas!$E:$E,"2.16.98*",Notas!$U:$U,'Premissas DRE'!$C$10,Notas!$A:$A,K$4)</f>
        <v/>
      </c>
      <c r="L65" s="68">
        <f>SUM(C65:K65)</f>
        <v/>
      </c>
    </row>
    <row r="66">
      <c r="A66" s="53" t="inlineStr">
        <is>
          <t>Investimento Sede Vinco</t>
        </is>
      </c>
      <c r="B66" s="48" t="inlineStr">
        <is>
          <t>NF-e · 2.16.99</t>
        </is>
      </c>
      <c r="C66" s="68">
        <f>SUMIFS(Notas!$W:$W,Notas!$C:$C,"NF-e",Notas!$E:$E,"2.16.99*",Notas!$U:$U,'Premissas DRE'!$C$10,Notas!$A:$A,C$4)-'Premissas DRE'!$C$8*SUMIFS(Notas!$AA:$AA,Notas!$C:$C,"NF-e",Notas!$E:$E,"2.16.99*",Notas!$U:$U,'Premissas DRE'!$C$10,Notas!$A:$A,C$4)-'Premissas DRE'!$C$6*SUMIFS(Notas!$AB:$AB,Notas!$C:$C,"NF-e",Notas!$E:$E,"2.16.99*",Notas!$U:$U,'Premissas DRE'!$C$10,Notas!$A:$A,C$4)-'Premissas DRE'!$C$7*SUMIFS(Notas!$AD:$AD,Notas!$C:$C,"NF-e",Notas!$E:$E,"2.16.99*",Notas!$U:$U,'Premissas DRE'!$C$10,Notas!$A:$A,C$4)-'Premissas DRE'!$C$7*SUMIFS(Notas!$AE:$AE,Notas!$C:$C,"NF-e",Notas!$E:$E,"2.16.99*",Notas!$U:$U,'Premissas DRE'!$C$10,Notas!$A:$A,C$4)</f>
        <v/>
      </c>
      <c r="D66" s="68">
        <f>SUMIFS(Notas!$W:$W,Notas!$C:$C,"NF-e",Notas!$E:$E,"2.16.99*",Notas!$U:$U,'Premissas DRE'!$C$10,Notas!$A:$A,D$4)-'Premissas DRE'!$C$8*SUMIFS(Notas!$AA:$AA,Notas!$C:$C,"NF-e",Notas!$E:$E,"2.16.99*",Notas!$U:$U,'Premissas DRE'!$C$10,Notas!$A:$A,D$4)-'Premissas DRE'!$C$6*SUMIFS(Notas!$AB:$AB,Notas!$C:$C,"NF-e",Notas!$E:$E,"2.16.99*",Notas!$U:$U,'Premissas DRE'!$C$10,Notas!$A:$A,D$4)-'Premissas DRE'!$C$7*SUMIFS(Notas!$AD:$AD,Notas!$C:$C,"NF-e",Notas!$E:$E,"2.16.99*",Notas!$U:$U,'Premissas DRE'!$C$10,Notas!$A:$A,D$4)-'Premissas DRE'!$C$7*SUMIFS(Notas!$AE:$AE,Notas!$C:$C,"NF-e",Notas!$E:$E,"2.16.99*",Notas!$U:$U,'Premissas DRE'!$C$10,Notas!$A:$A,D$4)</f>
        <v/>
      </c>
      <c r="E66" s="68">
        <f>SUMIFS(Notas!$W:$W,Notas!$C:$C,"NF-e",Notas!$E:$E,"2.16.99*",Notas!$U:$U,'Premissas DRE'!$C$10,Notas!$A:$A,E$4)-'Premissas DRE'!$C$8*SUMIFS(Notas!$AA:$AA,Notas!$C:$C,"NF-e",Notas!$E:$E,"2.16.99*",Notas!$U:$U,'Premissas DRE'!$C$10,Notas!$A:$A,E$4)-'Premissas DRE'!$C$6*SUMIFS(Notas!$AB:$AB,Notas!$C:$C,"NF-e",Notas!$E:$E,"2.16.99*",Notas!$U:$U,'Premissas DRE'!$C$10,Notas!$A:$A,E$4)-'Premissas DRE'!$C$7*SUMIFS(Notas!$AD:$AD,Notas!$C:$C,"NF-e",Notas!$E:$E,"2.16.99*",Notas!$U:$U,'Premissas DRE'!$C$10,Notas!$A:$A,E$4)-'Premissas DRE'!$C$7*SUMIFS(Notas!$AE:$AE,Notas!$C:$C,"NF-e",Notas!$E:$E,"2.16.99*",Notas!$U:$U,'Premissas DRE'!$C$10,Notas!$A:$A,E$4)</f>
        <v/>
      </c>
      <c r="F66" s="68">
        <f>SUMIFS(Notas!$W:$W,Notas!$C:$C,"NF-e",Notas!$E:$E,"2.16.99*",Notas!$U:$U,'Premissas DRE'!$C$10,Notas!$A:$A,F$4)-'Premissas DRE'!$C$8*SUMIFS(Notas!$AA:$AA,Notas!$C:$C,"NF-e",Notas!$E:$E,"2.16.99*",Notas!$U:$U,'Premissas DRE'!$C$10,Notas!$A:$A,F$4)-'Premissas DRE'!$C$6*SUMIFS(Notas!$AB:$AB,Notas!$C:$C,"NF-e",Notas!$E:$E,"2.16.99*",Notas!$U:$U,'Premissas DRE'!$C$10,Notas!$A:$A,F$4)-'Premissas DRE'!$C$7*SUMIFS(Notas!$AD:$AD,Notas!$C:$C,"NF-e",Notas!$E:$E,"2.16.99*",Notas!$U:$U,'Premissas DRE'!$C$10,Notas!$A:$A,F$4)-'Premissas DRE'!$C$7*SUMIFS(Notas!$AE:$AE,Notas!$C:$C,"NF-e",Notas!$E:$E,"2.16.99*",Notas!$U:$U,'Premissas DRE'!$C$10,Notas!$A:$A,F$4)</f>
        <v/>
      </c>
      <c r="G66" s="68">
        <f>SUMIFS(Notas!$W:$W,Notas!$C:$C,"NF-e",Notas!$E:$E,"2.16.99*",Notas!$U:$U,'Premissas DRE'!$C$10,Notas!$A:$A,G$4)-'Premissas DRE'!$C$8*SUMIFS(Notas!$AA:$AA,Notas!$C:$C,"NF-e",Notas!$E:$E,"2.16.99*",Notas!$U:$U,'Premissas DRE'!$C$10,Notas!$A:$A,G$4)-'Premissas DRE'!$C$6*SUMIFS(Notas!$AB:$AB,Notas!$C:$C,"NF-e",Notas!$E:$E,"2.16.99*",Notas!$U:$U,'Premissas DRE'!$C$10,Notas!$A:$A,G$4)-'Premissas DRE'!$C$7*SUMIFS(Notas!$AD:$AD,Notas!$C:$C,"NF-e",Notas!$E:$E,"2.16.99*",Notas!$U:$U,'Premissas DRE'!$C$10,Notas!$A:$A,G$4)-'Premissas DRE'!$C$7*SUMIFS(Notas!$AE:$AE,Notas!$C:$C,"NF-e",Notas!$E:$E,"2.16.99*",Notas!$U:$U,'Premissas DRE'!$C$10,Notas!$A:$A,G$4)</f>
        <v/>
      </c>
      <c r="H66" s="68">
        <f>SUMIFS(Notas!$W:$W,Notas!$C:$C,"NF-e",Notas!$E:$E,"2.16.99*",Notas!$U:$U,'Premissas DRE'!$C$10,Notas!$A:$A,H$4)-'Premissas DRE'!$C$8*SUMIFS(Notas!$AA:$AA,Notas!$C:$C,"NF-e",Notas!$E:$E,"2.16.99*",Notas!$U:$U,'Premissas DRE'!$C$10,Notas!$A:$A,H$4)-'Premissas DRE'!$C$6*SUMIFS(Notas!$AB:$AB,Notas!$C:$C,"NF-e",Notas!$E:$E,"2.16.99*",Notas!$U:$U,'Premissas DRE'!$C$10,Notas!$A:$A,H$4)-'Premissas DRE'!$C$7*SUMIFS(Notas!$AD:$AD,Notas!$C:$C,"NF-e",Notas!$E:$E,"2.16.99*",Notas!$U:$U,'Premissas DRE'!$C$10,Notas!$A:$A,H$4)-'Premissas DRE'!$C$7*SUMIFS(Notas!$AE:$AE,Notas!$C:$C,"NF-e",Notas!$E:$E,"2.16.99*",Notas!$U:$U,'Premissas DRE'!$C$10,Notas!$A:$A,H$4)</f>
        <v/>
      </c>
      <c r="I66" s="68">
        <f>SUMIFS(Notas!$W:$W,Notas!$C:$C,"NF-e",Notas!$E:$E,"2.16.99*",Notas!$U:$U,'Premissas DRE'!$C$10,Notas!$A:$A,I$4)-'Premissas DRE'!$C$8*SUMIFS(Notas!$AA:$AA,Notas!$C:$C,"NF-e",Notas!$E:$E,"2.16.99*",Notas!$U:$U,'Premissas DRE'!$C$10,Notas!$A:$A,I$4)-'Premissas DRE'!$C$6*SUMIFS(Notas!$AB:$AB,Notas!$C:$C,"NF-e",Notas!$E:$E,"2.16.99*",Notas!$U:$U,'Premissas DRE'!$C$10,Notas!$A:$A,I$4)-'Premissas DRE'!$C$7*SUMIFS(Notas!$AD:$AD,Notas!$C:$C,"NF-e",Notas!$E:$E,"2.16.99*",Notas!$U:$U,'Premissas DRE'!$C$10,Notas!$A:$A,I$4)-'Premissas DRE'!$C$7*SUMIFS(Notas!$AE:$AE,Notas!$C:$C,"NF-e",Notas!$E:$E,"2.16.99*",Notas!$U:$U,'Premissas DRE'!$C$10,Notas!$A:$A,I$4)</f>
        <v/>
      </c>
      <c r="J66" s="68">
        <f>SUMIFS(Notas!$W:$W,Notas!$C:$C,"NF-e",Notas!$E:$E,"2.16.99*",Notas!$U:$U,'Premissas DRE'!$C$10,Notas!$A:$A,J$4)-'Premissas DRE'!$C$8*SUMIFS(Notas!$AA:$AA,Notas!$C:$C,"NF-e",Notas!$E:$E,"2.16.99*",Notas!$U:$U,'Premissas DRE'!$C$10,Notas!$A:$A,J$4)-'Premissas DRE'!$C$6*SUMIFS(Notas!$AB:$AB,Notas!$C:$C,"NF-e",Notas!$E:$E,"2.16.99*",Notas!$U:$U,'Premissas DRE'!$C$10,Notas!$A:$A,J$4)-'Premissas DRE'!$C$7*SUMIFS(Notas!$AD:$AD,Notas!$C:$C,"NF-e",Notas!$E:$E,"2.16.99*",Notas!$U:$U,'Premissas DRE'!$C$10,Notas!$A:$A,J$4)-'Premissas DRE'!$C$7*SUMIFS(Notas!$AE:$AE,Notas!$C:$C,"NF-e",Notas!$E:$E,"2.16.99*",Notas!$U:$U,'Premissas DRE'!$C$10,Notas!$A:$A,J$4)</f>
        <v/>
      </c>
      <c r="K66" s="68">
        <f>SUMIFS(Notas!$W:$W,Notas!$C:$C,"NF-e",Notas!$E:$E,"2.16.99*",Notas!$U:$U,'Premissas DRE'!$C$10,Notas!$A:$A,K$4)-'Premissas DRE'!$C$8*SUMIFS(Notas!$AA:$AA,Notas!$C:$C,"NF-e",Notas!$E:$E,"2.16.99*",Notas!$U:$U,'Premissas DRE'!$C$10,Notas!$A:$A,K$4)-'Premissas DRE'!$C$6*SUMIFS(Notas!$AB:$AB,Notas!$C:$C,"NF-e",Notas!$E:$E,"2.16.99*",Notas!$U:$U,'Premissas DRE'!$C$10,Notas!$A:$A,K$4)-'Premissas DRE'!$C$7*SUMIFS(Notas!$AD:$AD,Notas!$C:$C,"NF-e",Notas!$E:$E,"2.16.99*",Notas!$U:$U,'Premissas DRE'!$C$10,Notas!$A:$A,K$4)-'Premissas DRE'!$C$7*SUMIFS(Notas!$AE:$AE,Notas!$C:$C,"NF-e",Notas!$E:$E,"2.16.99*",Notas!$U:$U,'Premissas DRE'!$C$10,Notas!$A:$A,K$4)</f>
        <v/>
      </c>
      <c r="L66" s="68">
        <f>SUM(C66:K66)</f>
        <v/>
      </c>
    </row>
    <row r="67">
      <c r="A67" s="58" t="inlineStr">
        <is>
          <t>TOTAL OUTRAS DESPESAS</t>
        </is>
      </c>
      <c r="B67" s="58" t="inlineStr"/>
      <c r="C67" s="70">
        <f>C61+C62+C63+C64+C65+C66</f>
        <v/>
      </c>
      <c r="D67" s="70">
        <f>D61+D62+D63+D64+D65+D66</f>
        <v/>
      </c>
      <c r="E67" s="70">
        <f>E61+E62+E63+E64+E65+E66</f>
        <v/>
      </c>
      <c r="F67" s="70">
        <f>F61+F62+F63+F64+F65+F66</f>
        <v/>
      </c>
      <c r="G67" s="70">
        <f>G61+G62+G63+G64+G65+G66</f>
        <v/>
      </c>
      <c r="H67" s="70">
        <f>H61+H62+H63+H64+H65+H66</f>
        <v/>
      </c>
      <c r="I67" s="70">
        <f>I61+I62+I63+I64+I65+I66</f>
        <v/>
      </c>
      <c r="J67" s="70">
        <f>J61+J62+J63+J64+J65+J66</f>
        <v/>
      </c>
      <c r="K67" s="70">
        <f>K61+K62+K63+K64+K65+K66</f>
        <v/>
      </c>
      <c r="L67" s="70">
        <f>SUM(C67:K67)</f>
        <v/>
      </c>
    </row>
    <row r="69">
      <c r="A69" s="56" t="inlineStr">
        <is>
          <t>TOTAL DESPESAS OPERACIONAIS</t>
        </is>
      </c>
      <c r="B69" s="56" t="inlineStr"/>
      <c r="C69" s="69">
        <f>C46+C51+C59+C67</f>
        <v/>
      </c>
      <c r="D69" s="69">
        <f>D46+D51+D59+D67</f>
        <v/>
      </c>
      <c r="E69" s="69">
        <f>E46+E51+E59+E67</f>
        <v/>
      </c>
      <c r="F69" s="69">
        <f>F46+F51+F59+F67</f>
        <v/>
      </c>
      <c r="G69" s="69">
        <f>G46+G51+G59+G67</f>
        <v/>
      </c>
      <c r="H69" s="69">
        <f>H46+H51+H59+H67</f>
        <v/>
      </c>
      <c r="I69" s="69">
        <f>I46+I51+I59+I67</f>
        <v/>
      </c>
      <c r="J69" s="69">
        <f>J46+J51+J59+J67</f>
        <v/>
      </c>
      <c r="K69" s="69">
        <f>K46+K51+K59+K67</f>
        <v/>
      </c>
      <c r="L69" s="69">
        <f>SUM(C69:K69)</f>
        <v/>
      </c>
    </row>
    <row r="70">
      <c r="A70" s="56" t="inlineStr">
        <is>
          <t>RESULTADO OPERACIONAL (antes de IRPJ/CSLL, resultado financeiro e depreciação)</t>
        </is>
      </c>
      <c r="B70" s="56" t="inlineStr"/>
      <c r="C70" s="69">
        <f>C38-C69</f>
        <v/>
      </c>
      <c r="D70" s="69">
        <f>D38-D69</f>
        <v/>
      </c>
      <c r="E70" s="69">
        <f>E38-E69</f>
        <v/>
      </c>
      <c r="F70" s="69">
        <f>F38-F69</f>
        <v/>
      </c>
      <c r="G70" s="69">
        <f>G38-G69</f>
        <v/>
      </c>
      <c r="H70" s="69">
        <f>H38-H69</f>
        <v/>
      </c>
      <c r="I70" s="69">
        <f>I38-I69</f>
        <v/>
      </c>
      <c r="J70" s="69">
        <f>J38-J69</f>
        <v/>
      </c>
      <c r="K70" s="69">
        <f>K38-K69</f>
        <v/>
      </c>
      <c r="L70" s="69">
        <f>SUM(C70:K70)</f>
        <v/>
      </c>
    </row>
    <row r="72">
      <c r="A72" s="52" t="inlineStr">
        <is>
          <t>FORA DO RESULTADO (memo) — valores brutos do documento</t>
        </is>
      </c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</row>
    <row r="73">
      <c r="A73" s="53" t="inlineStr">
        <is>
          <t>CAPEX — Máquinas e equipamentos</t>
        </is>
      </c>
      <c r="B73" s="48" t="inlineStr">
        <is>
          <t>NF-e · 2.07.01 (bruto)</t>
        </is>
      </c>
      <c r="C73" s="68">
        <f>SUMIFS(Notas!$W:$W,Notas!$C:$C,"NF-e",Notas!$E:$E,"2.07.01*",Notas!$U:$U,'Premissas DRE'!$C$10,Notas!$A:$A,C$4)</f>
        <v/>
      </c>
      <c r="D73" s="68">
        <f>SUMIFS(Notas!$W:$W,Notas!$C:$C,"NF-e",Notas!$E:$E,"2.07.01*",Notas!$U:$U,'Premissas DRE'!$C$10,Notas!$A:$A,D$4)</f>
        <v/>
      </c>
      <c r="E73" s="68">
        <f>SUMIFS(Notas!$W:$W,Notas!$C:$C,"NF-e",Notas!$E:$E,"2.07.01*",Notas!$U:$U,'Premissas DRE'!$C$10,Notas!$A:$A,E$4)</f>
        <v/>
      </c>
      <c r="F73" s="68">
        <f>SUMIFS(Notas!$W:$W,Notas!$C:$C,"NF-e",Notas!$E:$E,"2.07.01*",Notas!$U:$U,'Premissas DRE'!$C$10,Notas!$A:$A,F$4)</f>
        <v/>
      </c>
      <c r="G73" s="68">
        <f>SUMIFS(Notas!$W:$W,Notas!$C:$C,"NF-e",Notas!$E:$E,"2.07.01*",Notas!$U:$U,'Premissas DRE'!$C$10,Notas!$A:$A,G$4)</f>
        <v/>
      </c>
      <c r="H73" s="68">
        <f>SUMIFS(Notas!$W:$W,Notas!$C:$C,"NF-e",Notas!$E:$E,"2.07.01*",Notas!$U:$U,'Premissas DRE'!$C$10,Notas!$A:$A,H$4)</f>
        <v/>
      </c>
      <c r="I73" s="68">
        <f>SUMIFS(Notas!$W:$W,Notas!$C:$C,"NF-e",Notas!$E:$E,"2.07.01*",Notas!$U:$U,'Premissas DRE'!$C$10,Notas!$A:$A,I$4)</f>
        <v/>
      </c>
      <c r="J73" s="68">
        <f>SUMIFS(Notas!$W:$W,Notas!$C:$C,"NF-e",Notas!$E:$E,"2.07.01*",Notas!$U:$U,'Premissas DRE'!$C$10,Notas!$A:$A,J$4)</f>
        <v/>
      </c>
      <c r="K73" s="68">
        <f>SUMIFS(Notas!$W:$W,Notas!$C:$C,"NF-e",Notas!$E:$E,"2.07.01*",Notas!$U:$U,'Premissas DRE'!$C$10,Notas!$A:$A,K$4)</f>
        <v/>
      </c>
      <c r="L73" s="68">
        <f>SUM(C73:K73)</f>
        <v/>
      </c>
    </row>
    <row r="74">
      <c r="A74" s="53" t="inlineStr">
        <is>
          <t>CAPEX — Equipamentos de informática</t>
        </is>
      </c>
      <c r="B74" s="48" t="inlineStr">
        <is>
          <t>NF-e · 2.07.04 (bruto)</t>
        </is>
      </c>
      <c r="C74" s="68">
        <f>SUMIFS(Notas!$W:$W,Notas!$C:$C,"NF-e",Notas!$E:$E,"2.07.04*",Notas!$U:$U,'Premissas DRE'!$C$10,Notas!$A:$A,C$4)</f>
        <v/>
      </c>
      <c r="D74" s="68">
        <f>SUMIFS(Notas!$W:$W,Notas!$C:$C,"NF-e",Notas!$E:$E,"2.07.04*",Notas!$U:$U,'Premissas DRE'!$C$10,Notas!$A:$A,D$4)</f>
        <v/>
      </c>
      <c r="E74" s="68">
        <f>SUMIFS(Notas!$W:$W,Notas!$C:$C,"NF-e",Notas!$E:$E,"2.07.04*",Notas!$U:$U,'Premissas DRE'!$C$10,Notas!$A:$A,E$4)</f>
        <v/>
      </c>
      <c r="F74" s="68">
        <f>SUMIFS(Notas!$W:$W,Notas!$C:$C,"NF-e",Notas!$E:$E,"2.07.04*",Notas!$U:$U,'Premissas DRE'!$C$10,Notas!$A:$A,F$4)</f>
        <v/>
      </c>
      <c r="G74" s="68">
        <f>SUMIFS(Notas!$W:$W,Notas!$C:$C,"NF-e",Notas!$E:$E,"2.07.04*",Notas!$U:$U,'Premissas DRE'!$C$10,Notas!$A:$A,G$4)</f>
        <v/>
      </c>
      <c r="H74" s="68">
        <f>SUMIFS(Notas!$W:$W,Notas!$C:$C,"NF-e",Notas!$E:$E,"2.07.04*",Notas!$U:$U,'Premissas DRE'!$C$10,Notas!$A:$A,H$4)</f>
        <v/>
      </c>
      <c r="I74" s="68">
        <f>SUMIFS(Notas!$W:$W,Notas!$C:$C,"NF-e",Notas!$E:$E,"2.07.04*",Notas!$U:$U,'Premissas DRE'!$C$10,Notas!$A:$A,I$4)</f>
        <v/>
      </c>
      <c r="J74" s="68">
        <f>SUMIFS(Notas!$W:$W,Notas!$C:$C,"NF-e",Notas!$E:$E,"2.07.04*",Notas!$U:$U,'Premissas DRE'!$C$10,Notas!$A:$A,J$4)</f>
        <v/>
      </c>
      <c r="K74" s="68">
        <f>SUMIFS(Notas!$W:$W,Notas!$C:$C,"NF-e",Notas!$E:$E,"2.07.04*",Notas!$U:$U,'Premissas DRE'!$C$10,Notas!$A:$A,K$4)</f>
        <v/>
      </c>
      <c r="L74" s="68">
        <f>SUM(C74:K74)</f>
        <v/>
      </c>
    </row>
    <row r="75">
      <c r="A75" s="53" t="inlineStr">
        <is>
          <t>CAPEX — Móveis e utensílios</t>
        </is>
      </c>
      <c r="B75" s="48" t="inlineStr">
        <is>
          <t>NF-e · 2.07.05 (bruto)</t>
        </is>
      </c>
      <c r="C75" s="68">
        <f>SUMIFS(Notas!$W:$W,Notas!$C:$C,"NF-e",Notas!$E:$E,"2.07.05*",Notas!$U:$U,'Premissas DRE'!$C$10,Notas!$A:$A,C$4)</f>
        <v/>
      </c>
      <c r="D75" s="68">
        <f>SUMIFS(Notas!$W:$W,Notas!$C:$C,"NF-e",Notas!$E:$E,"2.07.05*",Notas!$U:$U,'Premissas DRE'!$C$10,Notas!$A:$A,D$4)</f>
        <v/>
      </c>
      <c r="E75" s="68">
        <f>SUMIFS(Notas!$W:$W,Notas!$C:$C,"NF-e",Notas!$E:$E,"2.07.05*",Notas!$U:$U,'Premissas DRE'!$C$10,Notas!$A:$A,E$4)</f>
        <v/>
      </c>
      <c r="F75" s="68">
        <f>SUMIFS(Notas!$W:$W,Notas!$C:$C,"NF-e",Notas!$E:$E,"2.07.05*",Notas!$U:$U,'Premissas DRE'!$C$10,Notas!$A:$A,F$4)</f>
        <v/>
      </c>
      <c r="G75" s="68">
        <f>SUMIFS(Notas!$W:$W,Notas!$C:$C,"NF-e",Notas!$E:$E,"2.07.05*",Notas!$U:$U,'Premissas DRE'!$C$10,Notas!$A:$A,G$4)</f>
        <v/>
      </c>
      <c r="H75" s="68">
        <f>SUMIFS(Notas!$W:$W,Notas!$C:$C,"NF-e",Notas!$E:$E,"2.07.05*",Notas!$U:$U,'Premissas DRE'!$C$10,Notas!$A:$A,H$4)</f>
        <v/>
      </c>
      <c r="I75" s="68">
        <f>SUMIFS(Notas!$W:$W,Notas!$C:$C,"NF-e",Notas!$E:$E,"2.07.05*",Notas!$U:$U,'Premissas DRE'!$C$10,Notas!$A:$A,I$4)</f>
        <v/>
      </c>
      <c r="J75" s="68">
        <f>SUMIFS(Notas!$W:$W,Notas!$C:$C,"NF-e",Notas!$E:$E,"2.07.05*",Notas!$U:$U,'Premissas DRE'!$C$10,Notas!$A:$A,J$4)</f>
        <v/>
      </c>
      <c r="K75" s="68">
        <f>SUMIFS(Notas!$W:$W,Notas!$C:$C,"NF-e",Notas!$E:$E,"2.07.05*",Notas!$U:$U,'Premissas DRE'!$C$10,Notas!$A:$A,K$4)</f>
        <v/>
      </c>
      <c r="L75" s="68">
        <f>SUM(C75:K75)</f>
        <v/>
      </c>
    </row>
    <row r="76">
      <c r="A76" s="53" t="inlineStr">
        <is>
          <t>CAPEX — Imobilizado — outros</t>
        </is>
      </c>
      <c r="B76" s="48" t="inlineStr">
        <is>
          <t>NF-e · 2.07.99 (bruto)</t>
        </is>
      </c>
      <c r="C76" s="68">
        <f>SUMIFS(Notas!$W:$W,Notas!$C:$C,"NF-e",Notas!$E:$E,"2.07.99*",Notas!$U:$U,'Premissas DRE'!$C$10,Notas!$A:$A,C$4)</f>
        <v/>
      </c>
      <c r="D76" s="68">
        <f>SUMIFS(Notas!$W:$W,Notas!$C:$C,"NF-e",Notas!$E:$E,"2.07.99*",Notas!$U:$U,'Premissas DRE'!$C$10,Notas!$A:$A,D$4)</f>
        <v/>
      </c>
      <c r="E76" s="68">
        <f>SUMIFS(Notas!$W:$W,Notas!$C:$C,"NF-e",Notas!$E:$E,"2.07.99*",Notas!$U:$U,'Premissas DRE'!$C$10,Notas!$A:$A,E$4)</f>
        <v/>
      </c>
      <c r="F76" s="68">
        <f>SUMIFS(Notas!$W:$W,Notas!$C:$C,"NF-e",Notas!$E:$E,"2.07.99*",Notas!$U:$U,'Premissas DRE'!$C$10,Notas!$A:$A,F$4)</f>
        <v/>
      </c>
      <c r="G76" s="68">
        <f>SUMIFS(Notas!$W:$W,Notas!$C:$C,"NF-e",Notas!$E:$E,"2.07.99*",Notas!$U:$U,'Premissas DRE'!$C$10,Notas!$A:$A,G$4)</f>
        <v/>
      </c>
      <c r="H76" s="68">
        <f>SUMIFS(Notas!$W:$W,Notas!$C:$C,"NF-e",Notas!$E:$E,"2.07.99*",Notas!$U:$U,'Premissas DRE'!$C$10,Notas!$A:$A,H$4)</f>
        <v/>
      </c>
      <c r="I76" s="68">
        <f>SUMIFS(Notas!$W:$W,Notas!$C:$C,"NF-e",Notas!$E:$E,"2.07.99*",Notas!$U:$U,'Premissas DRE'!$C$10,Notas!$A:$A,I$4)</f>
        <v/>
      </c>
      <c r="J76" s="68">
        <f>SUMIFS(Notas!$W:$W,Notas!$C:$C,"NF-e",Notas!$E:$E,"2.07.99*",Notas!$U:$U,'Premissas DRE'!$C$10,Notas!$A:$A,J$4)</f>
        <v/>
      </c>
      <c r="K76" s="68">
        <f>SUMIFS(Notas!$W:$W,Notas!$C:$C,"NF-e",Notas!$E:$E,"2.07.99*",Notas!$U:$U,'Premissas DRE'!$C$10,Notas!$A:$A,K$4)</f>
        <v/>
      </c>
      <c r="L76" s="68">
        <f>SUM(C76:K76)</f>
        <v/>
      </c>
    </row>
    <row r="77">
      <c r="A77" s="58" t="inlineStr">
        <is>
          <t>TOTAL INVESTIMENTO / IMOBILIZADO (CAPEX) — fora do resultado</t>
        </is>
      </c>
      <c r="B77" s="58" t="inlineStr">
        <is>
          <t>créditos via CIAP/depreciação não apropriados</t>
        </is>
      </c>
      <c r="C77" s="70">
        <f>C73+C74+C75+C76</f>
        <v/>
      </c>
      <c r="D77" s="70">
        <f>D73+D74+D75+D76</f>
        <v/>
      </c>
      <c r="E77" s="70">
        <f>E73+E74+E75+E76</f>
        <v/>
      </c>
      <c r="F77" s="70">
        <f>F73+F74+F75+F76</f>
        <v/>
      </c>
      <c r="G77" s="70">
        <f>G73+G74+G75+G76</f>
        <v/>
      </c>
      <c r="H77" s="70">
        <f>H73+H74+H75+H76</f>
        <v/>
      </c>
      <c r="I77" s="70">
        <f>I73+I74+I75+I76</f>
        <v/>
      </c>
      <c r="J77" s="70">
        <f>J73+J74+J75+J76</f>
        <v/>
      </c>
      <c r="K77" s="70">
        <f>K73+K74+K75+K76</f>
        <v/>
      </c>
      <c r="L77" s="70">
        <f>SUM(C77:K77)</f>
        <v/>
      </c>
    </row>
    <row r="78">
      <c r="A78" t="inlineStr">
        <is>
          <t>Transferências entre estabelecimentos (grupo 0.01) — neutras</t>
        </is>
      </c>
      <c r="B78" s="48" t="inlineStr">
        <is>
          <t>grupo 0.01 (bruto)</t>
        </is>
      </c>
      <c r="C78" s="68">
        <f>SUMIFS(Notas!$W:$W,Notas!$D:$D,"0.01*",Notas!$U:$U,'Premissas DRE'!$C$10,Notas!$A:$A,C$4)</f>
        <v/>
      </c>
      <c r="D78" s="68">
        <f>SUMIFS(Notas!$W:$W,Notas!$D:$D,"0.01*",Notas!$U:$U,'Premissas DRE'!$C$10,Notas!$A:$A,D$4)</f>
        <v/>
      </c>
      <c r="E78" s="68">
        <f>SUMIFS(Notas!$W:$W,Notas!$D:$D,"0.01*",Notas!$U:$U,'Premissas DRE'!$C$10,Notas!$A:$A,E$4)</f>
        <v/>
      </c>
      <c r="F78" s="68">
        <f>SUMIFS(Notas!$W:$W,Notas!$D:$D,"0.01*",Notas!$U:$U,'Premissas DRE'!$C$10,Notas!$A:$A,F$4)</f>
        <v/>
      </c>
      <c r="G78" s="68">
        <f>SUMIFS(Notas!$W:$W,Notas!$D:$D,"0.01*",Notas!$U:$U,'Premissas DRE'!$C$10,Notas!$A:$A,G$4)</f>
        <v/>
      </c>
      <c r="H78" s="68">
        <f>SUMIFS(Notas!$W:$W,Notas!$D:$D,"0.01*",Notas!$U:$U,'Premissas DRE'!$C$10,Notas!$A:$A,H$4)</f>
        <v/>
      </c>
      <c r="I78" s="68">
        <f>SUMIFS(Notas!$W:$W,Notas!$D:$D,"0.01*",Notas!$U:$U,'Premissas DRE'!$C$10,Notas!$A:$A,I$4)</f>
        <v/>
      </c>
      <c r="J78" s="68">
        <f>SUMIFS(Notas!$W:$W,Notas!$D:$D,"0.01*",Notas!$U:$U,'Premissas DRE'!$C$10,Notas!$A:$A,J$4)</f>
        <v/>
      </c>
      <c r="K78" s="68">
        <f>SUMIFS(Notas!$W:$W,Notas!$D:$D,"0.01*",Notas!$U:$U,'Premissas DRE'!$C$10,Notas!$A:$A,K$4)</f>
        <v/>
      </c>
      <c r="L78" s="68">
        <f>SUM(C78:K78)</f>
        <v/>
      </c>
    </row>
    <row r="79">
      <c r="A79" t="inlineStr">
        <is>
          <t>Simples faturamento (x.922) excluído por duplicidade com x.116/x.117 (bruto)</t>
        </is>
      </c>
      <c r="B79" s="48" t="inlineStr">
        <is>
          <t>U = Simples faturamento (x.922)</t>
        </is>
      </c>
      <c r="C79" s="68">
        <f>IF('Premissas DRE'!$C$9="Sim",SUMIFS(Notas!$W:$W,Notas!$U:$U,"Simples faturamento (x.922)",Notas!$A:$A,C$4),0)</f>
        <v/>
      </c>
      <c r="D79" s="68">
        <f>IF('Premissas DRE'!$C$9="Sim",SUMIFS(Notas!$W:$W,Notas!$U:$U,"Simples faturamento (x.922)",Notas!$A:$A,D$4),0)</f>
        <v/>
      </c>
      <c r="E79" s="68">
        <f>IF('Premissas DRE'!$C$9="Sim",SUMIFS(Notas!$W:$W,Notas!$U:$U,"Simples faturamento (x.922)",Notas!$A:$A,E$4),0)</f>
        <v/>
      </c>
      <c r="F79" s="68">
        <f>IF('Premissas DRE'!$C$9="Sim",SUMIFS(Notas!$W:$W,Notas!$U:$U,"Simples faturamento (x.922)",Notas!$A:$A,F$4),0)</f>
        <v/>
      </c>
      <c r="G79" s="68">
        <f>IF('Premissas DRE'!$C$9="Sim",SUMIFS(Notas!$W:$W,Notas!$U:$U,"Simples faturamento (x.922)",Notas!$A:$A,G$4),0)</f>
        <v/>
      </c>
      <c r="H79" s="68">
        <f>IF('Premissas DRE'!$C$9="Sim",SUMIFS(Notas!$W:$W,Notas!$U:$U,"Simples faturamento (x.922)",Notas!$A:$A,H$4),0)</f>
        <v/>
      </c>
      <c r="I79" s="68">
        <f>IF('Premissas DRE'!$C$9="Sim",SUMIFS(Notas!$W:$W,Notas!$U:$U,"Simples faturamento (x.922)",Notas!$A:$A,I$4),0)</f>
        <v/>
      </c>
      <c r="J79" s="68">
        <f>IF('Premissas DRE'!$C$9="Sim",SUMIFS(Notas!$W:$W,Notas!$U:$U,"Simples faturamento (x.922)",Notas!$A:$A,J$4),0)</f>
        <v/>
      </c>
      <c r="K79" s="68">
        <f>IF('Premissas DRE'!$C$9="Sim",SUMIFS(Notas!$W:$W,Notas!$U:$U,"Simples faturamento (x.922)",Notas!$A:$A,K$4),0)</f>
        <v/>
      </c>
      <c r="L79" s="68">
        <f>SUM(C79:K79)</f>
        <v/>
      </c>
    </row>
    <row r="81">
      <c r="A81" s="52" t="inlineStr">
        <is>
          <t>CONFERÊNCIA — DRE vs NOTAS (deve fechar em zero)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</row>
    <row r="82">
      <c r="A82" s="53" t="inlineStr">
        <is>
          <t>Total da aba Notas no mês (valor na categoria, bruto)</t>
        </is>
      </c>
      <c r="B82" s="48" t="inlineStr">
        <is>
          <t>SUMIFS Notas!W por mês de emissão</t>
        </is>
      </c>
      <c r="C82" s="68">
        <f>SUMIFS(Notas!$W:$W,Notas!$A:$A,C$4)</f>
        <v/>
      </c>
      <c r="D82" s="68">
        <f>SUMIFS(Notas!$W:$W,Notas!$A:$A,D$4)</f>
        <v/>
      </c>
      <c r="E82" s="68">
        <f>SUMIFS(Notas!$W:$W,Notas!$A:$A,E$4)</f>
        <v/>
      </c>
      <c r="F82" s="68">
        <f>SUMIFS(Notas!$W:$W,Notas!$A:$A,F$4)</f>
        <v/>
      </c>
      <c r="G82" s="68">
        <f>SUMIFS(Notas!$W:$W,Notas!$A:$A,G$4)</f>
        <v/>
      </c>
      <c r="H82" s="68">
        <f>SUMIFS(Notas!$W:$W,Notas!$A:$A,H$4)</f>
        <v/>
      </c>
      <c r="I82" s="68">
        <f>SUMIFS(Notas!$W:$W,Notas!$A:$A,I$4)</f>
        <v/>
      </c>
      <c r="J82" s="68">
        <f>SUMIFS(Notas!$W:$W,Notas!$A:$A,J$4)</f>
        <v/>
      </c>
      <c r="K82" s="68">
        <f>SUMIFS(Notas!$W:$W,Notas!$A:$A,K$4)</f>
        <v/>
      </c>
      <c r="L82" s="68">
        <f>SUM(C82:K82)</f>
        <v/>
      </c>
    </row>
    <row r="83">
      <c r="A83" s="53" t="inlineStr">
        <is>
          <t>(-) x.922 (duplicidade)</t>
        </is>
      </c>
      <c r="B83" s="48" t="inlineStr"/>
      <c r="C83" s="68">
        <f>-C79</f>
        <v/>
      </c>
      <c r="D83" s="68">
        <f>-D79</f>
        <v/>
      </c>
      <c r="E83" s="68">
        <f>-E79</f>
        <v/>
      </c>
      <c r="F83" s="68">
        <f>-F79</f>
        <v/>
      </c>
      <c r="G83" s="68">
        <f>-G79</f>
        <v/>
      </c>
      <c r="H83" s="68">
        <f>-H79</f>
        <v/>
      </c>
      <c r="I83" s="68">
        <f>-I79</f>
        <v/>
      </c>
      <c r="J83" s="68">
        <f>-J79</f>
        <v/>
      </c>
      <c r="K83" s="68">
        <f>-K79</f>
        <v/>
      </c>
      <c r="L83" s="68">
        <f>SUM(C83:K83)</f>
        <v/>
      </c>
    </row>
    <row r="84">
      <c r="A84" s="53" t="inlineStr">
        <is>
          <t>(-) Transferências 0.01</t>
        </is>
      </c>
      <c r="B84" s="48" t="inlineStr"/>
      <c r="C84" s="68">
        <f>-C78</f>
        <v/>
      </c>
      <c r="D84" s="68">
        <f>-D78</f>
        <v/>
      </c>
      <c r="E84" s="68">
        <f>-E78</f>
        <v/>
      </c>
      <c r="F84" s="68">
        <f>-F78</f>
        <v/>
      </c>
      <c r="G84" s="68">
        <f>-G78</f>
        <v/>
      </c>
      <c r="H84" s="68">
        <f>-H78</f>
        <v/>
      </c>
      <c r="I84" s="68">
        <f>-I78</f>
        <v/>
      </c>
      <c r="J84" s="68">
        <f>-J78</f>
        <v/>
      </c>
      <c r="K84" s="68">
        <f>-K78</f>
        <v/>
      </c>
      <c r="L84" s="68">
        <f>SUM(C84:K84)</f>
        <v/>
      </c>
    </row>
    <row r="85">
      <c r="A85" s="53" t="inlineStr">
        <is>
          <t>(-) CAPEX 2.07</t>
        </is>
      </c>
      <c r="B85" s="48" t="inlineStr"/>
      <c r="C85" s="68">
        <f>-C77</f>
        <v/>
      </c>
      <c r="D85" s="68">
        <f>-D77</f>
        <v/>
      </c>
      <c r="E85" s="68">
        <f>-E77</f>
        <v/>
      </c>
      <c r="F85" s="68">
        <f>-F77</f>
        <v/>
      </c>
      <c r="G85" s="68">
        <f>-G77</f>
        <v/>
      </c>
      <c r="H85" s="68">
        <f>-H77</f>
        <v/>
      </c>
      <c r="I85" s="68">
        <f>-I77</f>
        <v/>
      </c>
      <c r="J85" s="68">
        <f>-J77</f>
        <v/>
      </c>
      <c r="K85" s="68">
        <f>-K77</f>
        <v/>
      </c>
      <c r="L85" s="68">
        <f>SUM(C85:K85)</f>
        <v/>
      </c>
    </row>
    <row r="86">
      <c r="A86" s="58">
        <f> Base bruta que deveria estar na DRE</f>
        <v/>
      </c>
      <c r="B86" s="58" t="inlineStr"/>
      <c r="C86" s="70">
        <f>C82+C83+C84+C85</f>
        <v/>
      </c>
      <c r="D86" s="70">
        <f>D82+D83+D84+D85</f>
        <v/>
      </c>
      <c r="E86" s="70">
        <f>E82+E83+E84+E85</f>
        <v/>
      </c>
      <c r="F86" s="70">
        <f>F82+F83+F84+F85</f>
        <v/>
      </c>
      <c r="G86" s="70">
        <f>G82+G83+G84+G85</f>
        <v/>
      </c>
      <c r="H86" s="70">
        <f>H82+H83+H84+H85</f>
        <v/>
      </c>
      <c r="I86" s="70">
        <f>I82+I83+I84+I85</f>
        <v/>
      </c>
      <c r="J86" s="70">
        <f>J82+J83+J84+J85</f>
        <v/>
      </c>
      <c r="K86" s="70">
        <f>K82+K83+K84+K85</f>
        <v/>
      </c>
      <c r="L86" s="70">
        <f>SUM(C86:K86)</f>
        <v/>
      </c>
    </row>
    <row r="87">
      <c r="A87" s="53" t="inlineStr">
        <is>
          <t>Custos e despesas na DRE (líquidos)</t>
        </is>
      </c>
      <c r="B87" s="48" t="inlineStr">
        <is>
          <t>compras + despesas (sem variação de estoque)</t>
        </is>
      </c>
      <c r="C87" s="68">
        <f>C35+C69</f>
        <v/>
      </c>
      <c r="D87" s="68">
        <f>D35+D69</f>
        <v/>
      </c>
      <c r="E87" s="68">
        <f>E35+E69</f>
        <v/>
      </c>
      <c r="F87" s="68">
        <f>F35+F69</f>
        <v/>
      </c>
      <c r="G87" s="68">
        <f>G35+G69</f>
        <v/>
      </c>
      <c r="H87" s="68">
        <f>H35+H69</f>
        <v/>
      </c>
      <c r="I87" s="68">
        <f>I35+I69</f>
        <v/>
      </c>
      <c r="J87" s="68">
        <f>J35+J69</f>
        <v/>
      </c>
      <c r="K87" s="68">
        <f>K35+K69</f>
        <v/>
      </c>
      <c r="L87" s="68">
        <f>SUM(C87:K87)</f>
        <v/>
      </c>
    </row>
    <row r="88">
      <c r="A88" s="53" t="inlineStr">
        <is>
          <t>(+) Créditos recuperáveis abatidos (calculados direto de Notas)</t>
        </is>
      </c>
      <c r="B88" s="48" t="inlineStr">
        <is>
          <t>IPI/ICMS/PIS/COFINS × fatores do regime</t>
        </is>
      </c>
      <c r="C88" s="68">
        <f>'Premissas DRE'!$C$8*(SUMIFS(Notas!$AA:$AA,Notas!$U:$U,'Premissas DRE'!$C$10,Notas!$A:$A,C$4)-SUMIFS(Notas!$AA:$AA,Notas!$D:$D,"0.01*",Notas!$U:$U,'Premissas DRE'!$C$10,Notas!$A:$A,C$4)-SUMIFS(Notas!$AA:$AA,Notas!$D:$D,"2.07*",Notas!$U:$U,'Premissas DRE'!$C$10,Notas!$A:$A,C$4))+'Premissas DRE'!$C$6*(SUMIFS(Notas!$AB:$AB,Notas!$U:$U,'Premissas DRE'!$C$10,Notas!$A:$A,C$4)-SUMIFS(Notas!$AB:$AB,Notas!$D:$D,"0.01*",Notas!$U:$U,'Premissas DRE'!$C$10,Notas!$A:$A,C$4)-SUMIFS(Notas!$AB:$AB,Notas!$D:$D,"2.07*",Notas!$U:$U,'Premissas DRE'!$C$10,Notas!$A:$A,C$4))+'Premissas DRE'!$C$7*(SUMIFS(Notas!$AD:$AD,Notas!$U:$U,'Premissas DRE'!$C$10,Notas!$A:$A,C$4)-SUMIFS(Notas!$AD:$AD,Notas!$D:$D,"0.01*",Notas!$U:$U,'Premissas DRE'!$C$10,Notas!$A:$A,C$4)-SUMIFS(Notas!$AD:$AD,Notas!$D:$D,"2.07*",Notas!$U:$U,'Premissas DRE'!$C$10,Notas!$A:$A,C$4))+'Premissas DRE'!$C$7*(SUMIFS(Notas!$AE:$AE,Notas!$U:$U,'Premissas DRE'!$C$10,Notas!$A:$A,C$4)-SUMIFS(Notas!$AE:$AE,Notas!$D:$D,"0.01*",Notas!$U:$U,'Premissas DRE'!$C$10,Notas!$A:$A,C$4)-SUMIFS(Notas!$AE:$AE,Notas!$D:$D,"2.07*",Notas!$U:$U,'Premissas DRE'!$C$10,Notas!$A:$A,C$4))</f>
        <v/>
      </c>
      <c r="D88" s="68">
        <f>'Premissas DRE'!$C$8*(SUMIFS(Notas!$AA:$AA,Notas!$U:$U,'Premissas DRE'!$C$10,Notas!$A:$A,D$4)-SUMIFS(Notas!$AA:$AA,Notas!$D:$D,"0.01*",Notas!$U:$U,'Premissas DRE'!$C$10,Notas!$A:$A,D$4)-SUMIFS(Notas!$AA:$AA,Notas!$D:$D,"2.07*",Notas!$U:$U,'Premissas DRE'!$C$10,Notas!$A:$A,D$4))+'Premissas DRE'!$C$6*(SUMIFS(Notas!$AB:$AB,Notas!$U:$U,'Premissas DRE'!$C$10,Notas!$A:$A,D$4)-SUMIFS(Notas!$AB:$AB,Notas!$D:$D,"0.01*",Notas!$U:$U,'Premissas DRE'!$C$10,Notas!$A:$A,D$4)-SUMIFS(Notas!$AB:$AB,Notas!$D:$D,"2.07*",Notas!$U:$U,'Premissas DRE'!$C$10,Notas!$A:$A,D$4))+'Premissas DRE'!$C$7*(SUMIFS(Notas!$AD:$AD,Notas!$U:$U,'Premissas DRE'!$C$10,Notas!$A:$A,D$4)-SUMIFS(Notas!$AD:$AD,Notas!$D:$D,"0.01*",Notas!$U:$U,'Premissas DRE'!$C$10,Notas!$A:$A,D$4)-SUMIFS(Notas!$AD:$AD,Notas!$D:$D,"2.07*",Notas!$U:$U,'Premissas DRE'!$C$10,Notas!$A:$A,D$4))+'Premissas DRE'!$C$7*(SUMIFS(Notas!$AE:$AE,Notas!$U:$U,'Premissas DRE'!$C$10,Notas!$A:$A,D$4)-SUMIFS(Notas!$AE:$AE,Notas!$D:$D,"0.01*",Notas!$U:$U,'Premissas DRE'!$C$10,Notas!$A:$A,D$4)-SUMIFS(Notas!$AE:$AE,Notas!$D:$D,"2.07*",Notas!$U:$U,'Premissas DRE'!$C$10,Notas!$A:$A,D$4))</f>
        <v/>
      </c>
      <c r="E88" s="68">
        <f>'Premissas DRE'!$C$8*(SUMIFS(Notas!$AA:$AA,Notas!$U:$U,'Premissas DRE'!$C$10,Notas!$A:$A,E$4)-SUMIFS(Notas!$AA:$AA,Notas!$D:$D,"0.01*",Notas!$U:$U,'Premissas DRE'!$C$10,Notas!$A:$A,E$4)-SUMIFS(Notas!$AA:$AA,Notas!$D:$D,"2.07*",Notas!$U:$U,'Premissas DRE'!$C$10,Notas!$A:$A,E$4))+'Premissas DRE'!$C$6*(SUMIFS(Notas!$AB:$AB,Notas!$U:$U,'Premissas DRE'!$C$10,Notas!$A:$A,E$4)-SUMIFS(Notas!$AB:$AB,Notas!$D:$D,"0.01*",Notas!$U:$U,'Premissas DRE'!$C$10,Notas!$A:$A,E$4)-SUMIFS(Notas!$AB:$AB,Notas!$D:$D,"2.07*",Notas!$U:$U,'Premissas DRE'!$C$10,Notas!$A:$A,E$4))+'Premissas DRE'!$C$7*(SUMIFS(Notas!$AD:$AD,Notas!$U:$U,'Premissas DRE'!$C$10,Notas!$A:$A,E$4)-SUMIFS(Notas!$AD:$AD,Notas!$D:$D,"0.01*",Notas!$U:$U,'Premissas DRE'!$C$10,Notas!$A:$A,E$4)-SUMIFS(Notas!$AD:$AD,Notas!$D:$D,"2.07*",Notas!$U:$U,'Premissas DRE'!$C$10,Notas!$A:$A,E$4))+'Premissas DRE'!$C$7*(SUMIFS(Notas!$AE:$AE,Notas!$U:$U,'Premissas DRE'!$C$10,Notas!$A:$A,E$4)-SUMIFS(Notas!$AE:$AE,Notas!$D:$D,"0.01*",Notas!$U:$U,'Premissas DRE'!$C$10,Notas!$A:$A,E$4)-SUMIFS(Notas!$AE:$AE,Notas!$D:$D,"2.07*",Notas!$U:$U,'Premissas DRE'!$C$10,Notas!$A:$A,E$4))</f>
        <v/>
      </c>
      <c r="F88" s="68">
        <f>'Premissas DRE'!$C$8*(SUMIFS(Notas!$AA:$AA,Notas!$U:$U,'Premissas DRE'!$C$10,Notas!$A:$A,F$4)-SUMIFS(Notas!$AA:$AA,Notas!$D:$D,"0.01*",Notas!$U:$U,'Premissas DRE'!$C$10,Notas!$A:$A,F$4)-SUMIFS(Notas!$AA:$AA,Notas!$D:$D,"2.07*",Notas!$U:$U,'Premissas DRE'!$C$10,Notas!$A:$A,F$4))+'Premissas DRE'!$C$6*(SUMIFS(Notas!$AB:$AB,Notas!$U:$U,'Premissas DRE'!$C$10,Notas!$A:$A,F$4)-SUMIFS(Notas!$AB:$AB,Notas!$D:$D,"0.01*",Notas!$U:$U,'Premissas DRE'!$C$10,Notas!$A:$A,F$4)-SUMIFS(Notas!$AB:$AB,Notas!$D:$D,"2.07*",Notas!$U:$U,'Premissas DRE'!$C$10,Notas!$A:$A,F$4))+'Premissas DRE'!$C$7*(SUMIFS(Notas!$AD:$AD,Notas!$U:$U,'Premissas DRE'!$C$10,Notas!$A:$A,F$4)-SUMIFS(Notas!$AD:$AD,Notas!$D:$D,"0.01*",Notas!$U:$U,'Premissas DRE'!$C$10,Notas!$A:$A,F$4)-SUMIFS(Notas!$AD:$AD,Notas!$D:$D,"2.07*",Notas!$U:$U,'Premissas DRE'!$C$10,Notas!$A:$A,F$4))+'Premissas DRE'!$C$7*(SUMIFS(Notas!$AE:$AE,Notas!$U:$U,'Premissas DRE'!$C$10,Notas!$A:$A,F$4)-SUMIFS(Notas!$AE:$AE,Notas!$D:$D,"0.01*",Notas!$U:$U,'Premissas DRE'!$C$10,Notas!$A:$A,F$4)-SUMIFS(Notas!$AE:$AE,Notas!$D:$D,"2.07*",Notas!$U:$U,'Premissas DRE'!$C$10,Notas!$A:$A,F$4))</f>
        <v/>
      </c>
      <c r="G88" s="68">
        <f>'Premissas DRE'!$C$8*(SUMIFS(Notas!$AA:$AA,Notas!$U:$U,'Premissas DRE'!$C$10,Notas!$A:$A,G$4)-SUMIFS(Notas!$AA:$AA,Notas!$D:$D,"0.01*",Notas!$U:$U,'Premissas DRE'!$C$10,Notas!$A:$A,G$4)-SUMIFS(Notas!$AA:$AA,Notas!$D:$D,"2.07*",Notas!$U:$U,'Premissas DRE'!$C$10,Notas!$A:$A,G$4))+'Premissas DRE'!$C$6*(SUMIFS(Notas!$AB:$AB,Notas!$U:$U,'Premissas DRE'!$C$10,Notas!$A:$A,G$4)-SUMIFS(Notas!$AB:$AB,Notas!$D:$D,"0.01*",Notas!$U:$U,'Premissas DRE'!$C$10,Notas!$A:$A,G$4)-SUMIFS(Notas!$AB:$AB,Notas!$D:$D,"2.07*",Notas!$U:$U,'Premissas DRE'!$C$10,Notas!$A:$A,G$4))+'Premissas DRE'!$C$7*(SUMIFS(Notas!$AD:$AD,Notas!$U:$U,'Premissas DRE'!$C$10,Notas!$A:$A,G$4)-SUMIFS(Notas!$AD:$AD,Notas!$D:$D,"0.01*",Notas!$U:$U,'Premissas DRE'!$C$10,Notas!$A:$A,G$4)-SUMIFS(Notas!$AD:$AD,Notas!$D:$D,"2.07*",Notas!$U:$U,'Premissas DRE'!$C$10,Notas!$A:$A,G$4))+'Premissas DRE'!$C$7*(SUMIFS(Notas!$AE:$AE,Notas!$U:$U,'Premissas DRE'!$C$10,Notas!$A:$A,G$4)-SUMIFS(Notas!$AE:$AE,Notas!$D:$D,"0.01*",Notas!$U:$U,'Premissas DRE'!$C$10,Notas!$A:$A,G$4)-SUMIFS(Notas!$AE:$AE,Notas!$D:$D,"2.07*",Notas!$U:$U,'Premissas DRE'!$C$10,Notas!$A:$A,G$4))</f>
        <v/>
      </c>
      <c r="H88" s="68">
        <f>'Premissas DRE'!$C$8*(SUMIFS(Notas!$AA:$AA,Notas!$U:$U,'Premissas DRE'!$C$10,Notas!$A:$A,H$4)-SUMIFS(Notas!$AA:$AA,Notas!$D:$D,"0.01*",Notas!$U:$U,'Premissas DRE'!$C$10,Notas!$A:$A,H$4)-SUMIFS(Notas!$AA:$AA,Notas!$D:$D,"2.07*",Notas!$U:$U,'Premissas DRE'!$C$10,Notas!$A:$A,H$4))+'Premissas DRE'!$C$6*(SUMIFS(Notas!$AB:$AB,Notas!$U:$U,'Premissas DRE'!$C$10,Notas!$A:$A,H$4)-SUMIFS(Notas!$AB:$AB,Notas!$D:$D,"0.01*",Notas!$U:$U,'Premissas DRE'!$C$10,Notas!$A:$A,H$4)-SUMIFS(Notas!$AB:$AB,Notas!$D:$D,"2.07*",Notas!$U:$U,'Premissas DRE'!$C$10,Notas!$A:$A,H$4))+'Premissas DRE'!$C$7*(SUMIFS(Notas!$AD:$AD,Notas!$U:$U,'Premissas DRE'!$C$10,Notas!$A:$A,H$4)-SUMIFS(Notas!$AD:$AD,Notas!$D:$D,"0.01*",Notas!$U:$U,'Premissas DRE'!$C$10,Notas!$A:$A,H$4)-SUMIFS(Notas!$AD:$AD,Notas!$D:$D,"2.07*",Notas!$U:$U,'Premissas DRE'!$C$10,Notas!$A:$A,H$4))+'Premissas DRE'!$C$7*(SUMIFS(Notas!$AE:$AE,Notas!$U:$U,'Premissas DRE'!$C$10,Notas!$A:$A,H$4)-SUMIFS(Notas!$AE:$AE,Notas!$D:$D,"0.01*",Notas!$U:$U,'Premissas DRE'!$C$10,Notas!$A:$A,H$4)-SUMIFS(Notas!$AE:$AE,Notas!$D:$D,"2.07*",Notas!$U:$U,'Premissas DRE'!$C$10,Notas!$A:$A,H$4))</f>
        <v/>
      </c>
      <c r="I88" s="68">
        <f>'Premissas DRE'!$C$8*(SUMIFS(Notas!$AA:$AA,Notas!$U:$U,'Premissas DRE'!$C$10,Notas!$A:$A,I$4)-SUMIFS(Notas!$AA:$AA,Notas!$D:$D,"0.01*",Notas!$U:$U,'Premissas DRE'!$C$10,Notas!$A:$A,I$4)-SUMIFS(Notas!$AA:$AA,Notas!$D:$D,"2.07*",Notas!$U:$U,'Premissas DRE'!$C$10,Notas!$A:$A,I$4))+'Premissas DRE'!$C$6*(SUMIFS(Notas!$AB:$AB,Notas!$U:$U,'Premissas DRE'!$C$10,Notas!$A:$A,I$4)-SUMIFS(Notas!$AB:$AB,Notas!$D:$D,"0.01*",Notas!$U:$U,'Premissas DRE'!$C$10,Notas!$A:$A,I$4)-SUMIFS(Notas!$AB:$AB,Notas!$D:$D,"2.07*",Notas!$U:$U,'Premissas DRE'!$C$10,Notas!$A:$A,I$4))+'Premissas DRE'!$C$7*(SUMIFS(Notas!$AD:$AD,Notas!$U:$U,'Premissas DRE'!$C$10,Notas!$A:$A,I$4)-SUMIFS(Notas!$AD:$AD,Notas!$D:$D,"0.01*",Notas!$U:$U,'Premissas DRE'!$C$10,Notas!$A:$A,I$4)-SUMIFS(Notas!$AD:$AD,Notas!$D:$D,"2.07*",Notas!$U:$U,'Premissas DRE'!$C$10,Notas!$A:$A,I$4))+'Premissas DRE'!$C$7*(SUMIFS(Notas!$AE:$AE,Notas!$U:$U,'Premissas DRE'!$C$10,Notas!$A:$A,I$4)-SUMIFS(Notas!$AE:$AE,Notas!$D:$D,"0.01*",Notas!$U:$U,'Premissas DRE'!$C$10,Notas!$A:$A,I$4)-SUMIFS(Notas!$AE:$AE,Notas!$D:$D,"2.07*",Notas!$U:$U,'Premissas DRE'!$C$10,Notas!$A:$A,I$4))</f>
        <v/>
      </c>
      <c r="J88" s="68">
        <f>'Premissas DRE'!$C$8*(SUMIFS(Notas!$AA:$AA,Notas!$U:$U,'Premissas DRE'!$C$10,Notas!$A:$A,J$4)-SUMIFS(Notas!$AA:$AA,Notas!$D:$D,"0.01*",Notas!$U:$U,'Premissas DRE'!$C$10,Notas!$A:$A,J$4)-SUMIFS(Notas!$AA:$AA,Notas!$D:$D,"2.07*",Notas!$U:$U,'Premissas DRE'!$C$10,Notas!$A:$A,J$4))+'Premissas DRE'!$C$6*(SUMIFS(Notas!$AB:$AB,Notas!$U:$U,'Premissas DRE'!$C$10,Notas!$A:$A,J$4)-SUMIFS(Notas!$AB:$AB,Notas!$D:$D,"0.01*",Notas!$U:$U,'Premissas DRE'!$C$10,Notas!$A:$A,J$4)-SUMIFS(Notas!$AB:$AB,Notas!$D:$D,"2.07*",Notas!$U:$U,'Premissas DRE'!$C$10,Notas!$A:$A,J$4))+'Premissas DRE'!$C$7*(SUMIFS(Notas!$AD:$AD,Notas!$U:$U,'Premissas DRE'!$C$10,Notas!$A:$A,J$4)-SUMIFS(Notas!$AD:$AD,Notas!$D:$D,"0.01*",Notas!$U:$U,'Premissas DRE'!$C$10,Notas!$A:$A,J$4)-SUMIFS(Notas!$AD:$AD,Notas!$D:$D,"2.07*",Notas!$U:$U,'Premissas DRE'!$C$10,Notas!$A:$A,J$4))+'Premissas DRE'!$C$7*(SUMIFS(Notas!$AE:$AE,Notas!$U:$U,'Premissas DRE'!$C$10,Notas!$A:$A,J$4)-SUMIFS(Notas!$AE:$AE,Notas!$D:$D,"0.01*",Notas!$U:$U,'Premissas DRE'!$C$10,Notas!$A:$A,J$4)-SUMIFS(Notas!$AE:$AE,Notas!$D:$D,"2.07*",Notas!$U:$U,'Premissas DRE'!$C$10,Notas!$A:$A,J$4))</f>
        <v/>
      </c>
      <c r="K88" s="68">
        <f>'Premissas DRE'!$C$8*(SUMIFS(Notas!$AA:$AA,Notas!$U:$U,'Premissas DRE'!$C$10,Notas!$A:$A,K$4)-SUMIFS(Notas!$AA:$AA,Notas!$D:$D,"0.01*",Notas!$U:$U,'Premissas DRE'!$C$10,Notas!$A:$A,K$4)-SUMIFS(Notas!$AA:$AA,Notas!$D:$D,"2.07*",Notas!$U:$U,'Premissas DRE'!$C$10,Notas!$A:$A,K$4))+'Premissas DRE'!$C$6*(SUMIFS(Notas!$AB:$AB,Notas!$U:$U,'Premissas DRE'!$C$10,Notas!$A:$A,K$4)-SUMIFS(Notas!$AB:$AB,Notas!$D:$D,"0.01*",Notas!$U:$U,'Premissas DRE'!$C$10,Notas!$A:$A,K$4)-SUMIFS(Notas!$AB:$AB,Notas!$D:$D,"2.07*",Notas!$U:$U,'Premissas DRE'!$C$10,Notas!$A:$A,K$4))+'Premissas DRE'!$C$7*(SUMIFS(Notas!$AD:$AD,Notas!$U:$U,'Premissas DRE'!$C$10,Notas!$A:$A,K$4)-SUMIFS(Notas!$AD:$AD,Notas!$D:$D,"0.01*",Notas!$U:$U,'Premissas DRE'!$C$10,Notas!$A:$A,K$4)-SUMIFS(Notas!$AD:$AD,Notas!$D:$D,"2.07*",Notas!$U:$U,'Premissas DRE'!$C$10,Notas!$A:$A,K$4))+'Premissas DRE'!$C$7*(SUMIFS(Notas!$AE:$AE,Notas!$U:$U,'Premissas DRE'!$C$10,Notas!$A:$A,K$4)-SUMIFS(Notas!$AE:$AE,Notas!$D:$D,"0.01*",Notas!$U:$U,'Premissas DRE'!$C$10,Notas!$A:$A,K$4)-SUMIFS(Notas!$AE:$AE,Notas!$D:$D,"2.07*",Notas!$U:$U,'Premissas DRE'!$C$10,Notas!$A:$A,K$4))</f>
        <v/>
      </c>
      <c r="L88" s="68">
        <f>SUM(C88:K88)</f>
        <v/>
      </c>
    </row>
    <row r="89">
      <c r="A89" s="58">
        <f> DRE em base bruta</f>
        <v/>
      </c>
      <c r="B89" s="58" t="inlineStr"/>
      <c r="C89" s="70">
        <f>C87+C88</f>
        <v/>
      </c>
      <c r="D89" s="70">
        <f>D87+D88</f>
        <v/>
      </c>
      <c r="E89" s="70">
        <f>E87+E88</f>
        <v/>
      </c>
      <c r="F89" s="70">
        <f>F87+F88</f>
        <v/>
      </c>
      <c r="G89" s="70">
        <f>G87+G88</f>
        <v/>
      </c>
      <c r="H89" s="70">
        <f>H87+H88</f>
        <v/>
      </c>
      <c r="I89" s="70">
        <f>I87+I88</f>
        <v/>
      </c>
      <c r="J89" s="70">
        <f>J87+J88</f>
        <v/>
      </c>
      <c r="K89" s="70">
        <f>K87+K88</f>
        <v/>
      </c>
      <c r="L89" s="70">
        <f>SUM(C89:K89)</f>
        <v/>
      </c>
    </row>
    <row r="90">
      <c r="A90" s="56" t="inlineStr">
        <is>
          <t>DIFERENÇA (Base bruta − DRE bruta)  → deve ser 0,00</t>
        </is>
      </c>
      <c r="B90" s="56" t="inlineStr"/>
      <c r="C90" s="69">
        <f>C86-C89</f>
        <v/>
      </c>
      <c r="D90" s="69">
        <f>D86-D89</f>
        <v/>
      </c>
      <c r="E90" s="69">
        <f>E86-E89</f>
        <v/>
      </c>
      <c r="F90" s="69">
        <f>F86-F89</f>
        <v/>
      </c>
      <c r="G90" s="69">
        <f>G86-G89</f>
        <v/>
      </c>
      <c r="H90" s="69">
        <f>H86-H89</f>
        <v/>
      </c>
      <c r="I90" s="69">
        <f>I86-I89</f>
        <v/>
      </c>
      <c r="J90" s="69">
        <f>J86-J89</f>
        <v/>
      </c>
      <c r="K90" s="69">
        <f>K86-K89</f>
        <v/>
      </c>
      <c r="L90" s="69">
        <f>SUM(C90:K90)</f>
        <v/>
      </c>
    </row>
    <row r="92">
      <c r="A92" s="52" t="inlineStr">
        <is>
          <t>MEMO — "ANTES DE 2026" (emitidos em anos anteriores, conferidos em 2026; fora da DRE 2026; bruto)</t>
        </is>
      </c>
      <c r="B92" s="52" t="n"/>
      <c r="C92" s="52" t="inlineStr">
        <is>
          <t>Valor bruto</t>
        </is>
      </c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</row>
    <row r="93">
      <c r="A93" s="53" t="inlineStr">
        <is>
          <t>Frete de venda</t>
        </is>
      </c>
      <c r="C93" s="68">
        <f>SUMIFS(Notas!$W:$W,Notas!$C:$C,"Frete",Notas!$D:$D,"Frete de venda (para clientes)",Notas!$A:$A,"Antes de 2026")</f>
        <v/>
      </c>
    </row>
    <row r="94">
      <c r="A94" s="53" t="inlineStr">
        <is>
          <t>Frete de compra</t>
        </is>
      </c>
      <c r="C94" s="68">
        <f>SUMIFS(Notas!$W:$W,Notas!$C:$C,"Frete",Notas!$D:$D,"Frete de compra",Notas!$A:$A,"Antes de 2026")</f>
        <v/>
      </c>
    </row>
    <row r="95">
      <c r="A95" s="53" t="inlineStr">
        <is>
          <t>NF-e 2.01 Custos</t>
        </is>
      </c>
      <c r="C95" s="68">
        <f>SUMIFS(Notas!$W:$W,Notas!$C:$C,"NF-e",Notas!$D:$D,"2.01 Custos",Notas!$A:$A,"Antes de 2026")</f>
        <v/>
      </c>
    </row>
    <row r="96">
      <c r="A96" s="53" t="inlineStr">
        <is>
          <t>NF-e 2.02 a 2.04 Despesas</t>
        </is>
      </c>
      <c r="C96" s="68">
        <f>SUMIFS(Notas!$W:$W,Notas!$C:$C,"NF-e",Notas!$D:$D,"2.02 Despesas Comerciais",Notas!$A:$A,"Antes de 2026")+SUMIFS(Notas!$W:$W,Notas!$C:$C,"NF-e",Notas!$D:$D,"2.03 Despesas com Pessoal",Notas!$A:$A,"Antes de 2026")+SUMIFS(Notas!$W:$W,Notas!$C:$C,"NF-e",Notas!$D:$D,"2.04 Despesas Administrativas",Notas!$A:$A,"Antes de 2026")</f>
        <v/>
      </c>
    </row>
    <row r="97">
      <c r="A97" s="53" t="inlineStr">
        <is>
          <t>NF-e 2.11/2.12/2.16</t>
        </is>
      </c>
      <c r="C97" s="68">
        <f>SUMIFS(Notas!$W:$W,Notas!$C:$C,"NF-e",Notas!$D:$D,"2.11 Despesa com Imóvel",Notas!$A:$A,"Antes de 2026")+SUMIFS(Notas!$W:$W,Notas!$C:$C,"NF-e",Notas!$D:$D,"2.12 Despesas com Veículos",Notas!$A:$A,"Antes de 2026")+SUMIFS(Notas!$W:$W,Notas!$C:$C,"NF-e",Notas!$D:$D,"2.16 Sede Vinco",Notas!$A:$A,"Antes de 2026")</f>
        <v/>
      </c>
    </row>
    <row r="98">
      <c r="A98" s="53" t="inlineStr">
        <is>
          <t>NF-e 2.07 Investimento</t>
        </is>
      </c>
      <c r="C98" s="68">
        <f>SUMIFS(Notas!$W:$W,Notas!$C:$C,"NF-e",Notas!$D:$D,"2.07 Investimento",Notas!$A:$A,"Antes de 2026")</f>
        <v/>
      </c>
    </row>
    <row r="99">
      <c r="A99" s="53" t="inlineStr">
        <is>
          <t>NF-e 0.01 Transferência</t>
        </is>
      </c>
      <c r="C99" s="68">
        <f>SUMIFS(Notas!$W:$W,Notas!$C:$C,"NF-e",Notas!$D:$D,"0.01 Transferência",Notas!$A:$A,"Antes de 2026")</f>
        <v/>
      </c>
    </row>
    <row r="100">
      <c r="A100" s="49" t="inlineStr">
        <is>
          <t>Total Antes de 2026 (deve = Notas, mês "Antes de 2026")</t>
        </is>
      </c>
      <c r="C100" s="71">
        <f>SUM(C93:C99)</f>
        <v/>
      </c>
    </row>
    <row r="101">
      <c r="A101" t="inlineStr">
        <is>
          <t>Diferença vs Notas (deve ser 0,00)</t>
        </is>
      </c>
      <c r="C101" s="68">
        <f>C100-SUMIFS(Notas!$W:$W,Notas!$A:$A,"Antes de 2026")</f>
        <v/>
      </c>
    </row>
  </sheetData>
  <conditionalFormatting sqref="C90:L90">
    <cfRule type="cellIs" priority="1" operator="between" dxfId="0">
      <formula>-0.005</formula>
      <formula>0.005</formula>
    </cfRule>
    <cfRule type="cellIs" priority="2" operator="notBetween" dxfId="1">
      <formula>-0.005</formula>
      <formula>0.005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22" customWidth="1" min="3" max="3"/>
    <col width="70" customWidth="1" min="4" max="4"/>
    <col width="60" customWidth="1" min="5" max="5"/>
  </cols>
  <sheetData>
    <row r="1">
      <c r="A1" s="47" t="inlineStr">
        <is>
          <t>Premissas DRE — critérios fiscais e contábeis</t>
        </is>
      </c>
    </row>
    <row r="2">
      <c r="A2" s="48" t="inlineStr">
        <is>
          <t>Parâmetros editáveis (células azuis/amarelas) alimentam a aba DRE. Nada nas abas de origem foi alterado.</t>
        </is>
      </c>
    </row>
    <row r="3">
      <c r="B3" s="49" t="inlineStr">
        <is>
          <t>PARÂMETROS</t>
        </is>
      </c>
    </row>
    <row r="4">
      <c r="B4" t="inlineStr">
        <is>
          <t>Tratar x.922 como duplicidade de x.116/x.117?</t>
        </is>
      </c>
      <c r="C4" s="61" t="inlineStr">
        <is>
          <t>Sim</t>
        </is>
      </c>
      <c r="D4" s="62" t="inlineStr">
        <is>
          <t>Sim = exclui simples faturamento (x.922) e mantém a entrega futura (recebimento físico). Não = conta ambos.</t>
        </is>
      </c>
    </row>
    <row r="5">
      <c r="B5" t="inlineStr">
        <is>
          <t>Regime tributário</t>
        </is>
      </c>
      <c r="C5" s="61" t="inlineStr">
        <is>
          <t>Lucro Real</t>
        </is>
      </c>
      <c r="D5" s="62" t="inlineStr">
        <is>
          <t>Lucro Real | Lucro Presumido | Simples Nacional</t>
        </is>
      </c>
    </row>
    <row r="6">
      <c r="B6" t="inlineStr">
        <is>
          <t>Fator crédito ICMS (1 = recupera)</t>
        </is>
      </c>
      <c r="C6" s="63">
        <f>IF(C5="Simples Nacional",0,1)</f>
        <v/>
      </c>
      <c r="D6" s="62" t="inlineStr">
        <is>
          <t>Recuperável em Real e Presumido (não cumulativo do ICMS). Pode sobrescrever.</t>
        </is>
      </c>
    </row>
    <row r="7">
      <c r="B7" t="inlineStr">
        <is>
          <t>Fator crédito PIS/COFINS (1 = recupera)</t>
        </is>
      </c>
      <c r="C7" s="63">
        <f>IF(C5="Lucro Real",1,0)</f>
        <v/>
      </c>
      <c r="D7" s="62" t="inlineStr">
        <is>
          <t>Só Lucro Real (não cumulativo). Presumido/Simples: cumulativo, sem crédito -&gt; PIS/COFINS ficam no custo.</t>
        </is>
      </c>
    </row>
    <row r="8">
      <c r="B8" t="inlineStr">
        <is>
          <t>Fator crédito IPI (1 = recupera)</t>
        </is>
      </c>
      <c r="C8" s="63">
        <f>IF(C5="Simples Nacional",0,1)</f>
        <v/>
      </c>
      <c r="D8" s="62" t="inlineStr">
        <is>
          <t>Indústria contribuinte de IPI recupera IPI de insumos; em Simples não recupera.</t>
        </is>
      </c>
    </row>
    <row r="9">
      <c r="B9" t="inlineStr">
        <is>
          <t>(interno) x.922 = duplicidade?</t>
        </is>
      </c>
      <c r="C9">
        <f>C4</f>
        <v/>
      </c>
      <c r="D9" s="62" t="inlineStr">
        <is>
          <t>Espelho de C4 usado nas fórmulas.</t>
        </is>
      </c>
    </row>
    <row r="10">
      <c r="B10" t="inlineStr">
        <is>
          <t>(interno) critério de operação</t>
        </is>
      </c>
      <c r="C10">
        <f>IF(C4="Sim","&lt;&gt;Simples faturamento (x.922)","&lt;&gt;__nenhum__")</f>
        <v/>
      </c>
      <c r="D10" s="62" t="inlineStr">
        <is>
          <t>Critério aplicado à coluna U (Operação na nota) em todas as linhas da DRE.</t>
        </is>
      </c>
    </row>
    <row r="12">
      <c r="B12" s="64" t="inlineStr">
        <is>
          <t>(a) Impostos recuperáveis — o valor em W é bruto?</t>
        </is>
      </c>
      <c r="C12" s="64" t="n"/>
      <c r="D12" s="64" t="n"/>
      <c r="E12" s="64" t="n"/>
    </row>
    <row r="13" ht="95" customHeight="1">
      <c r="B13" s="65" t="inlineStr">
        <is>
          <t>SIM. Em NF-e de linha única, o Valor na categoria (W) é igual ao Valor do documento (X) em 1.545 de 1.573 NF-e; X inclui IPI, ICMS-ST e frete destacado, e o ICMS/PIS/COFINS já vêm embutidos no preço. Logo W é custo bruto de impostos. A DRE abate créditos por linha: custo líquido = W − IPI×fIPI − ICMS×fICMS − (PIS+COFINS)×fPIS/COFINS, fatores nos parâmetros. ICMS-ST NÃO é abatido (fica no custo). Frete: ICMS do CT-e é abatido; PIS/COFINS vêm zerados nos CT-e (não destacados), então há crédito potencial não apropriado (ver perguntas).</t>
        </is>
      </c>
    </row>
    <row r="14" ht="48" customHeight="1">
      <c r="B14" s="65" t="inlineStr">
        <is>
          <t>Limitação conhecida: em 14 documentos rateados entre categorias, os impostos constam só na 1ª linha (categoria da 1ª linha recebe o crédito do documento todo). Impacto pequeno (docs de R$ 28,7 mil de diferença W×X), zero no total. Em 4 linhas o crédito supera W da linha por causa disso.</t>
        </is>
      </c>
    </row>
    <row r="15" ht="30" customHeight="1">
      <c r="B15" s="65" t="inlineStr">
        <is>
          <t>Créditos IPI apropriados (2026, base DRE)</t>
        </is>
      </c>
      <c r="C15" s="68">
        <f>'Premissas DRE'!$C$8*(SUMIFS(Notas!$AA:$AA,Notas!$U:$U,'Premissas DRE'!$C$10,Notas!$A:$A,"&gt;="&amp;DATE(2026,1,1))-SUMIFS(Notas!$AA:$AA,Notas!$D:$D,"0.01*",Notas!$U:$U,'Premissas DRE'!$C$10,Notas!$A:$A,"&gt;="&amp;DATE(2026,1,1))-SUMIFS(Notas!$AA:$AA,Notas!$D:$D,"2.07*",Notas!$U:$U,'Premissas DRE'!$C$10,Notas!$A:$A,"&gt;="&amp;DATE(2026,1,1)))</f>
        <v/>
      </c>
      <c r="D15" s="65" t="inlineStr">
        <is>
          <t>Abatido do custo conforme fator</t>
        </is>
      </c>
      <c r="E15" s="65" t="inlineStr"/>
    </row>
    <row r="16" ht="30" customHeight="1">
      <c r="B16" s="65" t="inlineStr">
        <is>
          <t>Créditos ICMS apropriados</t>
        </is>
      </c>
      <c r="C16" s="68">
        <f>'Premissas DRE'!$C$6*(SUMIFS(Notas!$AB:$AB,Notas!$U:$U,'Premissas DRE'!$C$10,Notas!$A:$A,"&gt;="&amp;DATE(2026,1,1))-SUMIFS(Notas!$AB:$AB,Notas!$D:$D,"0.01*",Notas!$U:$U,'Premissas DRE'!$C$10,Notas!$A:$A,"&gt;="&amp;DATE(2026,1,1))-SUMIFS(Notas!$AB:$AB,Notas!$D:$D,"2.07*",Notas!$U:$U,'Premissas DRE'!$C$10,Notas!$A:$A,"&gt;="&amp;DATE(2026,1,1)))</f>
        <v/>
      </c>
      <c r="D16" s="65" t="inlineStr">
        <is>
          <t>Inclui ICMS de CT-e</t>
        </is>
      </c>
      <c r="E16" s="65" t="inlineStr"/>
    </row>
    <row r="17" ht="30" customHeight="1">
      <c r="B17" s="65" t="inlineStr">
        <is>
          <t>Créditos PIS apropriados</t>
        </is>
      </c>
      <c r="C17" s="68">
        <f>'Premissas DRE'!$C$7*(SUMIFS(Notas!$AD:$AD,Notas!$U:$U,'Premissas DRE'!$C$10,Notas!$A:$A,"&gt;="&amp;DATE(2026,1,1))-SUMIFS(Notas!$AD:$AD,Notas!$D:$D,"0.01*",Notas!$U:$U,'Premissas DRE'!$C$10,Notas!$A:$A,"&gt;="&amp;DATE(2026,1,1))-SUMIFS(Notas!$AD:$AD,Notas!$D:$D,"2.07*",Notas!$U:$U,'Premissas DRE'!$C$10,Notas!$A:$A,"&gt;="&amp;DATE(2026,1,1)))</f>
        <v/>
      </c>
      <c r="D17" s="65" t="inlineStr">
        <is>
          <t>Zera em Presumido/Simples</t>
        </is>
      </c>
      <c r="E17" s="65" t="inlineStr"/>
    </row>
    <row r="18" ht="30" customHeight="1">
      <c r="B18" s="65" t="inlineStr">
        <is>
          <t>Créditos COFINS apropriados</t>
        </is>
      </c>
      <c r="C18" s="68">
        <f>'Premissas DRE'!$C$7*(SUMIFS(Notas!$AE:$AE,Notas!$U:$U,'Premissas DRE'!$C$10,Notas!$A:$A,"&gt;="&amp;DATE(2026,1,1))-SUMIFS(Notas!$AE:$AE,Notas!$D:$D,"0.01*",Notas!$U:$U,'Premissas DRE'!$C$10,Notas!$A:$A,"&gt;="&amp;DATE(2026,1,1))-SUMIFS(Notas!$AE:$AE,Notas!$D:$D,"2.07*",Notas!$U:$U,'Premissas DRE'!$C$10,Notas!$A:$A,"&gt;="&amp;DATE(2026,1,1)))</f>
        <v/>
      </c>
      <c r="D18" s="65" t="inlineStr">
        <is>
          <t>Zera em Presumido/Simples</t>
        </is>
      </c>
      <c r="E18" s="65" t="inlineStr"/>
    </row>
    <row r="19" ht="60" customHeight="1">
      <c r="B19" s="65" t="inlineStr">
        <is>
          <t>RISCO: NF-e com CFOP de entrada x.556 (uso e consumo) — ICMS destacado (todas as categorias, fora transf./CAPEX)</t>
        </is>
      </c>
      <c r="C19" s="68">
        <f>SUMIFS(Notas!$AB:$AB,Notas!$T:$T,"*556*",Notas!$U:$U,'Premissas DRE'!$C$10,Notas!$D:$D,"&lt;&gt;0.01*",Notas!$D:$D,"&lt;&gt;2.07*",Notas!$A:$A,"&gt;="&amp;DATE(2026,1,1))</f>
        <v/>
      </c>
      <c r="D19" s="65" t="inlineStr">
        <is>
          <t>A DRE credita ICMS/PIS/COFINS destacado no XML. Mas 2.01.03 Papel e outros insumos aparecem com CFOP x.556 (uso/consumo), que NÃO gera crédito de ICMS (e PIS/COFINS só se insumo).</t>
        </is>
      </c>
      <c r="E19" s="65" t="inlineStr">
        <is>
          <t>Confirmar com contador se o CFOP de entrada no Omie está correto (x.101 industrialização). Se x.556 for verdadeiro, remover o crédito de ICMS dessas notas (custo sobe pelo valor ao lado).</t>
        </is>
      </c>
    </row>
    <row r="20">
      <c r="B20" s="64" t="inlineStr">
        <is>
          <t>Regime tributário — parâmetro</t>
        </is>
      </c>
      <c r="C20" s="64" t="n"/>
      <c r="D20" s="64" t="n"/>
      <c r="E20" s="64" t="n"/>
    </row>
    <row r="21" ht="48" customHeight="1">
      <c r="B21" s="65" t="inlineStr">
        <is>
          <t>Padrão: Lucro Real não cumulativo (IPI, ICMS, PIS e COFINS recuperados). Trocar C5 recalcula toda a DRE. Em Lucro Presumido o PIS/COFINS (cumulativo 0,65%/3%) não gera crédito e volta ao custo; em Simples nenhum crédito é apropriado. Receita bruta e deduções não são calculadas aqui (só entradas).</t>
        </is>
      </c>
    </row>
    <row r="22">
      <c r="B22" s="64" t="inlineStr">
        <is>
          <t>(b) Simples faturamento, entrega futura, venda à ordem</t>
        </is>
      </c>
      <c r="C22" s="64" t="n"/>
      <c r="D22" s="64" t="n"/>
      <c r="E22" s="64" t="n"/>
    </row>
    <row r="23" ht="110" customHeight="1">
      <c r="B23" s="65" t="inlineStr">
        <is>
          <t>x.922 (simples faturamento) é o faturamento antecipado; x.116/x.117 (entrega futura) é o documento do recebimento físico da mesma compra. Na base há 20 NF de x.922 e cada uma casa com uma de x.116/x.117 do mesmo fornecedor e mesmo valor (R$ 223.806,81 nos dois lados, incluindo 2.07 e 2.01). Padrão da DRE: excluir x.922 e reconhecer x.116/x.117 (competência = recebimento), conforme parâmetro C4. Créditos de PIS/COFINS constam nos dois documentos; usando só x.116/x.117 os créditos de x.922 não são apropriados (conservador). Venda à ordem (x.118–x.120, x.923): 163 NF, sem par de mesmo valor/fornecedor encontrado na base; mantidas uma vez só. Verificar se a remessa física do remetente (x.923) não foi lançada também como NF de compra com valor.</t>
        </is>
      </c>
    </row>
    <row r="24" ht="30" customHeight="1">
      <c r="B24" s="65" t="inlineStr">
        <is>
          <t>x.922 excluído (bruto, 2026)</t>
        </is>
      </c>
      <c r="C24" s="68">
        <f>SUMIFS(Notas!$W:$W,Notas!$U:$U,"Simples faturamento (x.922)",Notas!$A:$A,"&gt;="&amp;DATE(2026,1,1))</f>
        <v/>
      </c>
      <c r="D24" s="65" t="inlineStr">
        <is>
          <t>Excluído se C4 = Sim</t>
        </is>
      </c>
      <c r="E24" s="65" t="inlineStr"/>
    </row>
    <row r="25" ht="30" customHeight="1">
      <c r="B25" s="65" t="inlineStr">
        <is>
          <t>x.116/x.117 mantido (bruto, 2026)</t>
        </is>
      </c>
      <c r="C25" s="68">
        <f>SUMIFS(Notas!$W:$W,Notas!$U:$U,"Entrega futura (x.116/x.117)",Notas!$A:$A,"&gt;="&amp;DATE(2026,1,1))</f>
        <v/>
      </c>
      <c r="D25" s="65" t="inlineStr">
        <is>
          <t>Contado</t>
        </is>
      </c>
      <c r="E25" s="65" t="inlineStr">
        <is>
          <t>Mês da entrega futura pode diferir do x.922 (ex.: x.922 em jun, x.116 em ago).</t>
        </is>
      </c>
    </row>
    <row r="26" ht="30" customHeight="1">
      <c r="B26" s="65" t="inlineStr">
        <is>
          <t>Venda à ordem (bruto, 2026)</t>
        </is>
      </c>
      <c r="C26" s="68">
        <f>SUMIFS(Notas!$W:$W,Notas!$U:$U,"Venda à ordem*",Notas!$A:$A,"&gt;="&amp;DATE(2026,1,1))</f>
        <v/>
      </c>
      <c r="D26" s="65" t="inlineStr">
        <is>
          <t>Contado uma vez</t>
        </is>
      </c>
      <c r="E26" s="65" t="inlineStr">
        <is>
          <t>Confirmar ausência de duplicidade com a NF do remetente (x.923).</t>
        </is>
      </c>
    </row>
    <row r="27">
      <c r="B27" s="64" t="inlineStr">
        <is>
          <t>(c) Frete</t>
        </is>
      </c>
      <c r="C27" s="64" t="n"/>
      <c r="D27" s="64" t="n"/>
      <c r="E27" s="64" t="n"/>
    </row>
    <row r="28" ht="75" customHeight="1">
      <c r="B28" s="65" t="inlineStr">
        <is>
          <t>Frete sobre compra (grupo Omie "Frete de compra") compõe o custo do estoque/CMV (CPC 16): linha "Frete sobre compras" dentro do custo. Frete de venda (transportadoras da lista, grupo "Frete de venda") = despesa comercial, mesmo quando a categoria do Omie é 2.04.87 Frete sobre Compra ou 2.01.84 — regra decidida pelo usuário, aplicada pelo grupo (coluna D). Frete descarregamento (2.01.98) está em frete de venda por este mesmo critério. Em NF-e, o posicionamento segue o grupo Omie.</t>
        </is>
      </c>
    </row>
    <row r="29" ht="30" customHeight="1">
      <c r="B29" s="65" t="inlineStr">
        <is>
          <t>Frete de venda com categoria 2.04.87 (bruto)</t>
        </is>
      </c>
      <c r="C29" s="68">
        <f>SUMIFS(Notas!$W:$W,Notas!$D:$D,"Frete de venda (para clientes)",Notas!$E:$E,"2.04.87*",Notas!$A:$A,"&gt;="&amp;DATE(2026,1,1))</f>
        <v/>
      </c>
      <c r="D29" s="65" t="inlineStr">
        <is>
          <t>Despesa comercial (regra do usuário)</t>
        </is>
      </c>
      <c r="E29" s="65" t="inlineStr">
        <is>
          <t>Confirmar: categoria diz "compra", grupo diz "venda".</t>
        </is>
      </c>
    </row>
    <row r="30" ht="30" customHeight="1">
      <c r="B30" s="65" t="inlineStr">
        <is>
          <t>Frete de compra (bruto)</t>
        </is>
      </c>
      <c r="C30" s="68">
        <f>SUMIFS(Notas!$W:$W,Notas!$D:$D,"Frete de compra",Notas!$A:$A,"&gt;="&amp;DATE(2026,1,1))</f>
        <v/>
      </c>
      <c r="D30" s="65" t="inlineStr">
        <is>
          <t>Custo (CMV)</t>
        </is>
      </c>
      <c r="E30" s="65" t="inlineStr"/>
    </row>
    <row r="31">
      <c r="B31" s="64" t="inlineStr">
        <is>
          <t>(d) Itens sinalizados (mantidos onde o Omie classificou; nada reclassificado)</t>
        </is>
      </c>
      <c r="C31" s="64" t="n"/>
      <c r="D31" s="64" t="n"/>
      <c r="E31" s="64" t="n"/>
    </row>
    <row r="32" ht="30" customHeight="1">
      <c r="B32" s="65" t="inlineStr">
        <is>
          <t>2.01.84 Remessa de Mercadoria — NF-e (bruto)</t>
        </is>
      </c>
      <c r="C32" s="68">
        <f>SUMIFS(Notas!$W:$W,Notas!$C:$C,"NF-e",Notas!$E:$E,"2.01.84*",Notas!$U:$U,'Premissas DRE'!$C$10,Notas!$A:$A,"&gt;="&amp;DATE(2026,1,1))</f>
        <v/>
      </c>
      <c r="D32" s="65" t="inlineStr">
        <is>
          <t>Mantido em CMV (linha própria)</t>
        </is>
      </c>
      <c r="E32" s="65" t="inlineStr">
        <is>
          <t>Remessa normalmente é fluxo de retorno/transferência; se não for compra, sai do CMV. Definir natureza.</t>
        </is>
      </c>
    </row>
    <row r="33" ht="30" customHeight="1">
      <c r="B33" s="65" t="inlineStr">
        <is>
          <t>2.01.84 Remessa — frete de venda + frete de compra (bruto)</t>
        </is>
      </c>
      <c r="C33" s="68">
        <f>SUMIFS(Notas!$W:$W,Notas!$C:$C,"Frete",Notas!$E:$E,"2.01.84*",Notas!$A:$A,"&gt;="&amp;DATE(2026,1,1))</f>
        <v/>
      </c>
      <c r="D33" s="65" t="inlineStr">
        <is>
          <t>Frete de venda -&gt; comercial; frete de compra -&gt; CMV</t>
        </is>
      </c>
      <c r="E33" s="65" t="inlineStr"/>
    </row>
    <row r="34" ht="30" customHeight="1">
      <c r="B34" s="65" t="inlineStr">
        <is>
          <t>2.01.82 Estadia - Cabotagem (frete de venda, bruto)</t>
        </is>
      </c>
      <c r="C34" s="68">
        <f>SUMIFS(Notas!$W:$W,Notas!$E:$E,"2.01.82*",Notas!$A:$A,"&gt;="&amp;DATE(2026,1,1))</f>
        <v/>
      </c>
      <c r="D34" s="65" t="inlineStr">
        <is>
          <t>Despesa comercial, linha própria</t>
        </is>
      </c>
      <c r="E34" s="65" t="inlineStr">
        <is>
          <t>Estadia é sobrestadia/logística: avaliar se despesa comercial ou de produção.</t>
        </is>
      </c>
    </row>
    <row r="35" ht="30" customHeight="1">
      <c r="B35" s="65" t="inlineStr">
        <is>
          <t>2.02.93 Frete Amostras/Brindes (bruto)</t>
        </is>
      </c>
      <c r="C35" s="68">
        <f>SUMIFS(Notas!$W:$W,Notas!$E:$E,"2.02.93*",Notas!$A:$A,"&gt;="&amp;DATE(2026,1,1))</f>
        <v/>
      </c>
      <c r="D35" s="65" t="inlineStr">
        <is>
          <t>Despesa comercial, linha própria</t>
        </is>
      </c>
      <c r="E35" s="65" t="inlineStr">
        <is>
          <t>Correto como despesa comercial; sem receita associada.</t>
        </is>
      </c>
    </row>
    <row r="36" ht="30" customHeight="1">
      <c r="B36" s="65" t="inlineStr">
        <is>
          <t>2.01.78 Compra de Máquinas Pesadas em 2.01 (bruto)</t>
        </is>
      </c>
      <c r="C36" s="68">
        <f>SUMIFS(Notas!$W:$W,Notas!$E:$E,"2.01.78*",Notas!$A:$A,"&gt;="&amp;DATE(2026,1,1))</f>
        <v/>
      </c>
      <c r="D36" s="65" t="inlineStr">
        <is>
          <t>Mantido em custos (não é 2.07)</t>
        </is>
      </c>
      <c r="E36" s="65" t="inlineStr">
        <is>
          <t>Provável imobilizado; se confirmado, mover para CAPEX.</t>
        </is>
      </c>
    </row>
    <row r="37" ht="30" customHeight="1">
      <c r="B37" s="65" t="inlineStr">
        <is>
          <t>Notebooks/informática (Miranda Computação) em 2.01.02 NF-e (bruto, inclui x.922)</t>
        </is>
      </c>
      <c r="C37" s="68">
        <f>SUMIFS(Notas!$W:$W,Notas!$C:$C,"NF-e",Notas!$E:$E,"2.01.02*",Notas!$I:$I,"MIRANDA*",Notas!$A:$A,"&gt;="&amp;DATE(2026,1,1))</f>
        <v/>
      </c>
      <c r="D37" s="65" t="inlineStr">
        <is>
          <t>x.922 excluído; a parcela x.116 restante fica no CMV (linha "2.01.02 ...")</t>
        </is>
      </c>
      <c r="E37" s="65" t="inlineStr">
        <is>
          <t>Categoria claramente errada: deveria ser 2.07.04 (CAPEX). Corrigir no Omie.</t>
        </is>
      </c>
    </row>
    <row r="38" ht="30" customHeight="1">
      <c r="B38" s="65" t="inlineStr">
        <is>
          <t>2.01.02 NF-e total (bruto, todos os fornecedores)</t>
        </is>
      </c>
      <c r="C38" s="68">
        <f>SUMIFS(Notas!$W:$W,Notas!$C:$C,"NF-e",Notas!$E:$E,"2.01.02*",Notas!$A:$A,"&gt;="&amp;DATE(2026,1,1))</f>
        <v/>
      </c>
      <c r="D38" s="65" t="inlineStr">
        <is>
          <t>Mantido em CMV pelo grupo 2.01</t>
        </is>
      </c>
      <c r="E38" s="65" t="inlineStr"/>
    </row>
    <row r="39" ht="30" customHeight="1">
      <c r="B39" s="65" t="inlineStr">
        <is>
          <t>2.04.87 Frete sobre compra lançado em NF-e (bruto)</t>
        </is>
      </c>
      <c r="C39" s="68">
        <f>SUMIFS(Notas!$W:$W,Notas!$C:$C,"NF-e",Notas!$E:$E,"2.04.87*",Notas!$A:$A,"&gt;="&amp;DATE(2026,1,1))</f>
        <v/>
      </c>
      <c r="D39" s="65" t="inlineStr">
        <is>
          <t>Mantido em despesas administrativas (grupo Omie)</t>
        </is>
      </c>
      <c r="E39" s="65" t="inlineStr">
        <is>
          <t>Pela regra (c) deveria compor CMV; confirmar reclassificação.</t>
        </is>
      </c>
    </row>
    <row r="40" ht="30" customHeight="1">
      <c r="B40" s="65" t="inlineStr">
        <is>
          <t>Frete de venda lançado com categoria de receita 1.01.01 (bruto)</t>
        </is>
      </c>
      <c r="C40" s="68">
        <f>SUMIFS(Notas!$W:$W,Notas!$C:$C,"Frete",Notas!$E:$E,"1.01.01*",Notas!$D:$D,"Frete de venda (para clientes)",Notas!$A:$A,"&gt;="&amp;DATE(2026,1,1))</f>
        <v/>
      </c>
      <c r="D40" s="65" t="inlineStr">
        <is>
          <t>Despesa comercial</t>
        </is>
      </c>
      <c r="E40" s="65" t="inlineStr">
        <is>
          <t>Categoria 1.01.01 é de receita: ajustar.</t>
        </is>
      </c>
    </row>
    <row r="41" ht="30" customHeight="1">
      <c r="B41" s="65" t="inlineStr">
        <is>
          <t>Pagamentos sem documento no Omie (4 fretes, bruto)</t>
        </is>
      </c>
      <c r="C41" s="68">
        <f>SUMIFS(Notas!$W:$W,Notas!$B:$B,"Pagamento sem documento no Omie",Notas!$A:$A,"&gt;="&amp;DATE(2026,1,1))</f>
        <v/>
      </c>
      <c r="D41" s="65" t="inlineStr">
        <is>
          <t>Mantido em frete de venda no mês do pagamento</t>
        </is>
      </c>
      <c r="E41" s="65" t="inlineStr">
        <is>
          <t>Regularizar documento.</t>
        </is>
      </c>
    </row>
    <row r="42">
      <c r="B42" s="64" t="inlineStr">
        <is>
          <t>(e) Competência</t>
        </is>
      </c>
      <c r="C42" s="64" t="n"/>
      <c r="D42" s="64" t="n"/>
      <c r="E42" s="64" t="n"/>
    </row>
    <row r="43" ht="75" customHeight="1">
      <c r="B43" s="65" t="inlineStr">
        <is>
          <t>Regime de competência aproximado pelo mês de EMISSÃO (coluna A de Notas). A data de conferência/recebimento (coluna Q) não define o mês. Como as NF-e refletem entrada de estoque, o custo do mês é "compras líquidas" (proxy de CMV) — o CMV correto exige o ajuste de estoques (linha manual). Notas emitidas em anos anteriores e conferidas em 2026 ("Antes de 2026") ficam em memo separado, fora do Total 2026. Sem provisão de despesas não recebidas.</t>
        </is>
      </c>
    </row>
    <row r="44" ht="30" customHeight="1">
      <c r="B44" s="65" t="inlineStr">
        <is>
          <t>Antes de 2026 (bruto, fora da DRE)</t>
        </is>
      </c>
      <c r="C44" s="68">
        <f>SUMIFS(Notas!$W:$W,Notas!$A:$A,"Antes de 2026")</f>
        <v/>
      </c>
      <c r="D44" s="65" t="inlineStr">
        <is>
          <t>Memo à parte</t>
        </is>
      </c>
      <c r="E44" s="65" t="inlineStr">
        <is>
          <t>Decidir se entram em resultado de 2025 (ajuste) ou de 2026.</t>
        </is>
      </c>
    </row>
    <row r="45">
      <c r="B45" s="64" t="inlineStr">
        <is>
          <t>(f) Pendentes e exclusões</t>
        </is>
      </c>
      <c r="C45" s="64" t="n"/>
      <c r="D45" s="64" t="n"/>
      <c r="E45" s="64" t="n"/>
    </row>
    <row r="46" ht="90" customHeight="1">
      <c r="B46" s="65" t="inlineStr">
        <is>
          <t>Aba Pendentes fora da DRE (não conferidas). Grupo 2.09 Devoluções de Vendas e operação "Remessa sem venda (x.949)" já estão fora de Notas por decisão do usuário. Grupo 0.01 Transferência (entrada/saída entre estabelecimentos) tratado como neutro e fora do resultado. Grupo 2.07 Investimento é CAPEX: fora do resultado, mostrado em memo; depreciação e créditos via CIAP/PIS-COFINS sobre imobilizado não foram modelados. IRPJ/CSLL, resultado financeiro e depreciação ficam abaixo do resultado operacional (não há dados).</t>
        </is>
      </c>
    </row>
    <row r="47" ht="30" customHeight="1">
      <c r="B47" s="65" t="inlineStr">
        <is>
          <t>Transferências 0.01 (bruto, 2026)</t>
        </is>
      </c>
      <c r="C47" s="68">
        <f>SUMIFS(Notas!$W:$W,Notas!$D:$D,"0.01*",Notas!$A:$A,"&gt;="&amp;DATE(2026,1,1))</f>
        <v/>
      </c>
      <c r="D47" s="65" t="inlineStr">
        <is>
          <t>Fora do resultado</t>
        </is>
      </c>
      <c r="E47" s="65" t="inlineStr"/>
    </row>
    <row r="48" ht="30" customHeight="1">
      <c r="B48" s="65" t="inlineStr">
        <is>
          <t>CAPEX 2.07 (bruto, 2026)</t>
        </is>
      </c>
      <c r="C48" s="68">
        <f>SUMIFS(Notas!$W:$W,Notas!$D:$D,"2.07*",Notas!$A:$A,"&gt;="&amp;DATE(2026,1,1))</f>
        <v/>
      </c>
      <c r="D48" s="65" t="inlineStr">
        <is>
          <t>Fora do resultado</t>
        </is>
      </c>
      <c r="E48" s="65" t="inlineStr"/>
    </row>
  </sheetData>
  <mergeCells count="7">
    <mergeCell ref="B23:E23"/>
    <mergeCell ref="B43:E43"/>
    <mergeCell ref="B13:E13"/>
    <mergeCell ref="B21:E21"/>
    <mergeCell ref="B28:E28"/>
    <mergeCell ref="B46:E46"/>
    <mergeCell ref="B14:E14"/>
  </mergeCells>
  <dataValidations count="2">
    <dataValidation sqref="C5" showDropDown="0" showInputMessage="0" showErrorMessage="0" allowBlank="0" type="list">
      <formula1>"Lucro Real,Lucro Presumido,Simples Nacional"</formula1>
    </dataValidation>
    <dataValidation sqref="C4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Além da lista, FRETE SEMPRE ENTRA COMO VENDA (pelo nome da transportadora no Omie) para: STANCANELLI TRANSPORTES E LOGISTICA LTDA, GOL LINHAS AEREAS S.A., TRANSPORTES DE MAQUINAS PLANETA AZUL LTDA, ALIANCA NAVEGACAO E LOGISTICA LTDA e ALIANCA NAVEGACAO E LOGISTICA LTDA. (Notas: 303 CT-e; Pendentes: 17).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venda (para clientes)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venda (para clientes)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venda (para clientes)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venda (para clientes)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venda (para clientes)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venda (para clientes)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venda (para clientes)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venda (para clientes)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venda (para clientes)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compra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compra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compra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compra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compra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compra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compra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compra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compra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compra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compra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compra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compra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compra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compra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compra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compra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compra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compra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compra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compra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compra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compra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compra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compra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compra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compra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compra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compra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compra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compra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compra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compra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compra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compra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compra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compra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compra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compra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venda (para clientes)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compra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compra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compra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compra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compra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venda (para clientes)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venda (para clientes)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venda (para clientes)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venda (para clientes)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venda (para clientes)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venda (para clientes)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venda (para clientes)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venda (para clientes)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venda (para clientes)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venda (para clientes)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venda (para clientes)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venda (para clientes)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venda (para clientes)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compra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compra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compra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compra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compra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compra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compra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compra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compra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compra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compra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compra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compra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compra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compra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compra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compra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compra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compra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compra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compra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compra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compra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compra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compra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compra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compra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compra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compra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compra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compra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compra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compra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compra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compra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compra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compra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compra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compra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compra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compra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compra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compra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compra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venda (para clientes)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compra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venda (para clientes)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venda (para clientes)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venda (para clientes)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venda (para clientes)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venda (para clientes)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venda (para clientes)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venda (para clientes)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venda (para clientes)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venda (para clientes)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venda (para clientes)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venda (para clientes)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venda (para clientes)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venda (para clientes)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venda (para clientes)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venda (para clientes)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venda (para clientes)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venda (para clientes)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venda (para clientes)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venda (para clientes)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venda (para clientes)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compra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venda (para clientes)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venda (para clientes)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venda (para clientes)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venda (para clientes)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venda (para clientes)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venda (para clientes)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venda (para clientes)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venda (para clientes)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venda (para clientes)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venda (para clientes)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venda (para clientes)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venda (para clientes)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venda (para clientes)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venda (para clientes)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venda (para clientes)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venda (para clientes)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venda (para clientes)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venda (para clientes)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venda (para clientes)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venda (para clientes)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venda (para clientes)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venda (para clientes)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venda (para clientes)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compra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compra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venda (para clientes)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venda (para clientes)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venda (para clientes)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venda (para clientes)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venda (para clientes)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venda (para clientes)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venda (para clientes)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venda (para clientes)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venda (para clientes)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venda (para clientes)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venda (para clientes)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venda (para clientes)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venda (para clientes)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venda (para clientes)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venda (para clientes)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venda (para clientes)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venda (para clientes)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venda (para clientes)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venda (para clientes)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venda (para clientes)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venda (para clientes)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venda (para clientes)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venda (para clientes)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venda (para clientes)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venda (para clientes)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venda (para clientes)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venda (para clientes)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venda (para clientes)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venda (para clientes)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venda (para clientes)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venda (para clientes)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venda (para clientes)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venda (para clientes)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venda (para clientes)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venda (para clientes)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venda (para clientes)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venda (para clientes)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venda (para clientes)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venda (para clientes)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venda (para clientes)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venda (para clientes)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venda (para clientes)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venda (para clientes)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venda (para clientes)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venda (para clientes)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venda (para clientes)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venda (para clientes)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venda (para clientes)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venda (para clientes)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venda (para clientes)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venda (para clientes)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venda (para clientes)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compra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venda (para clientes)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venda (para clientes)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venda (para clientes)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venda (para clientes)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venda (para clientes)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venda (para clientes)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venda (para clientes)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venda (para clientes)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venda (para clientes)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venda (para clientes)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venda (para clientes)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venda (para clientes)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venda (para clientes)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venda (para clientes)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venda (para clientes)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venda (para clientes)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venda (para clientes)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venda (para clientes)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venda (para clientes)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venda (para clientes)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venda (para clientes)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venda (para clientes)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venda (para clientes)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compra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venda (para clientes)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venda (para clientes)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venda (para clientes)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venda (para clientes)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venda (para clientes)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venda (para clientes)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venda (para clientes)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venda (para clientes)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venda (para clientes)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venda (para clientes)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venda (para clientes)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venda (para clientes)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venda (para clientes)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venda (para clientes)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venda (para clientes)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venda (para clientes)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venda (para clientes)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compra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compra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venda (para clientes)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venda (para clientes)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venda (para clientes)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venda (para clientes)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venda (para clientes)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venda (para clientes)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venda (para clientes)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venda (para clientes)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venda (para clientes)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venda (para clientes)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venda (para clientes)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venda (para clientes)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venda (para clientes)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venda (para clientes)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venda (para clientes)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compra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compra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venda (para clientes)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venda (para clientes)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venda (para clientes)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venda (para clientes)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venda (para clientes)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venda (para clientes)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venda (para clientes)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venda (para clientes)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venda (para clientes)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venda (para clientes)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venda (para clientes)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venda (para clientes)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venda (para clientes)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venda (para clientes)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venda (para clientes)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venda (para clientes)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venda (para clientes)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venda (para clientes)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venda (para clientes)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venda (para clientes)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venda (para clientes)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venda (para clientes)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venda (para clientes)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venda (para clientes)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venda (para clientes)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venda (para clientes)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venda (para clientes)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venda (para clientes)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venda (para clientes)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venda (para clientes)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venda (para clientes)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venda (para clientes)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venda (para clientes)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venda (para clientes)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venda (para clientes)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venda (para clientes)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venda (para clientes)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venda (para clientes)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venda (para clientes)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venda (para clientes)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venda (para clientes)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venda (para clientes)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compra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compra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compra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venda (para clientes)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venda (para clientes)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compra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compra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compra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venda (para clientes)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venda (para clientes)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venda (para clientes)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venda (para clientes)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venda (para clientes)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venda (para clientes)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venda (para clientes)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venda (para clientes)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venda (para clientes)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venda (para clientes)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venda (para clientes)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compra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compra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compra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compra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compra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compra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compra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compra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compra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compra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compra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compra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venda (para clientes)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compra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compra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compra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compra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compra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compra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compra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compra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venda (para clientes)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venda (para clientes)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venda (para clientes)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venda (para clientes)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venda (para clientes)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venda (para clientes)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compra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compra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compra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venda (para clientes)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venda (para clientes)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venda (para clientes)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venda (para clientes)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venda (para clientes)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venda (para clientes)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venda (para clientes)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venda (para clientes)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2026-10-01T17:52:45Z</dcterms:modified>
  <cp:lastModifiedBy>Renan Ferreira</cp:lastModifiedBy>
</cp:coreProperties>
</file>