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definedNames>
    <definedName name="_xlnm._FilterDatabase" localSheetId="1" hidden="1">'BOM Atual ZPCS12'!$A$5:$BL$941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0" r:id="rId8"/>
  </pivotCaches>
</workbook>
</file>

<file path=xl/calcChain.xml><?xml version="1.0" encoding="utf-8"?>
<calcChain xmlns="http://schemas.openxmlformats.org/spreadsheetml/2006/main">
  <c r="A2698" i="12"/>
  <c r="AW920" i="8" s="1"/>
  <c r="A2697" i="12"/>
  <c r="AW919" i="8" s="1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BD909"/>
  <c r="BH909"/>
  <c r="BD910"/>
  <c r="BH910"/>
  <c r="BD911"/>
  <c r="BH911"/>
  <c r="BD912"/>
  <c r="BH912"/>
  <c r="BD913"/>
  <c r="BH913"/>
  <c r="BD914"/>
  <c r="BH914"/>
  <c r="BD915"/>
  <c r="BH915"/>
  <c r="BD916"/>
  <c r="BH916"/>
  <c r="BD917"/>
  <c r="BH917"/>
  <c r="BD919"/>
  <c r="BH919"/>
  <c r="BD918"/>
  <c r="BH918"/>
  <c r="BD920"/>
  <c r="BH920"/>
  <c r="BD921"/>
  <c r="BH921"/>
  <c r="BD922"/>
  <c r="BH922"/>
  <c r="BD923"/>
  <c r="BH923"/>
  <c r="BD924"/>
  <c r="BH924"/>
  <c r="BD925"/>
  <c r="BH925"/>
  <c r="BD926"/>
  <c r="BH926"/>
  <c r="BD927"/>
  <c r="BH927"/>
  <c r="BD928"/>
  <c r="BH928"/>
  <c r="BD929"/>
  <c r="BH929"/>
  <c r="BD930"/>
  <c r="BH930"/>
  <c r="BD931"/>
  <c r="BH931"/>
  <c r="BD932"/>
  <c r="BH932"/>
  <c r="BD933"/>
  <c r="BH933"/>
  <c r="BD934"/>
  <c r="BH934"/>
  <c r="BD935"/>
  <c r="BH935"/>
  <c r="BD936"/>
  <c r="BH936"/>
  <c r="BD937"/>
  <c r="BH937"/>
  <c r="BD938"/>
  <c r="BH938"/>
  <c r="BD939"/>
  <c r="BH939"/>
  <c r="BD940"/>
  <c r="BH940"/>
  <c r="BD941"/>
  <c r="BH941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H38"/>
  <c r="AI38"/>
  <c r="AJ38"/>
  <c r="AK38"/>
  <c r="AL38"/>
  <c r="AM38"/>
  <c r="AN38"/>
  <c r="AP38"/>
  <c r="AR38"/>
  <c r="AT38" s="1"/>
  <c r="AE37"/>
  <c r="AG37"/>
  <c r="AH37"/>
  <c r="AI37"/>
  <c r="AJ37"/>
  <c r="AK37"/>
  <c r="AL37"/>
  <c r="AM37"/>
  <c r="AN37"/>
  <c r="AP37"/>
  <c r="AR37"/>
  <c r="AT37" s="1"/>
  <c r="AE39"/>
  <c r="AG39"/>
  <c r="AH39"/>
  <c r="AI39"/>
  <c r="AJ39"/>
  <c r="AK39"/>
  <c r="AL39"/>
  <c r="AM39"/>
  <c r="AN39"/>
  <c r="AP39"/>
  <c r="AR39"/>
  <c r="AT39" s="1"/>
  <c r="AE40"/>
  <c r="AG40"/>
  <c r="AH40"/>
  <c r="AI40"/>
  <c r="AJ40"/>
  <c r="AK40"/>
  <c r="AL40"/>
  <c r="AM40"/>
  <c r="AN40"/>
  <c r="AP40"/>
  <c r="AR40"/>
  <c r="AT40" s="1"/>
  <c r="AE42"/>
  <c r="AG42"/>
  <c r="AH42"/>
  <c r="AI42"/>
  <c r="AJ42"/>
  <c r="AK42"/>
  <c r="AL42"/>
  <c r="AM42"/>
  <c r="AN42"/>
  <c r="AP42"/>
  <c r="AR42"/>
  <c r="AT42" s="1"/>
  <c r="AE41"/>
  <c r="AG41"/>
  <c r="AH41"/>
  <c r="AI41"/>
  <c r="AJ41"/>
  <c r="AK41"/>
  <c r="AL41"/>
  <c r="AM41"/>
  <c r="AN41"/>
  <c r="AP41"/>
  <c r="AR41"/>
  <c r="AT41" s="1"/>
  <c r="AE44"/>
  <c r="AG44"/>
  <c r="AH44"/>
  <c r="AI44"/>
  <c r="AJ44"/>
  <c r="AK44"/>
  <c r="AL44"/>
  <c r="AM44"/>
  <c r="AN44"/>
  <c r="AP44"/>
  <c r="AR44"/>
  <c r="AT44" s="1"/>
  <c r="AE43"/>
  <c r="AG43"/>
  <c r="AH43"/>
  <c r="AI43"/>
  <c r="AJ43"/>
  <c r="AK43"/>
  <c r="AL43"/>
  <c r="AM43"/>
  <c r="AN43"/>
  <c r="AP43"/>
  <c r="AR43"/>
  <c r="AT43" s="1"/>
  <c r="AE45"/>
  <c r="AG45"/>
  <c r="AH45"/>
  <c r="AI45"/>
  <c r="AJ45"/>
  <c r="AK45"/>
  <c r="AL45"/>
  <c r="AM45"/>
  <c r="AN45"/>
  <c r="AP45"/>
  <c r="AR45"/>
  <c r="AT45" s="1"/>
  <c r="AE46"/>
  <c r="AG46"/>
  <c r="AH46"/>
  <c r="AI46"/>
  <c r="AJ46"/>
  <c r="AK46"/>
  <c r="AL46"/>
  <c r="AM46"/>
  <c r="AN46"/>
  <c r="AP46"/>
  <c r="AR46"/>
  <c r="AT46" s="1"/>
  <c r="AE47"/>
  <c r="AG47"/>
  <c r="AH47"/>
  <c r="AI47"/>
  <c r="AJ47"/>
  <c r="AK47"/>
  <c r="AL47"/>
  <c r="AM47"/>
  <c r="AN47"/>
  <c r="AP47"/>
  <c r="AR47"/>
  <c r="AT47" s="1"/>
  <c r="AE48"/>
  <c r="AG48"/>
  <c r="AH48"/>
  <c r="AI48"/>
  <c r="AJ48"/>
  <c r="AK48"/>
  <c r="AL48"/>
  <c r="AM48"/>
  <c r="AN48"/>
  <c r="AP48"/>
  <c r="AR48"/>
  <c r="AT48" s="1"/>
  <c r="AE49"/>
  <c r="AG49"/>
  <c r="AH49"/>
  <c r="AI49"/>
  <c r="AJ49"/>
  <c r="AK49"/>
  <c r="AL49"/>
  <c r="AM49"/>
  <c r="AN49"/>
  <c r="AP49"/>
  <c r="AR49"/>
  <c r="AT49" s="1"/>
  <c r="AE51"/>
  <c r="AG51"/>
  <c r="AH51"/>
  <c r="AI51"/>
  <c r="AJ51"/>
  <c r="AK51"/>
  <c r="AL51"/>
  <c r="AM51"/>
  <c r="AN51"/>
  <c r="AP51"/>
  <c r="AR51"/>
  <c r="AT51" s="1"/>
  <c r="AE50"/>
  <c r="AG50"/>
  <c r="AH50"/>
  <c r="AI50"/>
  <c r="AJ50"/>
  <c r="AK50"/>
  <c r="AL50"/>
  <c r="AM50"/>
  <c r="AN50"/>
  <c r="AP50"/>
  <c r="AR50"/>
  <c r="AT50" s="1"/>
  <c r="AE52"/>
  <c r="AG52"/>
  <c r="AH52"/>
  <c r="AI52"/>
  <c r="AJ52"/>
  <c r="AK52"/>
  <c r="AL52"/>
  <c r="AM52"/>
  <c r="AN52"/>
  <c r="AP52"/>
  <c r="AR52"/>
  <c r="AT52" s="1"/>
  <c r="AE53"/>
  <c r="AG53"/>
  <c r="AH53"/>
  <c r="AI53"/>
  <c r="AJ53"/>
  <c r="AK53"/>
  <c r="AL53"/>
  <c r="AM53"/>
  <c r="AN53"/>
  <c r="AP53"/>
  <c r="AR53"/>
  <c r="AT53" s="1"/>
  <c r="AE55"/>
  <c r="AG55"/>
  <c r="AH55"/>
  <c r="AI55"/>
  <c r="AJ55"/>
  <c r="AK55"/>
  <c r="AL55"/>
  <c r="AM55"/>
  <c r="AN55"/>
  <c r="AP55"/>
  <c r="AR55"/>
  <c r="AT55" s="1"/>
  <c r="AE54"/>
  <c r="AG54"/>
  <c r="AH54"/>
  <c r="AI54"/>
  <c r="AJ54"/>
  <c r="AK54"/>
  <c r="AL54"/>
  <c r="AM54"/>
  <c r="AN54"/>
  <c r="AP54"/>
  <c r="AR54"/>
  <c r="AT54" s="1"/>
  <c r="AE56"/>
  <c r="AG56"/>
  <c r="AH56"/>
  <c r="AI56"/>
  <c r="AJ56"/>
  <c r="AK56"/>
  <c r="AL56"/>
  <c r="AM56"/>
  <c r="AN56"/>
  <c r="AP56"/>
  <c r="AR56"/>
  <c r="AT56" s="1"/>
  <c r="AE57"/>
  <c r="AG57"/>
  <c r="AH57"/>
  <c r="AI57"/>
  <c r="AJ57"/>
  <c r="AK57"/>
  <c r="AL57"/>
  <c r="AM57"/>
  <c r="AN57"/>
  <c r="AP57"/>
  <c r="AR57"/>
  <c r="AT57" s="1"/>
  <c r="AE58"/>
  <c r="AG58"/>
  <c r="AH58"/>
  <c r="AI58"/>
  <c r="AJ58"/>
  <c r="AK58"/>
  <c r="AL58"/>
  <c r="AM58"/>
  <c r="AN58"/>
  <c r="AP58"/>
  <c r="AR58"/>
  <c r="AT58" s="1"/>
  <c r="AE59"/>
  <c r="AG59"/>
  <c r="AH59"/>
  <c r="AI59"/>
  <c r="AJ59"/>
  <c r="AK59"/>
  <c r="AL59"/>
  <c r="AM59"/>
  <c r="AN59"/>
  <c r="AP59"/>
  <c r="AR59"/>
  <c r="AT59" s="1"/>
  <c r="AE60"/>
  <c r="AG60"/>
  <c r="AH60"/>
  <c r="AI60"/>
  <c r="AJ60"/>
  <c r="AK60"/>
  <c r="AL60"/>
  <c r="AM60"/>
  <c r="AN60"/>
  <c r="AP60"/>
  <c r="AR60"/>
  <c r="AT60" s="1"/>
  <c r="AE61"/>
  <c r="AG61"/>
  <c r="AH61"/>
  <c r="AI61"/>
  <c r="AJ61"/>
  <c r="AK61"/>
  <c r="AL61"/>
  <c r="AM61"/>
  <c r="AN61"/>
  <c r="AP61"/>
  <c r="AR61"/>
  <c r="AT61" s="1"/>
  <c r="AE62"/>
  <c r="AG62"/>
  <c r="AH62"/>
  <c r="AI62"/>
  <c r="AJ62"/>
  <c r="AK62"/>
  <c r="AL62"/>
  <c r="AM62"/>
  <c r="AN62"/>
  <c r="AP62"/>
  <c r="AR62"/>
  <c r="AT62" s="1"/>
  <c r="AE63"/>
  <c r="AG63"/>
  <c r="AH63"/>
  <c r="AI63"/>
  <c r="AJ63"/>
  <c r="AK63"/>
  <c r="AL63"/>
  <c r="AM63"/>
  <c r="AN63"/>
  <c r="AP63"/>
  <c r="AR63"/>
  <c r="AT63" s="1"/>
  <c r="AE64"/>
  <c r="AG64"/>
  <c r="AH64"/>
  <c r="AI64"/>
  <c r="AJ64"/>
  <c r="AK64"/>
  <c r="AL64"/>
  <c r="AM64"/>
  <c r="AN64"/>
  <c r="AP64"/>
  <c r="AR64"/>
  <c r="AT64" s="1"/>
  <c r="AV64"/>
  <c r="AW64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E909"/>
  <c r="AG909"/>
  <c r="AI909"/>
  <c r="AJ909"/>
  <c r="AK909"/>
  <c r="AL909"/>
  <c r="AM909"/>
  <c r="AN909"/>
  <c r="AP909"/>
  <c r="AR909"/>
  <c r="AT909" s="1"/>
  <c r="AE910"/>
  <c r="AG910"/>
  <c r="AI910"/>
  <c r="AJ910"/>
  <c r="AK910"/>
  <c r="AL910"/>
  <c r="AM910"/>
  <c r="AN910"/>
  <c r="AP910"/>
  <c r="AR910"/>
  <c r="AT910" s="1"/>
  <c r="AE911"/>
  <c r="AG911"/>
  <c r="AI911"/>
  <c r="AJ911"/>
  <c r="AK911"/>
  <c r="AL911"/>
  <c r="AM911"/>
  <c r="AN911"/>
  <c r="AP911"/>
  <c r="AR911"/>
  <c r="AT911" s="1"/>
  <c r="AV911"/>
  <c r="AW911"/>
  <c r="AE912"/>
  <c r="AG912"/>
  <c r="AI912"/>
  <c r="AJ912"/>
  <c r="AK912"/>
  <c r="AL912"/>
  <c r="AM912"/>
  <c r="AN912"/>
  <c r="AP912"/>
  <c r="AR912"/>
  <c r="AT912" s="1"/>
  <c r="AE913"/>
  <c r="AG913"/>
  <c r="AI913"/>
  <c r="AJ913"/>
  <c r="AK913"/>
  <c r="AL913"/>
  <c r="AM913"/>
  <c r="AN913"/>
  <c r="AP913"/>
  <c r="AR913"/>
  <c r="AT913" s="1"/>
  <c r="AV913"/>
  <c r="AW913"/>
  <c r="AE914"/>
  <c r="AG914"/>
  <c r="AI914"/>
  <c r="AJ914"/>
  <c r="AK914"/>
  <c r="AL914"/>
  <c r="AM914"/>
  <c r="AN914"/>
  <c r="AP914"/>
  <c r="AR914"/>
  <c r="AT914" s="1"/>
  <c r="AE915"/>
  <c r="AG915"/>
  <c r="AI915"/>
  <c r="AJ915"/>
  <c r="AK915"/>
  <c r="AL915"/>
  <c r="AM915"/>
  <c r="AN915"/>
  <c r="AP915"/>
  <c r="AR915"/>
  <c r="AT915" s="1"/>
  <c r="AE916"/>
  <c r="AG916"/>
  <c r="AI916"/>
  <c r="AJ916"/>
  <c r="AK916"/>
  <c r="AL916"/>
  <c r="AM916"/>
  <c r="AN916"/>
  <c r="AP916"/>
  <c r="AR916"/>
  <c r="AT916" s="1"/>
  <c r="AE917"/>
  <c r="AG917"/>
  <c r="AI917"/>
  <c r="AJ917"/>
  <c r="AK917"/>
  <c r="AL917"/>
  <c r="AM917"/>
  <c r="AN917"/>
  <c r="AP917"/>
  <c r="AR917"/>
  <c r="AT917" s="1"/>
  <c r="AE919"/>
  <c r="AG919"/>
  <c r="AI919"/>
  <c r="AJ919"/>
  <c r="AK919"/>
  <c r="AL919"/>
  <c r="AM919"/>
  <c r="AN919"/>
  <c r="AP919"/>
  <c r="AR919"/>
  <c r="AT919" s="1"/>
  <c r="AE918"/>
  <c r="AG918"/>
  <c r="AI918"/>
  <c r="AJ918"/>
  <c r="AK918"/>
  <c r="AL918"/>
  <c r="AM918"/>
  <c r="AN918"/>
  <c r="AP918"/>
  <c r="AR918"/>
  <c r="AT918" s="1"/>
  <c r="AE920"/>
  <c r="AG920"/>
  <c r="AI920"/>
  <c r="AJ920"/>
  <c r="AK920"/>
  <c r="AL920"/>
  <c r="AM920"/>
  <c r="AN920"/>
  <c r="AP920"/>
  <c r="AR920"/>
  <c r="AT920" s="1"/>
  <c r="AE921"/>
  <c r="AG921"/>
  <c r="AI921"/>
  <c r="AJ921"/>
  <c r="AK921"/>
  <c r="AL921"/>
  <c r="AM921"/>
  <c r="AN921"/>
  <c r="AP921"/>
  <c r="AR921"/>
  <c r="AT921" s="1"/>
  <c r="AE922"/>
  <c r="AG922"/>
  <c r="AI922"/>
  <c r="AJ922"/>
  <c r="AK922"/>
  <c r="AL922"/>
  <c r="AM922"/>
  <c r="AN922"/>
  <c r="AP922"/>
  <c r="AR922"/>
  <c r="AT922" s="1"/>
  <c r="AE923"/>
  <c r="AG923"/>
  <c r="AI923"/>
  <c r="AJ923"/>
  <c r="AK923"/>
  <c r="AL923"/>
  <c r="AM923"/>
  <c r="AN923"/>
  <c r="AP923"/>
  <c r="AR923"/>
  <c r="AT923" s="1"/>
  <c r="AE924"/>
  <c r="AG924"/>
  <c r="AI924"/>
  <c r="AJ924"/>
  <c r="AK924"/>
  <c r="AL924"/>
  <c r="AM924"/>
  <c r="AN924"/>
  <c r="AP924"/>
  <c r="AR924"/>
  <c r="AT924" s="1"/>
  <c r="AE925"/>
  <c r="AG925"/>
  <c r="AI925"/>
  <c r="AJ925"/>
  <c r="AK925"/>
  <c r="AL925"/>
  <c r="AM925"/>
  <c r="AN925"/>
  <c r="AP925"/>
  <c r="AR925"/>
  <c r="AT925" s="1"/>
  <c r="AE926"/>
  <c r="AG926"/>
  <c r="AI926"/>
  <c r="AJ926"/>
  <c r="AK926"/>
  <c r="AL926"/>
  <c r="AM926"/>
  <c r="AN926"/>
  <c r="AP926"/>
  <c r="AR926"/>
  <c r="AT926" s="1"/>
  <c r="AV926"/>
  <c r="AW926"/>
  <c r="AE927"/>
  <c r="AG927"/>
  <c r="AI927"/>
  <c r="AJ927"/>
  <c r="AK927"/>
  <c r="AL927"/>
  <c r="AM927"/>
  <c r="AN927"/>
  <c r="AP927"/>
  <c r="AR927"/>
  <c r="AT927" s="1"/>
  <c r="AE928"/>
  <c r="AG928"/>
  <c r="AI928"/>
  <c r="AJ928"/>
  <c r="AK928"/>
  <c r="AL928"/>
  <c r="AM928"/>
  <c r="AN928"/>
  <c r="AP928"/>
  <c r="AR928"/>
  <c r="AT928" s="1"/>
  <c r="AV928"/>
  <c r="AW928"/>
  <c r="AE929"/>
  <c r="AG929"/>
  <c r="AI929"/>
  <c r="AJ929"/>
  <c r="AK929"/>
  <c r="AL929"/>
  <c r="AM929"/>
  <c r="AN929"/>
  <c r="AP929"/>
  <c r="AR929"/>
  <c r="AT929" s="1"/>
  <c r="AE930"/>
  <c r="AG930"/>
  <c r="AI930"/>
  <c r="AJ930"/>
  <c r="AK930"/>
  <c r="AL930"/>
  <c r="AM930"/>
  <c r="AN930"/>
  <c r="AP930"/>
  <c r="AR930"/>
  <c r="AT930" s="1"/>
  <c r="AV930"/>
  <c r="AW930"/>
  <c r="AE931"/>
  <c r="AG931"/>
  <c r="AI931"/>
  <c r="AJ931"/>
  <c r="AK931"/>
  <c r="AL931"/>
  <c r="AM931"/>
  <c r="AN931"/>
  <c r="AP931"/>
  <c r="AR931"/>
  <c r="AT931" s="1"/>
  <c r="AE932"/>
  <c r="AG932"/>
  <c r="AI932"/>
  <c r="AJ932"/>
  <c r="AK932"/>
  <c r="AL932"/>
  <c r="AM932"/>
  <c r="AN932"/>
  <c r="AP932"/>
  <c r="AR932"/>
  <c r="AT932" s="1"/>
  <c r="AV932"/>
  <c r="AW932"/>
  <c r="AE933"/>
  <c r="AG933"/>
  <c r="AI933"/>
  <c r="AJ933"/>
  <c r="AK933"/>
  <c r="AL933"/>
  <c r="AM933"/>
  <c r="AN933"/>
  <c r="AP933"/>
  <c r="AR933"/>
  <c r="AT933" s="1"/>
  <c r="AE934"/>
  <c r="AG934"/>
  <c r="AI934"/>
  <c r="AJ934"/>
  <c r="AK934"/>
  <c r="AL934"/>
  <c r="AM934"/>
  <c r="AN934"/>
  <c r="AP934"/>
  <c r="AR934"/>
  <c r="AT934" s="1"/>
  <c r="AV934"/>
  <c r="AW934"/>
  <c r="AE935"/>
  <c r="AG935"/>
  <c r="AI935"/>
  <c r="AJ935"/>
  <c r="AK935"/>
  <c r="AL935"/>
  <c r="AM935"/>
  <c r="AN935"/>
  <c r="AP935"/>
  <c r="AR935"/>
  <c r="AT935" s="1"/>
  <c r="AE936"/>
  <c r="AG936"/>
  <c r="AI936"/>
  <c r="AJ936"/>
  <c r="AK936"/>
  <c r="AL936"/>
  <c r="AM936"/>
  <c r="AN936"/>
  <c r="AP936"/>
  <c r="AR936"/>
  <c r="AT936" s="1"/>
  <c r="AV936"/>
  <c r="AW936"/>
  <c r="AE937"/>
  <c r="AG937"/>
  <c r="AI937"/>
  <c r="AJ937"/>
  <c r="AK937"/>
  <c r="AL937"/>
  <c r="AM937"/>
  <c r="AN937"/>
  <c r="AP937"/>
  <c r="AR937"/>
  <c r="AT937" s="1"/>
  <c r="AE938"/>
  <c r="AG938"/>
  <c r="AI938"/>
  <c r="AJ938"/>
  <c r="AK938"/>
  <c r="AL938"/>
  <c r="AM938"/>
  <c r="AN938"/>
  <c r="AP938"/>
  <c r="AR938"/>
  <c r="AT938" s="1"/>
  <c r="AV938"/>
  <c r="AW938"/>
  <c r="AE939"/>
  <c r="AG939"/>
  <c r="AI939"/>
  <c r="AJ939"/>
  <c r="AK939"/>
  <c r="AL939"/>
  <c r="AM939"/>
  <c r="AN939"/>
  <c r="AP939"/>
  <c r="AR939"/>
  <c r="AT939" s="1"/>
  <c r="AE940"/>
  <c r="AG940"/>
  <c r="AI940"/>
  <c r="AJ940"/>
  <c r="AK940"/>
  <c r="AL940"/>
  <c r="AM940"/>
  <c r="AN940"/>
  <c r="AP940"/>
  <c r="AR940"/>
  <c r="AT940" s="1"/>
  <c r="AV940"/>
  <c r="AW940"/>
  <c r="AE941"/>
  <c r="AG941"/>
  <c r="AI941"/>
  <c r="AJ941"/>
  <c r="AK941"/>
  <c r="AL941"/>
  <c r="AM941"/>
  <c r="AN941"/>
  <c r="AP941"/>
  <c r="AR941"/>
  <c r="AT941" s="1"/>
  <c r="A178" i="12"/>
  <c r="AW49" i="8" s="1"/>
  <c r="A179" i="12"/>
  <c r="A180"/>
  <c r="A181"/>
  <c r="A182"/>
  <c r="A183"/>
  <c r="A184"/>
  <c r="A185"/>
  <c r="AW8" i="8" s="1"/>
  <c r="A186" i="12"/>
  <c r="AW9" i="8" s="1"/>
  <c r="A187" i="12"/>
  <c r="A188"/>
  <c r="A189"/>
  <c r="AW11" i="8" s="1"/>
  <c r="A190" i="12"/>
  <c r="AW12" i="8" s="1"/>
  <c r="A191" i="12"/>
  <c r="A192"/>
  <c r="A193"/>
  <c r="A194"/>
  <c r="A195"/>
  <c r="A196"/>
  <c r="A197"/>
  <c r="A198"/>
  <c r="A199"/>
  <c r="A200"/>
  <c r="A201"/>
  <c r="A202"/>
  <c r="A203"/>
  <c r="A204"/>
  <c r="A205"/>
  <c r="AW14" i="8" s="1"/>
  <c r="A206" i="12"/>
  <c r="A207"/>
  <c r="AW26" i="8" s="1"/>
  <c r="A208" i="12"/>
  <c r="A209"/>
  <c r="AW7" i="8" s="1"/>
  <c r="A210" i="12"/>
  <c r="A211"/>
  <c r="A212"/>
  <c r="AW28" i="8" s="1"/>
  <c r="A213" i="12"/>
  <c r="A214"/>
  <c r="A215"/>
  <c r="AW27" i="8" s="1"/>
  <c r="A216" i="12"/>
  <c r="A217"/>
  <c r="AW13" i="8" s="1"/>
  <c r="A218" i="12"/>
  <c r="A219"/>
  <c r="A220"/>
  <c r="A221"/>
  <c r="A222"/>
  <c r="A223"/>
  <c r="A224"/>
  <c r="A225"/>
  <c r="A226"/>
  <c r="A227"/>
  <c r="A228"/>
  <c r="A229"/>
  <c r="AW10" i="8" s="1"/>
  <c r="A230" i="12"/>
  <c r="A231"/>
  <c r="A232"/>
  <c r="A233"/>
  <c r="A234"/>
  <c r="A235"/>
  <c r="A236"/>
  <c r="A237"/>
  <c r="A238"/>
  <c r="AW59" i="8" s="1"/>
  <c r="A239" i="12"/>
  <c r="AW56" i="8" s="1"/>
  <c r="A240" i="12"/>
  <c r="AW60" i="8" s="1"/>
  <c r="A241" i="12"/>
  <c r="A242"/>
  <c r="AW921" i="8" s="1"/>
  <c r="A243" i="12"/>
  <c r="AW915" i="8" s="1"/>
  <c r="A244" i="12"/>
  <c r="AW916" i="8" s="1"/>
  <c r="A245" i="12"/>
  <c r="AW922" i="8" s="1"/>
  <c r="A246" i="12"/>
  <c r="AW906" i="8" s="1"/>
  <c r="A247" i="12"/>
  <c r="AW907" i="8" s="1"/>
  <c r="A248" i="12"/>
  <c r="AW914" i="8" s="1"/>
  <c r="A249" i="12"/>
  <c r="AW912" i="8" s="1"/>
  <c r="A250" i="12"/>
  <c r="AW73" i="8" s="1"/>
  <c r="A251" i="12"/>
  <c r="AW74" i="8" s="1"/>
  <c r="A252" i="12"/>
  <c r="AW147" i="8" s="1"/>
  <c r="A253" i="12"/>
  <c r="AW148" i="8" s="1"/>
  <c r="A254" i="12"/>
  <c r="AW149" i="8" s="1"/>
  <c r="A255" i="12"/>
  <c r="AW125" i="8" s="1"/>
  <c r="A256" i="12"/>
  <c r="AW126" i="8" s="1"/>
  <c r="A257" i="12"/>
  <c r="AW127" i="8" s="1"/>
  <c r="A258" i="12"/>
  <c r="AW128" i="8" s="1"/>
  <c r="A259" i="12"/>
  <c r="AW124" i="8" s="1"/>
  <c r="A260" i="12"/>
  <c r="A261"/>
  <c r="A262"/>
  <c r="A263"/>
  <c r="A264"/>
  <c r="A265"/>
  <c r="AW69" i="8" s="1"/>
  <c r="A266" i="12"/>
  <c r="AW68" i="8" s="1"/>
  <c r="A267" i="12"/>
  <c r="AW172" i="8" s="1"/>
  <c r="A268" i="12"/>
  <c r="AW173" i="8" s="1"/>
  <c r="A269" i="12"/>
  <c r="AW171" i="8" s="1"/>
  <c r="A270" i="12"/>
  <c r="A271"/>
  <c r="AW86" i="8" s="1"/>
  <c r="A272" i="12"/>
  <c r="AW939" i="8" s="1"/>
  <c r="A273" i="12"/>
  <c r="AW941" i="8" s="1"/>
  <c r="A274" i="12"/>
  <c r="AW937" i="8" s="1"/>
  <c r="A275" i="12"/>
  <c r="A276"/>
  <c r="A277"/>
  <c r="A278"/>
  <c r="A279"/>
  <c r="A280"/>
  <c r="AW927" i="8" s="1"/>
  <c r="A281" i="12"/>
  <c r="A282"/>
  <c r="A283"/>
  <c r="A284"/>
  <c r="A285"/>
  <c r="A286"/>
  <c r="A287"/>
  <c r="A288"/>
  <c r="A289"/>
  <c r="A290"/>
  <c r="A291"/>
  <c r="AW18" i="8" s="1"/>
  <c r="A292" i="12"/>
  <c r="AW17" i="8" s="1"/>
  <c r="A293" i="12"/>
  <c r="A294"/>
  <c r="A295"/>
  <c r="A296"/>
  <c r="A297"/>
  <c r="A298"/>
  <c r="A299"/>
  <c r="A300"/>
  <c r="AW82" i="8" s="1"/>
  <c r="A301" i="12"/>
  <c r="A302"/>
  <c r="AW52" i="8" s="1"/>
  <c r="A303" i="12"/>
  <c r="AW53" i="8" s="1"/>
  <c r="A304" i="12"/>
  <c r="AW57" i="8" s="1"/>
  <c r="A305" i="12"/>
  <c r="AW58" i="8" s="1"/>
  <c r="A306" i="12"/>
  <c r="A307"/>
  <c r="AW103" i="8" s="1"/>
  <c r="A308" i="12"/>
  <c r="A309"/>
  <c r="AW25" i="8" s="1"/>
  <c r="A310" i="12"/>
  <c r="A311"/>
  <c r="A312"/>
  <c r="A313"/>
  <c r="A314"/>
  <c r="AW795" i="8" s="1"/>
  <c r="A315" i="12"/>
  <c r="A316"/>
  <c r="AW796" i="8" s="1"/>
  <c r="A317" i="12"/>
  <c r="AW797" i="8" s="1"/>
  <c r="A318" i="12"/>
  <c r="A319"/>
  <c r="A320"/>
  <c r="AW845" i="8" s="1"/>
  <c r="A321" i="12"/>
  <c r="AW844" i="8" s="1"/>
  <c r="A322" i="12"/>
  <c r="A323"/>
  <c r="A324"/>
  <c r="A325"/>
  <c r="A326"/>
  <c r="A327"/>
  <c r="A328"/>
  <c r="A329"/>
  <c r="A330"/>
  <c r="AW21" i="8" s="1"/>
  <c r="A331" i="12"/>
  <c r="AW22" i="8" s="1"/>
  <c r="A332" i="1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W24" i="8" s="1"/>
  <c r="A351" i="12"/>
  <c r="A352"/>
  <c r="A353"/>
  <c r="A354"/>
  <c r="A355"/>
  <c r="A356"/>
  <c r="A357"/>
  <c r="A358"/>
  <c r="AW76" i="8" s="1"/>
  <c r="A359" i="12"/>
  <c r="AW77" i="8" s="1"/>
  <c r="A360" i="12"/>
  <c r="A361"/>
  <c r="AW75" i="8" s="1"/>
  <c r="A362" i="12"/>
  <c r="AW94" i="8" s="1"/>
  <c r="A363" i="12"/>
  <c r="AW93" i="8" s="1"/>
  <c r="A364" i="12"/>
  <c r="AW137" i="8" s="1"/>
  <c r="A365" i="12"/>
  <c r="AW136" i="8" s="1"/>
  <c r="A366" i="12"/>
  <c r="AW138" i="8" s="1"/>
  <c r="A367" i="12"/>
  <c r="AW139" i="8" s="1"/>
  <c r="A368" i="12"/>
  <c r="AW140" i="8" s="1"/>
  <c r="A369" i="12"/>
  <c r="AW161" i="8" s="1"/>
  <c r="A370" i="12"/>
  <c r="AW162" i="8" s="1"/>
  <c r="A371" i="12"/>
  <c r="A372"/>
  <c r="A373"/>
  <c r="A374"/>
  <c r="A375"/>
  <c r="AW131" i="8" s="1"/>
  <c r="A376" i="12"/>
  <c r="AW157" i="8" s="1"/>
  <c r="A377" i="12"/>
  <c r="AW158" i="8" s="1"/>
  <c r="A378" i="12"/>
  <c r="AW132" i="8" s="1"/>
  <c r="A379" i="12"/>
  <c r="A380"/>
  <c r="AW163" i="8" s="1"/>
  <c r="A381" i="12"/>
  <c r="AW164" i="8" s="1"/>
  <c r="A382" i="12"/>
  <c r="A383"/>
  <c r="A384"/>
  <c r="A385"/>
  <c r="A386"/>
  <c r="A387"/>
  <c r="A388"/>
  <c r="A389"/>
  <c r="AW180" i="8" s="1"/>
  <c r="A390" i="12"/>
  <c r="AW179" i="8" s="1"/>
  <c r="A391" i="12"/>
  <c r="A392"/>
  <c r="AW181" i="8" s="1"/>
  <c r="A393" i="12"/>
  <c r="A394"/>
  <c r="A395"/>
  <c r="A396"/>
  <c r="AW183" i="8" s="1"/>
  <c r="A397" i="12"/>
  <c r="AW184" i="8" s="1"/>
  <c r="A398" i="12"/>
  <c r="AW182" i="8" s="1"/>
  <c r="A399" i="12"/>
  <c r="AW185" i="8" s="1"/>
  <c r="A400" i="12"/>
  <c r="A401"/>
  <c r="AW187" i="8" s="1"/>
  <c r="A402" i="12"/>
  <c r="AW186" i="8" s="1"/>
  <c r="A403" i="12"/>
  <c r="AW188" i="8" s="1"/>
  <c r="A404" i="12"/>
  <c r="A405"/>
  <c r="AW190" i="8" s="1"/>
  <c r="A406" i="12"/>
  <c r="AW191" i="8" s="1"/>
  <c r="A407" i="12"/>
  <c r="A408"/>
  <c r="AW189" i="8" s="1"/>
  <c r="A409" i="12"/>
  <c r="A410"/>
  <c r="A411"/>
  <c r="A412"/>
  <c r="AW193" i="8" s="1"/>
  <c r="A413" i="12"/>
  <c r="A414"/>
  <c r="AW194" i="8" s="1"/>
  <c r="A415" i="12"/>
  <c r="AW195" i="8" s="1"/>
  <c r="A416" i="12"/>
  <c r="AW192" i="8" s="1"/>
  <c r="A417" i="12"/>
  <c r="AW196" i="8" s="1"/>
  <c r="A418" i="12"/>
  <c r="AW197" i="8" s="1"/>
  <c r="A419" i="12"/>
  <c r="AW198" i="8" s="1"/>
  <c r="A420" i="12"/>
  <c r="AW199" i="8" s="1"/>
  <c r="A421" i="12"/>
  <c r="AW201" i="8" s="1"/>
  <c r="A422" i="12"/>
  <c r="AW202" i="8" s="1"/>
  <c r="A423" i="12"/>
  <c r="A424"/>
  <c r="AW203" i="8" s="1"/>
  <c r="A425" i="12"/>
  <c r="A426"/>
  <c r="AW200" i="8" s="1"/>
  <c r="A427" i="12"/>
  <c r="A428"/>
  <c r="A429"/>
  <c r="A430"/>
  <c r="A431"/>
  <c r="A432"/>
  <c r="A433"/>
  <c r="AW228" i="8" s="1"/>
  <c r="A434" i="12"/>
  <c r="A435"/>
  <c r="AW229" i="8" s="1"/>
  <c r="A436" i="12"/>
  <c r="AW230" i="8" s="1"/>
  <c r="A437" i="12"/>
  <c r="A438"/>
  <c r="AW231" i="8" s="1"/>
  <c r="A439" i="12"/>
  <c r="A440"/>
  <c r="A441"/>
  <c r="AW232" i="8" s="1"/>
  <c r="A442" i="12"/>
  <c r="A443"/>
  <c r="AW233" i="8" s="1"/>
  <c r="A444" i="12"/>
  <c r="AW234" i="8" s="1"/>
  <c r="A445" i="12"/>
  <c r="A446"/>
  <c r="AW235" i="8" s="1"/>
  <c r="A447" i="12"/>
  <c r="AW236" i="8" s="1"/>
  <c r="A448" i="12"/>
  <c r="A449"/>
  <c r="AW237" i="8" s="1"/>
  <c r="A450" i="12"/>
  <c r="AW238" i="8" s="1"/>
  <c r="A451" i="12"/>
  <c r="A452"/>
  <c r="AW239" i="8" s="1"/>
  <c r="A453" i="12"/>
  <c r="AW240" i="8" s="1"/>
  <c r="A454" i="12"/>
  <c r="A455"/>
  <c r="AW241" i="8" s="1"/>
  <c r="A456" i="12"/>
  <c r="AW242" i="8" s="1"/>
  <c r="A457" i="12"/>
  <c r="A458"/>
  <c r="AW243" i="8" s="1"/>
  <c r="A459" i="12"/>
  <c r="AW245" i="8" s="1"/>
  <c r="A460" i="12"/>
  <c r="A461"/>
  <c r="AW246" i="8" s="1"/>
  <c r="A462" i="12"/>
  <c r="A463"/>
  <c r="A464"/>
  <c r="A465"/>
  <c r="A466"/>
  <c r="A467"/>
  <c r="A468"/>
  <c r="A469"/>
  <c r="A470"/>
  <c r="A471"/>
  <c r="A472"/>
  <c r="A473"/>
  <c r="A474"/>
  <c r="A475"/>
  <c r="A476"/>
  <c r="A477"/>
  <c r="A478"/>
  <c r="AW248" i="8" s="1"/>
  <c r="A479" i="12"/>
  <c r="AW249" i="8" s="1"/>
  <c r="A480" i="12"/>
  <c r="AW250" i="8" s="1"/>
  <c r="A481" i="12"/>
  <c r="AW252" i="8" s="1"/>
  <c r="A482" i="12"/>
  <c r="AW251" i="8" s="1"/>
  <c r="A483" i="12"/>
  <c r="A484"/>
  <c r="AW253" i="8" s="1"/>
  <c r="A485" i="12"/>
  <c r="AW257" i="8" s="1"/>
  <c r="A486" i="12"/>
  <c r="AW258" i="8" s="1"/>
  <c r="A487" i="12"/>
  <c r="A488"/>
  <c r="AW259" i="8" s="1"/>
  <c r="A489" i="12"/>
  <c r="AW260" i="8" s="1"/>
  <c r="A490" i="12"/>
  <c r="AW261" i="8" s="1"/>
  <c r="A491" i="12"/>
  <c r="A492"/>
  <c r="AW262" i="8" s="1"/>
  <c r="A493" i="12"/>
  <c r="AW264" i="8" s="1"/>
  <c r="A494" i="12"/>
  <c r="AW263" i="8" s="1"/>
  <c r="A495" i="12"/>
  <c r="A496"/>
  <c r="AW265" i="8" s="1"/>
  <c r="A497" i="12"/>
  <c r="AW266" i="8" s="1"/>
  <c r="A498" i="12"/>
  <c r="AW267" i="8" s="1"/>
  <c r="A499" i="12"/>
  <c r="A500"/>
  <c r="AW268" i="8" s="1"/>
  <c r="A501" i="12"/>
  <c r="A502"/>
  <c r="A503"/>
  <c r="A504"/>
  <c r="A505"/>
  <c r="A506"/>
  <c r="A507"/>
  <c r="A508"/>
  <c r="AW276" i="8" s="1"/>
  <c r="A509" i="12"/>
  <c r="AW275" i="8" s="1"/>
  <c r="A510" i="12"/>
  <c r="A511"/>
  <c r="AW277" i="8" s="1"/>
  <c r="A512" i="12"/>
  <c r="A513"/>
  <c r="A514"/>
  <c r="A515"/>
  <c r="AW279" i="8" s="1"/>
  <c r="A516" i="12"/>
  <c r="AW278" i="8" s="1"/>
  <c r="A517" i="12"/>
  <c r="A518"/>
  <c r="AW280" i="8" s="1"/>
  <c r="A519" i="12"/>
  <c r="A520"/>
  <c r="A521"/>
  <c r="A522"/>
  <c r="A523"/>
  <c r="A524"/>
  <c r="A525"/>
  <c r="A526"/>
  <c r="AW287" i="8" s="1"/>
  <c r="A527" i="12"/>
  <c r="AW288" i="8" s="1"/>
  <c r="A528" i="12"/>
  <c r="A529"/>
  <c r="AW289" i="8" s="1"/>
  <c r="A530" i="12"/>
  <c r="A531"/>
  <c r="A532"/>
  <c r="A533"/>
  <c r="A534"/>
  <c r="AW290" i="8" s="1"/>
  <c r="A535" i="12"/>
  <c r="AW291" i="8" s="1"/>
  <c r="A536" i="12"/>
  <c r="A537"/>
  <c r="AW292" i="8" s="1"/>
  <c r="A538" i="12"/>
  <c r="AW855" i="8" s="1"/>
  <c r="A539" i="12"/>
  <c r="AW856" i="8" s="1"/>
  <c r="A540" i="12"/>
  <c r="A541"/>
  <c r="A542"/>
  <c r="A543"/>
  <c r="A544"/>
  <c r="A545"/>
  <c r="A546"/>
  <c r="A547"/>
  <c r="A548"/>
  <c r="A549"/>
  <c r="A550"/>
  <c r="A551"/>
  <c r="A552"/>
  <c r="A553"/>
  <c r="A554"/>
  <c r="A555"/>
  <c r="A556"/>
  <c r="AW829" i="8" s="1"/>
  <c r="A557" i="12"/>
  <c r="AW828" i="8" s="1"/>
  <c r="A558" i="12"/>
  <c r="A559"/>
  <c r="AW830" i="8" s="1"/>
  <c r="A560" i="12"/>
  <c r="A561"/>
  <c r="A562"/>
  <c r="A563"/>
  <c r="A564"/>
  <c r="AW309" i="8" s="1"/>
  <c r="A565" i="12"/>
  <c r="AW308" i="8" s="1"/>
  <c r="A566" i="12"/>
  <c r="A567"/>
  <c r="AW310" i="8" s="1"/>
  <c r="A568" i="12"/>
  <c r="AW311" i="8" s="1"/>
  <c r="A569" i="12"/>
  <c r="AW312" i="8" s="1"/>
  <c r="A570" i="12"/>
  <c r="A571"/>
  <c r="AW313" i="8" s="1"/>
  <c r="A572" i="12"/>
  <c r="AW314" i="8" s="1"/>
  <c r="A573" i="12"/>
  <c r="AW315" i="8" s="1"/>
  <c r="A574" i="12"/>
  <c r="A575"/>
  <c r="AW316" i="8" s="1"/>
  <c r="A576" i="12"/>
  <c r="AW318" i="8" s="1"/>
  <c r="A577" i="12"/>
  <c r="AW317" i="8" s="1"/>
  <c r="A578" i="12"/>
  <c r="A579"/>
  <c r="AW319" i="8" s="1"/>
  <c r="A580" i="12"/>
  <c r="A581"/>
  <c r="A582"/>
  <c r="A583"/>
  <c r="A584"/>
  <c r="A585"/>
  <c r="A586"/>
  <c r="A587"/>
  <c r="AW321" i="8" s="1"/>
  <c r="A588" i="12"/>
  <c r="AW320" i="8" s="1"/>
  <c r="A589" i="12"/>
  <c r="A590"/>
  <c r="AW322" i="8" s="1"/>
  <c r="A591" i="12"/>
  <c r="A592"/>
  <c r="A593"/>
  <c r="A594"/>
  <c r="A595"/>
  <c r="AW329" i="8" s="1"/>
  <c r="A596" i="12"/>
  <c r="AW330" i="8" s="1"/>
  <c r="A597" i="12"/>
  <c r="A598"/>
  <c r="AW331" i="8" s="1"/>
  <c r="A599" i="12"/>
  <c r="AW339" i="8" s="1"/>
  <c r="A600" i="12"/>
  <c r="AW340" i="8" s="1"/>
  <c r="A601" i="12"/>
  <c r="A602"/>
  <c r="AW338" i="8" s="1"/>
  <c r="A603" i="12"/>
  <c r="A604"/>
  <c r="A605"/>
  <c r="A606"/>
  <c r="A607"/>
  <c r="A608"/>
  <c r="A609"/>
  <c r="A610"/>
  <c r="AW346" i="8" s="1"/>
  <c r="A611" i="12"/>
  <c r="AW347" i="8" s="1"/>
  <c r="A612" i="12"/>
  <c r="A613"/>
  <c r="AW348" i="8" s="1"/>
  <c r="A614" i="12"/>
  <c r="A615"/>
  <c r="A616"/>
  <c r="A617"/>
  <c r="A618"/>
  <c r="AW349" i="8" s="1"/>
  <c r="A619" i="12"/>
  <c r="AW350" i="8" s="1"/>
  <c r="A620" i="12"/>
  <c r="A621"/>
  <c r="AW351" i="8" s="1"/>
  <c r="A622" i="12"/>
  <c r="AW352" i="8" s="1"/>
  <c r="A623" i="12"/>
  <c r="AW353" i="8" s="1"/>
  <c r="A624" i="12"/>
  <c r="A625"/>
  <c r="AW354" i="8" s="1"/>
  <c r="A626" i="12"/>
  <c r="AW355" i="8" s="1"/>
  <c r="A627" i="12"/>
  <c r="AW356" i="8" s="1"/>
  <c r="A628" i="12"/>
  <c r="A629"/>
  <c r="AW357" i="8" s="1"/>
  <c r="A630" i="12"/>
  <c r="AW361" i="8" s="1"/>
  <c r="A631" i="12"/>
  <c r="AW362" i="8" s="1"/>
  <c r="A632" i="12"/>
  <c r="A633"/>
  <c r="AW363" i="8" s="1"/>
  <c r="A634" i="12"/>
  <c r="A635"/>
  <c r="A636"/>
  <c r="A637"/>
  <c r="A638"/>
  <c r="AW369" i="8" s="1"/>
  <c r="A639" i="12"/>
  <c r="AW368" i="8" s="1"/>
  <c r="A640" i="12"/>
  <c r="A641"/>
  <c r="AW370" i="8" s="1"/>
  <c r="A642" i="12"/>
  <c r="A643"/>
  <c r="A644"/>
  <c r="A645"/>
  <c r="A646"/>
  <c r="AW377" i="8" s="1"/>
  <c r="A647" i="12"/>
  <c r="AW378" i="8" s="1"/>
  <c r="A648" i="12"/>
  <c r="A649"/>
  <c r="AW379" i="8" s="1"/>
  <c r="A650" i="12"/>
  <c r="AW384" i="8" s="1"/>
  <c r="A651" i="12"/>
  <c r="AW385" i="8" s="1"/>
  <c r="A652" i="12"/>
  <c r="A653"/>
  <c r="AW386" i="8" s="1"/>
  <c r="A654" i="12"/>
  <c r="A655"/>
  <c r="A656"/>
  <c r="A657"/>
  <c r="A658"/>
  <c r="A659"/>
  <c r="A660"/>
  <c r="A661"/>
  <c r="A662"/>
  <c r="A663"/>
  <c r="A664"/>
  <c r="A665"/>
  <c r="AW390" i="8" s="1"/>
  <c r="A666" i="12"/>
  <c r="AW391" i="8" s="1"/>
  <c r="A667" i="12"/>
  <c r="A668"/>
  <c r="AW392" i="8" s="1"/>
  <c r="A669" i="12"/>
  <c r="A670"/>
  <c r="A671"/>
  <c r="A672"/>
  <c r="A673"/>
  <c r="A674"/>
  <c r="A675"/>
  <c r="A676"/>
  <c r="A677"/>
  <c r="AW411" i="8" s="1"/>
  <c r="A678" i="12"/>
  <c r="AW412" i="8" s="1"/>
  <c r="A679" i="12"/>
  <c r="A680"/>
  <c r="AW413" i="8" s="1"/>
  <c r="A681" i="12"/>
  <c r="A682"/>
  <c r="A683"/>
  <c r="A684"/>
  <c r="A685"/>
  <c r="A686"/>
  <c r="A687"/>
  <c r="A688"/>
  <c r="A689"/>
  <c r="A690"/>
  <c r="A691"/>
  <c r="A692"/>
  <c r="A693"/>
  <c r="AW415" i="8" s="1"/>
  <c r="A694" i="12"/>
  <c r="AW416" i="8" s="1"/>
  <c r="A695" i="12"/>
  <c r="A696"/>
  <c r="AW414" i="8" s="1"/>
  <c r="A697" i="12"/>
  <c r="A698"/>
  <c r="A699"/>
  <c r="A700"/>
  <c r="A701"/>
  <c r="A702"/>
  <c r="A703"/>
  <c r="A704"/>
  <c r="A705"/>
  <c r="AW418" i="8" s="1"/>
  <c r="A706" i="12"/>
  <c r="AW417" i="8" s="1"/>
  <c r="A707" i="12"/>
  <c r="A708"/>
  <c r="AW419" i="8" s="1"/>
  <c r="A709" i="12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W430" i="8" s="1"/>
  <c r="A728" i="12"/>
  <c r="AW431" i="8" s="1"/>
  <c r="A729" i="12"/>
  <c r="A730"/>
  <c r="AW432" i="8" s="1"/>
  <c r="A731" i="12"/>
  <c r="A732"/>
  <c r="A733"/>
  <c r="A734"/>
  <c r="A735"/>
  <c r="A736"/>
  <c r="A737"/>
  <c r="AW439" i="8" s="1"/>
  <c r="A738" i="12"/>
  <c r="AW440" i="8" s="1"/>
  <c r="A739" i="12"/>
  <c r="A740"/>
  <c r="AW441" i="8" s="1"/>
  <c r="A741" i="12"/>
  <c r="A742"/>
  <c r="A743"/>
  <c r="A744"/>
  <c r="A745"/>
  <c r="AW443" i="8" s="1"/>
  <c r="A746" i="12"/>
  <c r="AW442" i="8" s="1"/>
  <c r="A747" i="12"/>
  <c r="A748"/>
  <c r="AW444" i="8" s="1"/>
  <c r="A749" i="12"/>
  <c r="A750"/>
  <c r="A751"/>
  <c r="A752"/>
  <c r="A753"/>
  <c r="A754"/>
  <c r="A755"/>
  <c r="A756"/>
  <c r="A757"/>
  <c r="AW457" i="8" s="1"/>
  <c r="A758" i="12"/>
  <c r="AW456" i="8" s="1"/>
  <c r="A759" i="12"/>
  <c r="A760"/>
  <c r="AW458" i="8" s="1"/>
  <c r="A761" i="12"/>
  <c r="AW459" i="8" s="1"/>
  <c r="A762" i="12"/>
  <c r="AW460" i="8" s="1"/>
  <c r="A763" i="12"/>
  <c r="A764"/>
  <c r="AW461" i="8" s="1"/>
  <c r="A765" i="12"/>
  <c r="AW462" i="8" s="1"/>
  <c r="A766" i="12"/>
  <c r="AW463" i="8" s="1"/>
  <c r="A767" i="12"/>
  <c r="A768"/>
  <c r="AW464" i="8" s="1"/>
  <c r="A769" i="12"/>
  <c r="AW465" i="8" s="1"/>
  <c r="A770" i="12"/>
  <c r="AW466" i="8" s="1"/>
  <c r="A771" i="12"/>
  <c r="A772"/>
  <c r="AW467" i="8" s="1"/>
  <c r="A773" i="12"/>
  <c r="AW468" i="8" s="1"/>
  <c r="A774" i="12"/>
  <c r="AW469" i="8" s="1"/>
  <c r="A775" i="12"/>
  <c r="A776"/>
  <c r="AW470" i="8" s="1"/>
  <c r="A777" i="12"/>
  <c r="AW474" i="8" s="1"/>
  <c r="A778" i="12"/>
  <c r="AW475" i="8" s="1"/>
  <c r="A779" i="12"/>
  <c r="A780"/>
  <c r="AW476" i="8" s="1"/>
  <c r="A781" i="12"/>
  <c r="A782"/>
  <c r="A783"/>
  <c r="A784"/>
  <c r="A785"/>
  <c r="AW481" i="8" s="1"/>
  <c r="A786" i="12"/>
  <c r="AW480" i="8" s="1"/>
  <c r="A787" i="12"/>
  <c r="A788"/>
  <c r="AW482" i="8" s="1"/>
  <c r="A789" i="12"/>
  <c r="AW484" i="8" s="1"/>
  <c r="A790" i="12"/>
  <c r="AW485" i="8" s="1"/>
  <c r="A791" i="12"/>
  <c r="A792"/>
  <c r="AW483" i="8" s="1"/>
  <c r="A793" i="12"/>
  <c r="AW489" i="8" s="1"/>
  <c r="A794" i="12"/>
  <c r="AW490" i="8" s="1"/>
  <c r="A795" i="12"/>
  <c r="A796"/>
  <c r="AW491" i="8" s="1"/>
  <c r="A797" i="12"/>
  <c r="AW492" i="8" s="1"/>
  <c r="A798" i="12"/>
  <c r="AW493" i="8" s="1"/>
  <c r="A799" i="12"/>
  <c r="A800"/>
  <c r="AW494" i="8" s="1"/>
  <c r="A801" i="12"/>
  <c r="AW504" i="8" s="1"/>
  <c r="A802" i="12"/>
  <c r="AW505" i="8" s="1"/>
  <c r="A803" i="12"/>
  <c r="A804"/>
  <c r="AW506" i="8" s="1"/>
  <c r="A805" i="12"/>
  <c r="A806"/>
  <c r="A807"/>
  <c r="A808"/>
  <c r="A809"/>
  <c r="AW523" i="8" s="1"/>
  <c r="A810" i="12"/>
  <c r="AW524" i="8" s="1"/>
  <c r="A811" i="12"/>
  <c r="A812"/>
  <c r="AW525" i="8" s="1"/>
  <c r="A813" i="12"/>
  <c r="AW529" i="8" s="1"/>
  <c r="A814" i="12"/>
  <c r="AW530" i="8" s="1"/>
  <c r="A815" i="12"/>
  <c r="A816"/>
  <c r="AW531" i="8" s="1"/>
  <c r="A817" i="12"/>
  <c r="A818"/>
  <c r="A819"/>
  <c r="A820"/>
  <c r="A821"/>
  <c r="A822"/>
  <c r="A823"/>
  <c r="A824"/>
  <c r="AW538" i="8" s="1"/>
  <c r="A825" i="12"/>
  <c r="AW539" i="8" s="1"/>
  <c r="A826" i="12"/>
  <c r="A827"/>
  <c r="AW540" i="8" s="1"/>
  <c r="A828" i="12"/>
  <c r="AW541" i="8" s="1"/>
  <c r="A829" i="12"/>
  <c r="AW542" i="8" s="1"/>
  <c r="A830" i="12"/>
  <c r="A831"/>
  <c r="AW543" i="8" s="1"/>
  <c r="A832" i="12"/>
  <c r="AW550" i="8" s="1"/>
  <c r="A833" i="12"/>
  <c r="AW551" i="8" s="1"/>
  <c r="A834" i="12"/>
  <c r="A835"/>
  <c r="AW552" i="8" s="1"/>
  <c r="A836" i="12"/>
  <c r="A837"/>
  <c r="A838"/>
  <c r="A839"/>
  <c r="A840"/>
  <c r="AW559" i="8" s="1"/>
  <c r="A841" i="12"/>
  <c r="AW560" i="8" s="1"/>
  <c r="A842" i="12"/>
  <c r="A843"/>
  <c r="AW561" i="8" s="1"/>
  <c r="A844" i="12"/>
  <c r="AW563" i="8" s="1"/>
  <c r="A845" i="12"/>
  <c r="AW562" i="8" s="1"/>
  <c r="A846" i="12"/>
  <c r="A847"/>
  <c r="AW564" i="8" s="1"/>
  <c r="A848" i="12"/>
  <c r="A849"/>
  <c r="A850"/>
  <c r="A851"/>
  <c r="AW565" i="8" s="1"/>
  <c r="A852" i="12"/>
  <c r="AW566" i="8" s="1"/>
  <c r="A853" i="12"/>
  <c r="AW567" i="8" s="1"/>
  <c r="A854" i="12"/>
  <c r="A855"/>
  <c r="AW569" i="8" s="1"/>
  <c r="A856" i="12"/>
  <c r="AW568" i="8" s="1"/>
  <c r="A857" i="12"/>
  <c r="AW570" i="8" s="1"/>
  <c r="A858" i="12"/>
  <c r="A859"/>
  <c r="AW571" i="8" s="1"/>
  <c r="A860" i="12"/>
  <c r="AW572" i="8" s="1"/>
  <c r="A861" i="12"/>
  <c r="AW573" i="8" s="1"/>
  <c r="A862" i="12"/>
  <c r="A863"/>
  <c r="AW575" i="8" s="1"/>
  <c r="A864" i="12"/>
  <c r="AW574" i="8" s="1"/>
  <c r="A865" i="12"/>
  <c r="AW576" i="8" s="1"/>
  <c r="A866" i="12"/>
  <c r="A867"/>
  <c r="A868"/>
  <c r="A869"/>
  <c r="A870"/>
  <c r="A871"/>
  <c r="A872"/>
  <c r="A873"/>
  <c r="A874"/>
  <c r="A875"/>
  <c r="AW578" i="8" s="1"/>
  <c r="A876" i="12"/>
  <c r="AW579" i="8" s="1"/>
  <c r="A877" i="12"/>
  <c r="AW577" i="8" s="1"/>
  <c r="A878" i="12"/>
  <c r="A879"/>
  <c r="A880"/>
  <c r="A881"/>
  <c r="A882"/>
  <c r="A883"/>
  <c r="AW626" i="8" s="1"/>
  <c r="A884" i="12"/>
  <c r="AW627" i="8" s="1"/>
  <c r="A885" i="12"/>
  <c r="AW628" i="8" s="1"/>
  <c r="A886" i="12"/>
  <c r="A887"/>
  <c r="A888"/>
  <c r="A889"/>
  <c r="AW635" i="8" s="1"/>
  <c r="A890" i="12"/>
  <c r="A891"/>
  <c r="AW636" i="8" s="1"/>
  <c r="A892" i="12"/>
  <c r="AW637" i="8" s="1"/>
  <c r="A893" i="12"/>
  <c r="A894"/>
  <c r="AW634" i="8" s="1"/>
  <c r="A895" i="12"/>
  <c r="A896"/>
  <c r="AW607" i="8" s="1"/>
  <c r="A897" i="12"/>
  <c r="A898"/>
  <c r="AW606" i="8" s="1"/>
  <c r="A899" i="12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W650" i="8" s="1"/>
  <c r="A925" i="12"/>
  <c r="AW651" i="8" s="1"/>
  <c r="A926" i="12"/>
  <c r="AW652" i="8" s="1"/>
  <c r="A927" i="12"/>
  <c r="AW648" i="8" s="1"/>
  <c r="A928" i="12"/>
  <c r="A929"/>
  <c r="A930"/>
  <c r="A931"/>
  <c r="A932"/>
  <c r="A933"/>
  <c r="A934"/>
  <c r="A935"/>
  <c r="A936"/>
  <c r="A937"/>
  <c r="A938"/>
  <c r="A939"/>
  <c r="A940"/>
  <c r="AW663" i="8" s="1"/>
  <c r="A941" i="12"/>
  <c r="A942"/>
  <c r="AW664" i="8" s="1"/>
  <c r="A943" i="12"/>
  <c r="AW665" i="8" s="1"/>
  <c r="A944" i="12"/>
  <c r="AW666" i="8" s="1"/>
  <c r="A945" i="12"/>
  <c r="AW662" i="8" s="1"/>
  <c r="A946" i="12"/>
  <c r="AW619" i="8" s="1"/>
  <c r="A947" i="12"/>
  <c r="A948"/>
  <c r="AW620" i="8" s="1"/>
  <c r="A949" i="12"/>
  <c r="AW618" i="8" s="1"/>
  <c r="A950" i="12"/>
  <c r="AW621" i="8" s="1"/>
  <c r="A951" i="12"/>
  <c r="AW622" i="8" s="1"/>
  <c r="A952" i="12"/>
  <c r="A953"/>
  <c r="AW672" i="8" s="1"/>
  <c r="A954" i="12"/>
  <c r="AW673" i="8" s="1"/>
  <c r="A955" i="12"/>
  <c r="AW674" i="8" s="1"/>
  <c r="A956" i="12"/>
  <c r="AW675" i="8" s="1"/>
  <c r="A957" i="12"/>
  <c r="AW671" i="8" s="1"/>
  <c r="A958" i="12"/>
  <c r="A959"/>
  <c r="AW680" i="8" s="1"/>
  <c r="A960" i="12"/>
  <c r="AW681" i="8" s="1"/>
  <c r="A961" i="12"/>
  <c r="AW682" i="8" s="1"/>
  <c r="A962" i="12"/>
  <c r="AW683" i="8" s="1"/>
  <c r="A963" i="12"/>
  <c r="AW679" i="8" s="1"/>
  <c r="A964" i="12"/>
  <c r="A965"/>
  <c r="A966"/>
  <c r="A967"/>
  <c r="A968"/>
  <c r="A969"/>
  <c r="AW623" i="8" s="1"/>
  <c r="A970" i="12"/>
  <c r="A971"/>
  <c r="AW624" i="8" s="1"/>
  <c r="A972" i="12"/>
  <c r="A973"/>
  <c r="AW625" i="8" s="1"/>
  <c r="A974" i="12"/>
  <c r="A975"/>
  <c r="A976"/>
  <c r="A977"/>
  <c r="A978"/>
  <c r="AW706" i="8" s="1"/>
  <c r="A979" i="12"/>
  <c r="AW705" i="8" s="1"/>
  <c r="A980" i="12"/>
  <c r="AW707" i="8" s="1"/>
  <c r="A981" i="12"/>
  <c r="AW708" i="8" s="1"/>
  <c r="A982" i="12"/>
  <c r="A983"/>
  <c r="AW715" i="8" s="1"/>
  <c r="A984" i="12"/>
  <c r="AW714" i="8" s="1"/>
  <c r="A985" i="12"/>
  <c r="AW716" i="8" s="1"/>
  <c r="A986" i="12"/>
  <c r="AW717" i="8" s="1"/>
  <c r="A987" i="12"/>
  <c r="AW718" i="8" s="1"/>
  <c r="A988" i="12"/>
  <c r="A989"/>
  <c r="AW732" i="8" s="1"/>
  <c r="A990" i="12"/>
  <c r="AW733" i="8" s="1"/>
  <c r="A991" i="12"/>
  <c r="AW734" i="8" s="1"/>
  <c r="A992" i="12"/>
  <c r="AW735" i="8" s="1"/>
  <c r="A993" i="12"/>
  <c r="AW731" i="8" s="1"/>
  <c r="A994" i="12"/>
  <c r="A995"/>
  <c r="AW738" i="8" s="1"/>
  <c r="A996" i="12"/>
  <c r="AW739" i="8" s="1"/>
  <c r="A997" i="12"/>
  <c r="AW740" i="8" s="1"/>
  <c r="A998" i="12"/>
  <c r="A999"/>
  <c r="AW741" i="8" s="1"/>
  <c r="A1000" i="12"/>
  <c r="AW742" i="8" s="1"/>
  <c r="A1001" i="12"/>
  <c r="AW743" i="8" s="1"/>
  <c r="A1002" i="12"/>
  <c r="AW744" i="8" s="1"/>
  <c r="A1003" i="12"/>
  <c r="AW745" i="8" s="1"/>
  <c r="A1004" i="12"/>
  <c r="A1005"/>
  <c r="A1006"/>
  <c r="A1007"/>
  <c r="A1008"/>
  <c r="A1009"/>
  <c r="A1010"/>
  <c r="AW747" i="8" s="1"/>
  <c r="A1011" i="12"/>
  <c r="AW746" i="8" s="1"/>
  <c r="A1012" i="12"/>
  <c r="AW748" i="8" s="1"/>
  <c r="A1013" i="12"/>
  <c r="A1014"/>
  <c r="AW749" i="8" s="1"/>
  <c r="A1015" i="12"/>
  <c r="AW750" i="8" s="1"/>
  <c r="A1016" i="12"/>
  <c r="A1017"/>
  <c r="AW756" i="8" s="1"/>
  <c r="A1018" i="12"/>
  <c r="AW757" i="8" s="1"/>
  <c r="A1019" i="12"/>
  <c r="AW758" i="8" s="1"/>
  <c r="A1020" i="12"/>
  <c r="AW755" i="8" s="1"/>
  <c r="A1021" i="12"/>
  <c r="A1022"/>
  <c r="AW763" i="8" s="1"/>
  <c r="A1023" i="12"/>
  <c r="AW764" i="8" s="1"/>
  <c r="A1024" i="12"/>
  <c r="AW765" i="8" s="1"/>
  <c r="A1025" i="12"/>
  <c r="A1026"/>
  <c r="A1027"/>
  <c r="A1028"/>
  <c r="A1029"/>
  <c r="A1030"/>
  <c r="A1031"/>
  <c r="AW767" i="8" s="1"/>
  <c r="A1032" i="12"/>
  <c r="AW766" i="8" s="1"/>
  <c r="A1033" i="12"/>
  <c r="AW768" i="8" s="1"/>
  <c r="A1034" i="12"/>
  <c r="AW770" i="8" s="1"/>
  <c r="A1035" i="12"/>
  <c r="A1036"/>
  <c r="AW771" i="8" s="1"/>
  <c r="A1037" i="12"/>
  <c r="AW769" i="8" s="1"/>
  <c r="A1038" i="12"/>
  <c r="AW772" i="8" s="1"/>
  <c r="A1039" i="12"/>
  <c r="AW773" i="8" s="1"/>
  <c r="A1040" i="12"/>
  <c r="AW774" i="8" s="1"/>
  <c r="A1041" i="12"/>
  <c r="AW775" i="8" s="1"/>
  <c r="A1042" i="12"/>
  <c r="AW777" i="8" s="1"/>
  <c r="A1043" i="12"/>
  <c r="AW776" i="8" s="1"/>
  <c r="A1044" i="12"/>
  <c r="AW778" i="8" s="1"/>
  <c r="A1045" i="12"/>
  <c r="A1046"/>
  <c r="AW779" i="8" s="1"/>
  <c r="A1047" i="12"/>
  <c r="AW780" i="8" s="1"/>
  <c r="A1048" i="12"/>
  <c r="AW781" i="8" s="1"/>
  <c r="A1049" i="12"/>
  <c r="A1050"/>
  <c r="AW782" i="8" s="1"/>
  <c r="A1051" i="12"/>
  <c r="AW783" i="8" s="1"/>
  <c r="A1052" i="12"/>
  <c r="AW784" i="8" s="1"/>
  <c r="A1053" i="12"/>
  <c r="A1054"/>
  <c r="A1055"/>
  <c r="A1056"/>
  <c r="A1057"/>
  <c r="A1058"/>
  <c r="A1059"/>
  <c r="A1060"/>
  <c r="AW799" i="8" s="1"/>
  <c r="A1061" i="12"/>
  <c r="AW800" i="8" s="1"/>
  <c r="A1062" i="12"/>
  <c r="AW801" i="8" s="1"/>
  <c r="A1063" i="12"/>
  <c r="A1064"/>
  <c r="A1065"/>
  <c r="A1066"/>
  <c r="A1067"/>
  <c r="A1068"/>
  <c r="A1069"/>
  <c r="A1070"/>
  <c r="AW813" i="8" s="1"/>
  <c r="A1071" i="12"/>
  <c r="AW814" i="8" s="1"/>
  <c r="A1072" i="12"/>
  <c r="AW815" i="8" s="1"/>
  <c r="A1073" i="12"/>
  <c r="AW812" i="8" s="1"/>
  <c r="A1074" i="12"/>
  <c r="A1075"/>
  <c r="A1076"/>
  <c r="A1077"/>
  <c r="A1078"/>
  <c r="A1079"/>
  <c r="A1080"/>
  <c r="A1081"/>
  <c r="A1082"/>
  <c r="A1083"/>
  <c r="A1084"/>
  <c r="A1085"/>
  <c r="A1086"/>
  <c r="A1087"/>
  <c r="AW865" i="8" s="1"/>
  <c r="A1088" i="12"/>
  <c r="AW866" i="8" s="1"/>
  <c r="A1089" i="12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W902" i="8" s="1"/>
  <c r="A1151" i="12"/>
  <c r="AW917" i="8" s="1"/>
  <c r="A1152" i="12"/>
  <c r="AW918" i="8" s="1"/>
  <c r="A1153" i="12"/>
  <c r="AW923" i="8" s="1"/>
  <c r="A1154" i="12"/>
  <c r="AW924" i="8" s="1"/>
  <c r="A1155" i="12"/>
  <c r="A1156"/>
  <c r="A1157"/>
  <c r="A1158"/>
  <c r="A1159"/>
  <c r="A1160"/>
  <c r="A1161"/>
  <c r="A1162"/>
  <c r="A1163"/>
  <c r="AW78" i="8" s="1"/>
  <c r="A1164" i="12"/>
  <c r="AW79" i="8" s="1"/>
  <c r="A1165" i="12"/>
  <c r="A1166"/>
  <c r="A1167"/>
  <c r="A1168"/>
  <c r="A1169"/>
  <c r="A1170"/>
  <c r="A1171"/>
  <c r="A1172"/>
  <c r="AW119" i="8" s="1"/>
  <c r="A1173" i="12"/>
  <c r="AW120" i="8" s="1"/>
  <c r="A1174" i="12"/>
  <c r="AW121" i="8" s="1"/>
  <c r="A1175" i="12"/>
  <c r="AW118" i="8" s="1"/>
  <c r="A1176" i="12"/>
  <c r="A1177"/>
  <c r="A1178"/>
  <c r="A1179"/>
  <c r="AW153" i="8" s="1"/>
  <c r="A1180" i="12"/>
  <c r="A1181"/>
  <c r="AW154" i="8" s="1"/>
  <c r="A1182" i="12"/>
  <c r="AW155" i="8" s="1"/>
  <c r="A1183" i="12"/>
  <c r="AW156" i="8" s="1"/>
  <c r="A1184" i="12"/>
  <c r="AW133" i="8" s="1"/>
  <c r="A1185" i="12"/>
  <c r="AW134" i="8" s="1"/>
  <c r="A1186" i="12"/>
  <c r="AW135" i="8" s="1"/>
  <c r="A1187" i="12"/>
  <c r="AW159" i="8" s="1"/>
  <c r="A1188" i="12"/>
  <c r="A1189"/>
  <c r="AW160" i="8" s="1"/>
  <c r="A1190" i="12"/>
  <c r="A1191"/>
  <c r="A1192"/>
  <c r="AW142" i="8" s="1"/>
  <c r="A1193" i="12"/>
  <c r="AW141" i="8" s="1"/>
  <c r="A1194" i="12"/>
  <c r="AW167" i="8" s="1"/>
  <c r="A1195" i="12"/>
  <c r="AW168" i="8" s="1"/>
  <c r="A1196" i="12"/>
  <c r="A1197"/>
  <c r="A1198"/>
  <c r="A1199"/>
  <c r="A1200"/>
  <c r="A1201"/>
  <c r="A1202"/>
  <c r="AW177" i="8" s="1"/>
  <c r="A1203" i="12"/>
  <c r="AW178" i="8" s="1"/>
  <c r="A1204" i="12"/>
  <c r="AW219" i="8" s="1"/>
  <c r="A1205" i="12"/>
  <c r="AW220" i="8" s="1"/>
  <c r="A1206" i="12"/>
  <c r="A1207"/>
  <c r="A1208"/>
  <c r="A1209"/>
  <c r="A1210"/>
  <c r="A1211"/>
  <c r="AW269" i="8" s="1"/>
  <c r="A1212" i="12"/>
  <c r="AW270" i="8" s="1"/>
  <c r="A1213" i="12"/>
  <c r="A1214"/>
  <c r="AW271" i="8" s="1"/>
  <c r="A1215" i="12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W293" i="8" s="1"/>
  <c r="A1243" i="12"/>
  <c r="A1244"/>
  <c r="AW295" i="8" s="1"/>
  <c r="A1245" i="12"/>
  <c r="AW860" i="8" s="1"/>
  <c r="A1246" i="12"/>
  <c r="AW861" i="8" s="1"/>
  <c r="A1247" i="12"/>
  <c r="AW862" i="8" s="1"/>
  <c r="A1248" i="12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305" i="8" s="1"/>
  <c r="A1269" i="12"/>
  <c r="AW306" i="8" s="1"/>
  <c r="A1270" i="12"/>
  <c r="A1271"/>
  <c r="AW307" i="8" s="1"/>
  <c r="A1272" i="12"/>
  <c r="A1273"/>
  <c r="A1274"/>
  <c r="A1275"/>
  <c r="A1276"/>
  <c r="AW327" i="8" s="1"/>
  <c r="A1277" i="12"/>
  <c r="AW326" i="8" s="1"/>
  <c r="A1278" i="12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W371" i="8" s="1"/>
  <c r="A1301" i="12"/>
  <c r="AW372" i="8" s="1"/>
  <c r="A1302" i="12"/>
  <c r="A1303"/>
  <c r="AW373" i="8" s="1"/>
  <c r="A1304" i="12"/>
  <c r="AW375" i="8" s="1"/>
  <c r="A1305" i="12"/>
  <c r="AW374" i="8" s="1"/>
  <c r="A1306" i="12"/>
  <c r="AW376" i="8" s="1"/>
  <c r="A1307" i="12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W510" i="8" s="1"/>
  <c r="A1404" i="12"/>
  <c r="AW511" i="8" s="1"/>
  <c r="A1405" i="12"/>
  <c r="A1406"/>
  <c r="AW512" i="8" s="1"/>
  <c r="A1407" i="12"/>
  <c r="AW526" i="8" s="1"/>
  <c r="A1408" i="12"/>
  <c r="AW527" i="8" s="1"/>
  <c r="A1409" i="12"/>
  <c r="A1410"/>
  <c r="AW528" i="8" s="1"/>
  <c r="A1411" i="12"/>
  <c r="AW533" i="8" s="1"/>
  <c r="A1412" i="12"/>
  <c r="AW532" i="8" s="1"/>
  <c r="A1413" i="12"/>
  <c r="A1414"/>
  <c r="AW534" i="8" s="1"/>
  <c r="A1415" i="12"/>
  <c r="AW535" i="8" s="1"/>
  <c r="A1416" i="12"/>
  <c r="AW536" i="8" s="1"/>
  <c r="A1417" i="12"/>
  <c r="A1418"/>
  <c r="AW537" i="8" s="1"/>
  <c r="A1419" i="12"/>
  <c r="AW547" i="8" s="1"/>
  <c r="A1420" i="12"/>
  <c r="AW548" i="8" s="1"/>
  <c r="A1421" i="12"/>
  <c r="A1422"/>
  <c r="AW549" i="8" s="1"/>
  <c r="A1423" i="12"/>
  <c r="AW581" i="8" s="1"/>
  <c r="A1424" i="12"/>
  <c r="AW582" i="8" s="1"/>
  <c r="A1425" i="12"/>
  <c r="AW583" i="8" s="1"/>
  <c r="A1426" i="12"/>
  <c r="A1427"/>
  <c r="AW580" i="8" s="1"/>
  <c r="A1428" i="12"/>
  <c r="A1429"/>
  <c r="A1430"/>
  <c r="A1431"/>
  <c r="AW601" i="8" s="1"/>
  <c r="A1432" i="12"/>
  <c r="AW602" i="8" s="1"/>
  <c r="A1433" i="12"/>
  <c r="AW603" i="8" s="1"/>
  <c r="A1434" i="12"/>
  <c r="AW604" i="8" s="1"/>
  <c r="A1435" i="12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W613" i="8" s="1"/>
  <c r="A1451" i="12"/>
  <c r="AW616" i="8" s="1"/>
  <c r="A1452" i="12"/>
  <c r="AW617" i="8" s="1"/>
  <c r="A1453" i="12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W690" i="8" s="1"/>
  <c r="A1489" i="12"/>
  <c r="AW691" i="8" s="1"/>
  <c r="A1490" i="12"/>
  <c r="AW692" i="8" s="1"/>
  <c r="A1491" i="12"/>
  <c r="AW693" i="8" s="1"/>
  <c r="A1492" i="12"/>
  <c r="AW689" i="8" s="1"/>
  <c r="A1493" i="12"/>
  <c r="A1494"/>
  <c r="AW709" i="8" s="1"/>
  <c r="A1495" i="12"/>
  <c r="AW710" i="8" s="1"/>
  <c r="A1496" i="12"/>
  <c r="AW711" i="8" s="1"/>
  <c r="A1497" i="12"/>
  <c r="AW712" i="8" s="1"/>
  <c r="A1498" i="12"/>
  <c r="AW713" i="8" s="1"/>
  <c r="A1499" i="12"/>
  <c r="A1500"/>
  <c r="AW721" i="8" s="1"/>
  <c r="A1501" i="12"/>
  <c r="AW719" i="8" s="1"/>
  <c r="A1502" i="12"/>
  <c r="AW720" i="8" s="1"/>
  <c r="A1503" i="12"/>
  <c r="AW722" i="8" s="1"/>
  <c r="A1504" i="12"/>
  <c r="AW723" i="8" s="1"/>
  <c r="A1505" i="12"/>
  <c r="AW737" i="8" s="1"/>
  <c r="A1506" i="12"/>
  <c r="A1507"/>
  <c r="AW736" i="8" s="1"/>
  <c r="A1508" i="12"/>
  <c r="A1509"/>
  <c r="A1510"/>
  <c r="A1511"/>
  <c r="A1512"/>
  <c r="A1513"/>
  <c r="A1514"/>
  <c r="A1515"/>
  <c r="A1516"/>
  <c r="A1517"/>
  <c r="A1518"/>
  <c r="AW832" i="8" s="1"/>
  <c r="A1519" i="12"/>
  <c r="AW833" i="8" s="1"/>
  <c r="A1520" i="12"/>
  <c r="AW834" i="8" s="1"/>
  <c r="A1521" i="12"/>
  <c r="AW831" i="8" s="1"/>
  <c r="A1522" i="12"/>
  <c r="AW835" i="8" s="1"/>
  <c r="A1523" i="12"/>
  <c r="AW788" i="8" s="1"/>
  <c r="A1524" i="12"/>
  <c r="AW789" i="8" s="1"/>
  <c r="A1525" i="12"/>
  <c r="AW790" i="8" s="1"/>
  <c r="A1526" i="12"/>
  <c r="A1527"/>
  <c r="A1528"/>
  <c r="A1529"/>
  <c r="A1530"/>
  <c r="A1531"/>
  <c r="A1532"/>
  <c r="A1533"/>
  <c r="A1534"/>
  <c r="A1535"/>
  <c r="A1536"/>
  <c r="AW850" i="8" s="1"/>
  <c r="A1537" i="12"/>
  <c r="AW849" i="8" s="1"/>
  <c r="A1538" i="12"/>
  <c r="AW851" i="8" s="1"/>
  <c r="A1539" i="12"/>
  <c r="AW852" i="8" s="1"/>
  <c r="A1540" i="12"/>
  <c r="AW875" i="8" s="1"/>
  <c r="A1541" i="12"/>
  <c r="AW874" i="8" s="1"/>
  <c r="A1542" i="12"/>
  <c r="AW876" i="8" s="1"/>
  <c r="A1543" i="12"/>
  <c r="A1544"/>
  <c r="A1545"/>
  <c r="AW853" i="8" s="1"/>
  <c r="A1546" i="12"/>
  <c r="AW854" i="8" s="1"/>
  <c r="A1547" i="12"/>
  <c r="AW877" i="8" s="1"/>
  <c r="A1548" i="12"/>
  <c r="AW878" i="8" s="1"/>
  <c r="A1549" i="12"/>
  <c r="AW879" i="8" s="1"/>
  <c r="A1550" i="12"/>
  <c r="A1551"/>
  <c r="A1552"/>
  <c r="A1553"/>
  <c r="A1554"/>
  <c r="A1555"/>
  <c r="A1556"/>
  <c r="A1557"/>
  <c r="A1558"/>
  <c r="AW858" i="8" s="1"/>
  <c r="A1559" i="12"/>
  <c r="AW859" i="8" s="1"/>
  <c r="A1560" i="12"/>
  <c r="AW857" i="8" s="1"/>
  <c r="A1561" i="12"/>
  <c r="A1562"/>
  <c r="A1563"/>
  <c r="AW869" i="8" s="1"/>
  <c r="A1564" i="12"/>
  <c r="AW870" i="8" s="1"/>
  <c r="A1565" i="12"/>
  <c r="AW868" i="8" s="1"/>
  <c r="A1566" i="12"/>
  <c r="AW880" i="8" s="1"/>
  <c r="A1567" i="12"/>
  <c r="AW881" i="8" s="1"/>
  <c r="A1568" i="12"/>
  <c r="AW882" i="8" s="1"/>
  <c r="A1569" i="12"/>
  <c r="A1570"/>
  <c r="A1571"/>
  <c r="A1572"/>
  <c r="A1573"/>
  <c r="A1574"/>
  <c r="AW895" i="8" s="1"/>
  <c r="A1575" i="12"/>
  <c r="AW896" i="8" s="1"/>
  <c r="A1576" i="12"/>
  <c r="AW894" i="8" s="1"/>
  <c r="A1577" i="12"/>
  <c r="A1578"/>
  <c r="A1579"/>
  <c r="A1580"/>
  <c r="AW898" i="8" s="1"/>
  <c r="A1581" i="12"/>
  <c r="AW897" i="8" s="1"/>
  <c r="A1582" i="12"/>
  <c r="AW899" i="8" s="1"/>
  <c r="A1583" i="12"/>
  <c r="A1584"/>
  <c r="A1585"/>
  <c r="A1586"/>
  <c r="A1587"/>
  <c r="A1588"/>
  <c r="A1589"/>
  <c r="A1590"/>
  <c r="A1591"/>
  <c r="A1592"/>
  <c r="AW116" i="8" s="1"/>
  <c r="A1593" i="12"/>
  <c r="AW117" i="8" s="1"/>
  <c r="A1594" i="12"/>
  <c r="A1595"/>
  <c r="A1596"/>
  <c r="AW100" i="8" s="1"/>
  <c r="A1597" i="12"/>
  <c r="AW101" i="8" s="1"/>
  <c r="A1598" i="12"/>
  <c r="A1599"/>
  <c r="A1600"/>
  <c r="AW113" i="8" s="1"/>
  <c r="A1601" i="12"/>
  <c r="AW114" i="8" s="1"/>
  <c r="A1602" i="12"/>
  <c r="AW112" i="8" s="1"/>
  <c r="A1603" i="12"/>
  <c r="A1604"/>
  <c r="A1605"/>
  <c r="A1606"/>
  <c r="A1607"/>
  <c r="AW144" i="8" s="1"/>
  <c r="A1608" i="12"/>
  <c r="AW143" i="8" s="1"/>
  <c r="A1609" i="12"/>
  <c r="AW145" i="8" s="1"/>
  <c r="A1610" i="12"/>
  <c r="AW146" i="8" s="1"/>
  <c r="A1611" i="12"/>
  <c r="A1612"/>
  <c r="AW169" i="8" s="1"/>
  <c r="A1613" i="12"/>
  <c r="AW170" i="8" s="1"/>
  <c r="A1614" i="12"/>
  <c r="A1615"/>
  <c r="A1616"/>
  <c r="A1617"/>
  <c r="A1618"/>
  <c r="A1619"/>
  <c r="A1620"/>
  <c r="AW165" i="8" s="1"/>
  <c r="A1621" i="12"/>
  <c r="A1622"/>
  <c r="AW166" i="8" s="1"/>
  <c r="A1623" i="12"/>
  <c r="AW207" i="8" s="1"/>
  <c r="A1624" i="12"/>
  <c r="AW208" i="8" s="1"/>
  <c r="A1625" i="12"/>
  <c r="A1626"/>
  <c r="AW210" i="8" s="1"/>
  <c r="A1627" i="12"/>
  <c r="AW209" i="8" s="1"/>
  <c r="A1628" i="12"/>
  <c r="AW211" i="8" s="1"/>
  <c r="A1629" i="12"/>
  <c r="AW213" i="8" s="1"/>
  <c r="A1630" i="12"/>
  <c r="AW212" i="8" s="1"/>
  <c r="A1631" i="12"/>
  <c r="AW214" i="8" s="1"/>
  <c r="A1632" i="12"/>
  <c r="AW215" i="8" s="1"/>
  <c r="A1633" i="12"/>
  <c r="AW216" i="8" s="1"/>
  <c r="A1634" i="12"/>
  <c r="AW217" i="8" s="1"/>
  <c r="A1635" i="12"/>
  <c r="A1636"/>
  <c r="A1637"/>
  <c r="A1638"/>
  <c r="A1639"/>
  <c r="AW221" i="8" s="1"/>
  <c r="A1640" i="12"/>
  <c r="AW222" i="8" s="1"/>
  <c r="A1641" i="12"/>
  <c r="A1642"/>
  <c r="A1643"/>
  <c r="A1644"/>
  <c r="A1645"/>
  <c r="A1646"/>
  <c r="A1647"/>
  <c r="A1648"/>
  <c r="A1649"/>
  <c r="A1650"/>
  <c r="A1651"/>
  <c r="A1652"/>
  <c r="A1653"/>
  <c r="A1654"/>
  <c r="A1655"/>
  <c r="A1656"/>
  <c r="AW254" i="8" s="1"/>
  <c r="A1657" i="12"/>
  <c r="AW255" i="8" s="1"/>
  <c r="A1658" i="12"/>
  <c r="A1659"/>
  <c r="AW256" i="8" s="1"/>
  <c r="A1660" i="12"/>
  <c r="A1661"/>
  <c r="A1662"/>
  <c r="A1663"/>
  <c r="A1664"/>
  <c r="A1665"/>
  <c r="A1666"/>
  <c r="A1667"/>
  <c r="A1668"/>
  <c r="A1669"/>
  <c r="A1670"/>
  <c r="A1671"/>
  <c r="A1672"/>
  <c r="AW282" i="8" s="1"/>
  <c r="A1673" i="12"/>
  <c r="AW281" i="8" s="1"/>
  <c r="A1674" i="12"/>
  <c r="A1675"/>
  <c r="AW283" i="8" s="1"/>
  <c r="A1676" i="12"/>
  <c r="A1677"/>
  <c r="A1678"/>
  <c r="A1679"/>
  <c r="AW299" i="8" s="1"/>
  <c r="A1680" i="12"/>
  <c r="AW300" i="8" s="1"/>
  <c r="A1681" i="12"/>
  <c r="A1682"/>
  <c r="AW301" i="8" s="1"/>
  <c r="A1683" i="12"/>
  <c r="AW303" i="8" s="1"/>
  <c r="A1684" i="12"/>
  <c r="AW304" i="8" s="1"/>
  <c r="A1685" i="12"/>
  <c r="A1686"/>
  <c r="AW302" i="8" s="1"/>
  <c r="A1687" i="12"/>
  <c r="A1688"/>
  <c r="A1689"/>
  <c r="A1690"/>
  <c r="A1691"/>
  <c r="AW324" i="8" s="1"/>
  <c r="A1692" i="12"/>
  <c r="AW323" i="8" s="1"/>
  <c r="A1693" i="12"/>
  <c r="A1694"/>
  <c r="AW325" i="8" s="1"/>
  <c r="A1695" i="12"/>
  <c r="AW332" i="8" s="1"/>
  <c r="A1696" i="12"/>
  <c r="AW333" i="8" s="1"/>
  <c r="A1697" i="12"/>
  <c r="A1698"/>
  <c r="AW334" i="8" s="1"/>
  <c r="A1699" i="12"/>
  <c r="AW342" i="8" s="1"/>
  <c r="A1700" i="12"/>
  <c r="AW341" i="8" s="1"/>
  <c r="A1701" i="12"/>
  <c r="A1702"/>
  <c r="A1703"/>
  <c r="A1704"/>
  <c r="A1705"/>
  <c r="A1706"/>
  <c r="A1707"/>
  <c r="A1708"/>
  <c r="A1709"/>
  <c r="A1710"/>
  <c r="A1711"/>
  <c r="A1712"/>
  <c r="A1713"/>
  <c r="A1714"/>
  <c r="AW365" i="8" s="1"/>
  <c r="A1715" i="12"/>
  <c r="AW366" i="8" s="1"/>
  <c r="A1716" i="12"/>
  <c r="AW367" i="8" s="1"/>
  <c r="A1717" i="12"/>
  <c r="AW364" i="8" s="1"/>
  <c r="A1718" i="12"/>
  <c r="AW381" i="8" s="1"/>
  <c r="A1719" i="12"/>
  <c r="AW382" i="8" s="1"/>
  <c r="A1720" i="12"/>
  <c r="AW383" i="8" s="1"/>
  <c r="A1721" i="12"/>
  <c r="AW380" i="8" s="1"/>
  <c r="A1722" i="12"/>
  <c r="AW400" i="8" s="1"/>
  <c r="A1723" i="12"/>
  <c r="AW399" i="8" s="1"/>
  <c r="A1724" i="12"/>
  <c r="A1725"/>
  <c r="AW401" i="8" s="1"/>
  <c r="A1726" i="12"/>
  <c r="A1727"/>
  <c r="A1728"/>
  <c r="A1729"/>
  <c r="A1730"/>
  <c r="A1731"/>
  <c r="A1732"/>
  <c r="A1733"/>
  <c r="A1734"/>
  <c r="AW406" i="8" s="1"/>
  <c r="A1735" i="12"/>
  <c r="AW405" i="8" s="1"/>
  <c r="A1736" i="12"/>
  <c r="A1737"/>
  <c r="AW407" i="8" s="1"/>
  <c r="A1738" i="12"/>
  <c r="A1739"/>
  <c r="A1740"/>
  <c r="A1741"/>
  <c r="A1742"/>
  <c r="A1743"/>
  <c r="A1744"/>
  <c r="A1745"/>
  <c r="A1746"/>
  <c r="A1747"/>
  <c r="AW445" i="8" s="1"/>
  <c r="A1748" i="12"/>
  <c r="AW446" i="8" s="1"/>
  <c r="A1749" i="12"/>
  <c r="A1750"/>
  <c r="AW447" i="8" s="1"/>
  <c r="A1751" i="12"/>
  <c r="AW449" i="8" s="1"/>
  <c r="A1752" i="12"/>
  <c r="AW450" i="8" s="1"/>
  <c r="A1753" i="12"/>
  <c r="A1754"/>
  <c r="AW448" i="8" s="1"/>
  <c r="A1755" i="12"/>
  <c r="A1756"/>
  <c r="A1757"/>
  <c r="A1758"/>
  <c r="A1759"/>
  <c r="A1760"/>
  <c r="A1761"/>
  <c r="A1762"/>
  <c r="A1763"/>
  <c r="AW487" i="8" s="1"/>
  <c r="A1764" i="12"/>
  <c r="AW486" i="8" s="1"/>
  <c r="A1765" i="12"/>
  <c r="A1766"/>
  <c r="AW488" i="8" s="1"/>
  <c r="A1767" i="12"/>
  <c r="AW496" i="8" s="1"/>
  <c r="A1768" i="12"/>
  <c r="AW495" i="8" s="1"/>
  <c r="A1769" i="12"/>
  <c r="A1770"/>
  <c r="AW497" i="8" s="1"/>
  <c r="A1771" i="12"/>
  <c r="AW498" i="8" s="1"/>
  <c r="A1772" i="12"/>
  <c r="AW499" i="8" s="1"/>
  <c r="A1773" i="12"/>
  <c r="A1774"/>
  <c r="AW500" i="8" s="1"/>
  <c r="A1775" i="12"/>
  <c r="AW513" i="8" s="1"/>
  <c r="A1776" i="12"/>
  <c r="AW514" i="8" s="1"/>
  <c r="A1777" i="12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W590" i="8" s="1"/>
  <c r="A1803" i="12"/>
  <c r="AW591" i="8" s="1"/>
  <c r="A1804" i="12"/>
  <c r="AW592" i="8" s="1"/>
  <c r="A1805" i="12"/>
  <c r="A1806"/>
  <c r="AW589" i="8" s="1"/>
  <c r="A1807" i="12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W646" i="8" s="1"/>
  <c r="A1823" i="12"/>
  <c r="AW647" i="8" s="1"/>
  <c r="A1824" i="12"/>
  <c r="A1825"/>
  <c r="A1826"/>
  <c r="A1827"/>
  <c r="A1828"/>
  <c r="A1829"/>
  <c r="AW658" i="8" s="1"/>
  <c r="A1830" i="12"/>
  <c r="A1831"/>
  <c r="AW659" i="8" s="1"/>
  <c r="A1832" i="12"/>
  <c r="AW660" i="8" s="1"/>
  <c r="A1833" i="12"/>
  <c r="AW661" i="8" s="1"/>
  <c r="A1834" i="12"/>
  <c r="AW657" i="8" s="1"/>
  <c r="A1835" i="12"/>
  <c r="A1836"/>
  <c r="AW677" i="8" s="1"/>
  <c r="A1837" i="12"/>
  <c r="AW678" i="8" s="1"/>
  <c r="A1838" i="12"/>
  <c r="AW676" i="8" s="1"/>
  <c r="A1839" i="12"/>
  <c r="A1840"/>
  <c r="A1841"/>
  <c r="A1842"/>
  <c r="A1843"/>
  <c r="A1844"/>
  <c r="A1845"/>
  <c r="AW700" i="8" s="1"/>
  <c r="A1846" i="12"/>
  <c r="A1847"/>
  <c r="AW701" i="8" s="1"/>
  <c r="A1848" i="12"/>
  <c r="AW702" i="8" s="1"/>
  <c r="A1849" i="12"/>
  <c r="AW703" i="8" s="1"/>
  <c r="A1850" i="12"/>
  <c r="AW704" i="8" s="1"/>
  <c r="A1851" i="12"/>
  <c r="AW699" i="8" s="1"/>
  <c r="A1852" i="12"/>
  <c r="AW725" i="8" s="1"/>
  <c r="A1853" i="12"/>
  <c r="AW724" i="8" s="1"/>
  <c r="A1854" i="12"/>
  <c r="AW726" i="8" s="1"/>
  <c r="A1855" i="12"/>
  <c r="AW727" i="8" s="1"/>
  <c r="A1856" i="12"/>
  <c r="A1857"/>
  <c r="AW729" i="8" s="1"/>
  <c r="A1858" i="12"/>
  <c r="AW730" i="8" s="1"/>
  <c r="A1859" i="12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W804" i="8" s="1"/>
  <c r="A1873" i="12"/>
  <c r="A1874"/>
  <c r="AW805" i="8" s="1"/>
  <c r="A1875" i="12"/>
  <c r="AW806" i="8" s="1"/>
  <c r="A1876" i="12"/>
  <c r="A1877"/>
  <c r="A1878"/>
  <c r="AW807" i="8" s="1"/>
  <c r="A1879" i="12"/>
  <c r="AW808" i="8" s="1"/>
  <c r="A1880" i="12"/>
  <c r="AW809" i="8" s="1"/>
  <c r="A1881" i="12"/>
  <c r="A1882"/>
  <c r="A1883"/>
  <c r="A1884"/>
  <c r="A1885"/>
  <c r="AW848" i="8" s="1"/>
  <c r="A1886" i="12"/>
  <c r="AW871" i="8" s="1"/>
  <c r="A1887" i="12"/>
  <c r="AW872" i="8" s="1"/>
  <c r="A1888" i="12"/>
  <c r="AW873" i="8" s="1"/>
  <c r="A1889" i="12"/>
  <c r="AW847" i="8" s="1"/>
  <c r="A1890" i="12"/>
  <c r="A1891"/>
  <c r="A1892"/>
  <c r="A1893"/>
  <c r="A1894"/>
  <c r="AW891" i="8" s="1"/>
  <c r="A1895" i="12"/>
  <c r="A1896"/>
  <c r="AW892" i="8" s="1"/>
  <c r="A1897" i="12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W51" i="8" s="1"/>
  <c r="A1917" i="12"/>
  <c r="AW50" i="8" s="1"/>
  <c r="A1918" i="12"/>
  <c r="AW55" i="8" s="1"/>
  <c r="A1919" i="12"/>
  <c r="AW54" i="8" s="1"/>
  <c r="A1920" i="12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W286" i="8" s="1"/>
  <c r="A1935" i="12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W404" i="8" s="1"/>
  <c r="A1951" i="12"/>
  <c r="A1952"/>
  <c r="A1953"/>
  <c r="A1954"/>
  <c r="A1955"/>
  <c r="AW434" i="8" s="1"/>
  <c r="A1956" i="12"/>
  <c r="AW433" i="8" s="1"/>
  <c r="A1957" i="12"/>
  <c r="A1958"/>
  <c r="AW435" i="8" s="1"/>
  <c r="A1959" i="12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W639" i="8" s="1"/>
  <c r="A1974" i="12"/>
  <c r="AW640" i="8" s="1"/>
  <c r="A1975" i="12"/>
  <c r="AW641" i="8" s="1"/>
  <c r="A1976" i="12"/>
  <c r="A1977"/>
  <c r="AW642" i="8" s="1"/>
  <c r="A1978" i="12"/>
  <c r="A1979"/>
  <c r="A1980"/>
  <c r="A1981"/>
  <c r="A1982"/>
  <c r="A1983"/>
  <c r="A1984"/>
  <c r="AW695" i="8" s="1"/>
  <c r="A1985" i="12"/>
  <c r="AW696" i="8" s="1"/>
  <c r="A1986" i="12"/>
  <c r="AW697" i="8" s="1"/>
  <c r="A1987" i="12"/>
  <c r="AW698" i="8" s="1"/>
  <c r="A1988" i="12"/>
  <c r="AW694" i="8" s="1"/>
  <c r="A1989" i="12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W151" i="8" s="1"/>
  <c r="A2039" i="12"/>
  <c r="A2040"/>
  <c r="AW152" i="8" s="1"/>
  <c r="A2041" i="12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W336" i="8" s="1"/>
  <c r="A2073" i="12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W388" i="8" s="1"/>
  <c r="A2097" i="12"/>
  <c r="A2098"/>
  <c r="AW389" i="8" s="1"/>
  <c r="A2099" i="12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W454" i="8" s="1"/>
  <c r="A2161" i="12"/>
  <c r="AW455" i="8" s="1"/>
  <c r="A2162" i="1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W685" i="8" s="1"/>
  <c r="A2203" i="12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W15" i="8" s="1"/>
  <c r="A2215" i="12"/>
  <c r="A2216"/>
  <c r="A2217"/>
  <c r="A2218"/>
  <c r="A2219"/>
  <c r="A2220"/>
  <c r="A2221"/>
  <c r="A2222"/>
  <c r="A2223"/>
  <c r="A2224"/>
  <c r="A2225"/>
  <c r="A2226"/>
  <c r="A2227"/>
  <c r="A2228"/>
  <c r="A2229"/>
  <c r="A2230"/>
  <c r="AW109" i="8" s="1"/>
  <c r="A2231" i="12"/>
  <c r="AW110" i="8" s="1"/>
  <c r="A2232" i="12"/>
  <c r="AW111" i="8" s="1"/>
  <c r="A2233" i="12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W394" i="8" s="1"/>
  <c r="A2305" i="12"/>
  <c r="AW395" i="8" s="1"/>
  <c r="A2306" i="12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W557" i="8" s="1"/>
  <c r="A2329" i="12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W885" i="8" s="1"/>
  <c r="A2343" i="12"/>
  <c r="AW20" i="8" s="1"/>
  <c r="A2344" i="12"/>
  <c r="AW19" i="8" s="1"/>
  <c r="A2345" i="12"/>
  <c r="A2346"/>
  <c r="A2347"/>
  <c r="A2348"/>
  <c r="A2349"/>
  <c r="A2350"/>
  <c r="A2351"/>
  <c r="A2352"/>
  <c r="A2353"/>
  <c r="A2354"/>
  <c r="A2355"/>
  <c r="A2356"/>
  <c r="A2357"/>
  <c r="AW47" i="8" s="1"/>
  <c r="A2358" i="12"/>
  <c r="AW48" i="8" s="1"/>
  <c r="A2359" i="12"/>
  <c r="A2360"/>
  <c r="A2361"/>
  <c r="A2362"/>
  <c r="A2363"/>
  <c r="A2364"/>
  <c r="A2365"/>
  <c r="A2366"/>
  <c r="A2367"/>
  <c r="A2368"/>
  <c r="AW205" i="8" s="1"/>
  <c r="A2369" i="12"/>
  <c r="AW206" i="8" s="1"/>
  <c r="A2370" i="12"/>
  <c r="AW204" i="8" s="1"/>
  <c r="A2371" i="12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W471" i="8" s="1"/>
  <c r="A2425" i="12"/>
  <c r="AW472" i="8" s="1"/>
  <c r="A2426" i="12"/>
  <c r="A2427"/>
  <c r="AW473" i="8" s="1"/>
  <c r="A2428" i="12"/>
  <c r="A2429"/>
  <c r="A2430"/>
  <c r="A2431"/>
  <c r="A2432"/>
  <c r="AW507" i="8" s="1"/>
  <c r="A2433" i="12"/>
  <c r="AW508" i="8" s="1"/>
  <c r="A2434" i="12"/>
  <c r="A2435"/>
  <c r="AW509" i="8" s="1"/>
  <c r="A2436" i="12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W585" i="8" s="1"/>
  <c r="A2458" i="12"/>
  <c r="AW586" i="8" s="1"/>
  <c r="A2459" i="12"/>
  <c r="AW587" i="8" s="1"/>
  <c r="A2460" i="12"/>
  <c r="AW588" i="8" s="1"/>
  <c r="A2461" i="12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W599" i="8" s="1"/>
  <c r="A2475" i="12"/>
  <c r="AW600" i="8" s="1"/>
  <c r="A2476" i="12"/>
  <c r="AW597" i="8" s="1"/>
  <c r="A2477" i="12"/>
  <c r="A2478"/>
  <c r="A2479"/>
  <c r="A2480"/>
  <c r="A2481"/>
  <c r="A2482"/>
  <c r="A2483"/>
  <c r="A2484"/>
  <c r="AW609" i="8" s="1"/>
  <c r="A2485" i="12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W810" i="8" s="1"/>
  <c r="A2505" i="12"/>
  <c r="AW811" i="8" s="1"/>
  <c r="A2506" i="12"/>
  <c r="A2507"/>
  <c r="A2508"/>
  <c r="A2509"/>
  <c r="A2510"/>
  <c r="AW863" i="8" s="1"/>
  <c r="A2511" i="12"/>
  <c r="AW864" i="8" s="1"/>
  <c r="A2512" i="12"/>
  <c r="A2513"/>
  <c r="A2514"/>
  <c r="A2515"/>
  <c r="A2516"/>
  <c r="AW30" i="8" s="1"/>
  <c r="A2517" i="12"/>
  <c r="AW29" i="8" s="1"/>
  <c r="A2518" i="12"/>
  <c r="AW31" i="8" s="1"/>
  <c r="A2519" i="12"/>
  <c r="AW32" i="8" s="1"/>
  <c r="A2520" i="12"/>
  <c r="AW36" i="8" s="1"/>
  <c r="A2521" i="12"/>
  <c r="AW35" i="8" s="1"/>
  <c r="A2522" i="12"/>
  <c r="AW38" i="8" s="1"/>
  <c r="A2523" i="12"/>
  <c r="AW37" i="8" s="1"/>
  <c r="A2524" i="12"/>
  <c r="AW39" i="8" s="1"/>
  <c r="A2525" i="12"/>
  <c r="AW40" i="8" s="1"/>
  <c r="A2526" i="12"/>
  <c r="AW42" i="8" s="1"/>
  <c r="A2527" i="12"/>
  <c r="AW41" i="8" s="1"/>
  <c r="A2528" i="12"/>
  <c r="AW44" i="8" s="1"/>
  <c r="A2529" i="12"/>
  <c r="AW43" i="8" s="1"/>
  <c r="A2530" i="12"/>
  <c r="AW45" i="8" s="1"/>
  <c r="A2531" i="12"/>
  <c r="AW46" i="8" s="1"/>
  <c r="A2532" i="12"/>
  <c r="AW62" i="8" s="1"/>
  <c r="A2533" i="12"/>
  <c r="AW63" i="8" s="1"/>
  <c r="A2534" i="12"/>
  <c r="AW83" i="8" s="1"/>
  <c r="A2535" i="12"/>
  <c r="AW84" i="8" s="1"/>
  <c r="A2536" i="12"/>
  <c r="A2537"/>
  <c r="AW66" i="8" s="1"/>
  <c r="A2538" i="12"/>
  <c r="AW67" i="8" s="1"/>
  <c r="A2539" i="12"/>
  <c r="AW65" i="8" s="1"/>
  <c r="A2540" i="12"/>
  <c r="AW99" i="8" s="1"/>
  <c r="A2541" i="12"/>
  <c r="AW98" i="8" s="1"/>
  <c r="A2542" i="12"/>
  <c r="AW71" i="8" s="1"/>
  <c r="A2543" i="12"/>
  <c r="AW70" i="8" s="1"/>
  <c r="A2544" i="12"/>
  <c r="AW72" i="8" s="1"/>
  <c r="A2545" i="12"/>
  <c r="AW174" i="8" s="1"/>
  <c r="A2546" i="12"/>
  <c r="AW175" i="8" s="1"/>
  <c r="A2547" i="12"/>
  <c r="AW224" i="8" s="1"/>
  <c r="A2548" i="12"/>
  <c r="AW225" i="8" s="1"/>
  <c r="A2549" i="12"/>
  <c r="AW227" i="8" s="1"/>
  <c r="A2550" i="12"/>
  <c r="AW226" i="8" s="1"/>
  <c r="A2551" i="12"/>
  <c r="AW273" i="8" s="1"/>
  <c r="A2552" i="12"/>
  <c r="AW272" i="8" s="1"/>
  <c r="A2553" i="12"/>
  <c r="AW274" i="8" s="1"/>
  <c r="A2554" i="12"/>
  <c r="AW297" i="8" s="1"/>
  <c r="A2555" i="12"/>
  <c r="AW298" i="8" s="1"/>
  <c r="A2556" i="12"/>
  <c r="AW296" i="8" s="1"/>
  <c r="A2557" i="12"/>
  <c r="AW344" i="8" s="1"/>
  <c r="A2558" i="12"/>
  <c r="AW345" i="8" s="1"/>
  <c r="A2559" i="12"/>
  <c r="AW343" i="8" s="1"/>
  <c r="A2560" i="12"/>
  <c r="AW358" i="8" s="1"/>
  <c r="A2561" i="12"/>
  <c r="AW359" i="8" s="1"/>
  <c r="A2562" i="12"/>
  <c r="AW360" i="8" s="1"/>
  <c r="A2563" i="12"/>
  <c r="AW397" i="8" s="1"/>
  <c r="A2564" i="12"/>
  <c r="AW396" i="8" s="1"/>
  <c r="A2565" i="12"/>
  <c r="AW398" i="8" s="1"/>
  <c r="A2566" i="12"/>
  <c r="AW409" i="8" s="1"/>
  <c r="A2567" i="12"/>
  <c r="AW408" i="8" s="1"/>
  <c r="A2568" i="12"/>
  <c r="AW410" i="8" s="1"/>
  <c r="A2569" i="12"/>
  <c r="AW420" i="8" s="1"/>
  <c r="A2570" i="12"/>
  <c r="AW421" i="8" s="1"/>
  <c r="A2571" i="12"/>
  <c r="AW422" i="8" s="1"/>
  <c r="A2572" i="12"/>
  <c r="AW423" i="8" s="1"/>
  <c r="A2573" i="12"/>
  <c r="AW424" i="8" s="1"/>
  <c r="A2574" i="12"/>
  <c r="AW425" i="8" s="1"/>
  <c r="A2575" i="12"/>
  <c r="AW426" i="8" s="1"/>
  <c r="A2576" i="12"/>
  <c r="AW427" i="8" s="1"/>
  <c r="A2577" i="12"/>
  <c r="AW428" i="8" s="1"/>
  <c r="A2578" i="12"/>
  <c r="AW429" i="8" s="1"/>
  <c r="A2579" i="12"/>
  <c r="AW436" i="8" s="1"/>
  <c r="A2580" i="12"/>
  <c r="AW437" i="8" s="1"/>
  <c r="A2581" i="12"/>
  <c r="AW438" i="8" s="1"/>
  <c r="A2582" i="12"/>
  <c r="AW451" i="8" s="1"/>
  <c r="A2583" i="12"/>
  <c r="AW452" i="8" s="1"/>
  <c r="A2584" i="12"/>
  <c r="AW453" i="8" s="1"/>
  <c r="A2585" i="12"/>
  <c r="AW478" i="8" s="1"/>
  <c r="A2586" i="12"/>
  <c r="AW479" i="8" s="1"/>
  <c r="A2587" i="12"/>
  <c r="AW477" i="8" s="1"/>
  <c r="A2588" i="12"/>
  <c r="AW502" i="8" s="1"/>
  <c r="A2589" i="12"/>
  <c r="AW503" i="8" s="1"/>
  <c r="A2590" i="12"/>
  <c r="AW501" i="8" s="1"/>
  <c r="A2591" i="12"/>
  <c r="AW517" i="8" s="1"/>
  <c r="A2592" i="12"/>
  <c r="AW518" i="8" s="1"/>
  <c r="A2593" i="12"/>
  <c r="AW519" i="8" s="1"/>
  <c r="A2594" i="12"/>
  <c r="AW516" i="8" s="1"/>
  <c r="A2595" i="12"/>
  <c r="AW544" i="8" s="1"/>
  <c r="A2596" i="12"/>
  <c r="AW545" i="8" s="1"/>
  <c r="A2597" i="12"/>
  <c r="AW546" i="8" s="1"/>
  <c r="A2598" i="12"/>
  <c r="AW553" i="8" s="1"/>
  <c r="A2599" i="12"/>
  <c r="AW554" i="8" s="1"/>
  <c r="A2600" i="12"/>
  <c r="AW555" i="8" s="1"/>
  <c r="A2601" i="12"/>
  <c r="AW594" i="8" s="1"/>
  <c r="A2602" i="12"/>
  <c r="AW595" i="8" s="1"/>
  <c r="A2603" i="12"/>
  <c r="AW593" i="8" s="1"/>
  <c r="A2604" i="12"/>
  <c r="AW596" i="8" s="1"/>
  <c r="A2605" i="12"/>
  <c r="AW630" i="8" s="1"/>
  <c r="A2606" i="12"/>
  <c r="AW631" i="8" s="1"/>
  <c r="A2607" i="12"/>
  <c r="AW632" i="8" s="1"/>
  <c r="A2608" i="12"/>
  <c r="AW633" i="8" s="1"/>
  <c r="A2609" i="12"/>
  <c r="AW629" i="8" s="1"/>
  <c r="A2610" i="12"/>
  <c r="AW654" i="8" s="1"/>
  <c r="A2611" i="12"/>
  <c r="AW655" i="8" s="1"/>
  <c r="A2612" i="12"/>
  <c r="AW653" i="8" s="1"/>
  <c r="A2613" i="12"/>
  <c r="AW656" i="8" s="1"/>
  <c r="A2614" i="12"/>
  <c r="AW668" i="8" s="1"/>
  <c r="A2615" i="12"/>
  <c r="AW669" i="8" s="1"/>
  <c r="A2616" i="12"/>
  <c r="AW670" i="8" s="1"/>
  <c r="A2617" i="12"/>
  <c r="AW667" i="8" s="1"/>
  <c r="A2618" i="12"/>
  <c r="AW751" i="8" s="1"/>
  <c r="A2619" i="12"/>
  <c r="AW752" i="8" s="1"/>
  <c r="A2620" i="12"/>
  <c r="AW753" i="8" s="1"/>
  <c r="A2621" i="12"/>
  <c r="AW754" i="8" s="1"/>
  <c r="A2622" i="12"/>
  <c r="AW785" i="8" s="1"/>
  <c r="A2623" i="12"/>
  <c r="AW786" i="8" s="1"/>
  <c r="A2624" i="12"/>
  <c r="AW787" i="8" s="1"/>
  <c r="A2625" i="12"/>
  <c r="AW791" i="8" s="1"/>
  <c r="A2626" i="12"/>
  <c r="AW792" i="8" s="1"/>
  <c r="A2627" i="12"/>
  <c r="AW794" i="8" s="1"/>
  <c r="A2628" i="12"/>
  <c r="AW793" i="8" s="1"/>
  <c r="A2629" i="12"/>
  <c r="AW817" i="8" s="1"/>
  <c r="A2630" i="12"/>
  <c r="AW818" i="8" s="1"/>
  <c r="A2631" i="12"/>
  <c r="AW819" i="8" s="1"/>
  <c r="A2632" i="12"/>
  <c r="AW816" i="8" s="1"/>
  <c r="A2633" i="12"/>
  <c r="AW821" i="8" s="1"/>
  <c r="A2634" i="12"/>
  <c r="AW822" i="8" s="1"/>
  <c r="A2635" i="12"/>
  <c r="AW820" i="8" s="1"/>
  <c r="A2636" i="12"/>
  <c r="AW825" i="8" s="1"/>
  <c r="A2637" i="12"/>
  <c r="AW826" i="8" s="1"/>
  <c r="A2638" i="12"/>
  <c r="AW824" i="8" s="1"/>
  <c r="A2639" i="12"/>
  <c r="AW836" i="8" s="1"/>
  <c r="A2640" i="12"/>
  <c r="AW837" i="8" s="1"/>
  <c r="A2641" i="12"/>
  <c r="AW838" i="8" s="1"/>
  <c r="A2642" i="12"/>
  <c r="AW883" i="8" s="1"/>
  <c r="A2643" i="12"/>
  <c r="AW884" i="8" s="1"/>
  <c r="A2644" i="12"/>
  <c r="AW888" i="8" s="1"/>
  <c r="A2645" i="12"/>
  <c r="AW889" i="8" s="1"/>
  <c r="A2646" i="12"/>
  <c r="AW890" i="8" s="1"/>
  <c r="A2647" i="12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BE12" i="8" l="1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AW925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6"/>
  <c r="A7"/>
  <c r="A8"/>
  <c r="A9"/>
  <c r="A10"/>
  <c r="A11"/>
  <c r="A12"/>
  <c r="AW823" i="8" s="1"/>
  <c r="A13" i="12"/>
  <c r="A14"/>
  <c r="A15"/>
  <c r="A16"/>
  <c r="A17"/>
  <c r="A18"/>
  <c r="AW931" i="8" s="1"/>
  <c r="A19" i="12"/>
  <c r="AW933" i="8" s="1"/>
  <c r="A20" i="12"/>
  <c r="AW929" i="8" s="1"/>
  <c r="A21" i="12"/>
  <c r="AW935" i="8" s="1"/>
  <c r="A22" i="12"/>
  <c r="A23"/>
  <c r="A24"/>
  <c r="A25"/>
  <c r="A26"/>
  <c r="A27"/>
  <c r="AW80" i="8" s="1"/>
  <c r="A28" i="12"/>
  <c r="AW81" i="8" s="1"/>
  <c r="A29" i="12"/>
  <c r="A30"/>
  <c r="A31"/>
  <c r="A32"/>
  <c r="A33"/>
  <c r="AW85" i="8" s="1"/>
  <c r="A34" i="12"/>
  <c r="AW87" i="8" s="1"/>
  <c r="A35" i="12"/>
  <c r="AW88" i="8" s="1"/>
  <c r="A36" i="12"/>
  <c r="A37"/>
  <c r="AW89" i="8" s="1"/>
  <c r="A38" i="12"/>
  <c r="A39"/>
  <c r="AW90" i="8" s="1"/>
  <c r="A40" i="12"/>
  <c r="A41"/>
  <c r="A42"/>
  <c r="A43"/>
  <c r="A44"/>
  <c r="AW91" i="8" s="1"/>
  <c r="A45" i="12"/>
  <c r="AW92" i="8" s="1"/>
  <c r="A46" i="12"/>
  <c r="A47"/>
  <c r="A48"/>
  <c r="AW95" i="8" s="1"/>
  <c r="A49" i="12"/>
  <c r="A50"/>
  <c r="A51"/>
  <c r="A52"/>
  <c r="A53"/>
  <c r="A54"/>
  <c r="A55"/>
  <c r="A56"/>
  <c r="A57"/>
  <c r="AW96" i="8" s="1"/>
  <c r="A58" i="12"/>
  <c r="AW97" i="8" s="1"/>
  <c r="A59" i="12"/>
  <c r="A60"/>
  <c r="A61"/>
  <c r="A62"/>
  <c r="A63"/>
  <c r="A64"/>
  <c r="AW102" i="8" s="1"/>
  <c r="A65" i="12"/>
  <c r="A66"/>
  <c r="A67"/>
  <c r="A68"/>
  <c r="AW104" i="8" s="1"/>
  <c r="A69" i="12"/>
  <c r="A70"/>
  <c r="AW105" i="8" s="1"/>
  <c r="A71" i="12"/>
  <c r="AW106" i="8" s="1"/>
  <c r="A72" i="12"/>
  <c r="A73"/>
  <c r="A74"/>
  <c r="AW107" i="8" s="1"/>
  <c r="A75" i="12"/>
  <c r="A76"/>
  <c r="A77"/>
  <c r="A78"/>
  <c r="A79"/>
  <c r="AW108" i="8" s="1"/>
  <c r="A80" i="12"/>
  <c r="A81"/>
  <c r="A82"/>
  <c r="AW115" i="8" s="1"/>
  <c r="A83" i="12"/>
  <c r="AW122" i="8" s="1"/>
  <c r="A84" i="12"/>
  <c r="AW123" i="8" s="1"/>
  <c r="A85" i="12"/>
  <c r="AW129" i="8" s="1"/>
  <c r="A86" i="12"/>
  <c r="AW130" i="8" s="1"/>
  <c r="A87" i="12"/>
  <c r="A88"/>
  <c r="A89"/>
  <c r="A90"/>
  <c r="A91"/>
  <c r="AW176" i="8" s="1"/>
  <c r="A92" i="12"/>
  <c r="A93"/>
  <c r="A94"/>
  <c r="A95"/>
  <c r="A96"/>
  <c r="A97"/>
  <c r="A98"/>
  <c r="A99"/>
  <c r="A100"/>
  <c r="A101"/>
  <c r="A102"/>
  <c r="A103"/>
  <c r="AW218" i="8" s="1"/>
  <c r="A104" i="12"/>
  <c r="A105"/>
  <c r="A106"/>
  <c r="A107"/>
  <c r="A108"/>
  <c r="AW223" i="8" s="1"/>
  <c r="A109" i="12"/>
  <c r="A110"/>
  <c r="A111"/>
  <c r="A112"/>
  <c r="AW244" i="8" s="1"/>
  <c r="A113" i="12"/>
  <c r="AW247" i="8" s="1"/>
  <c r="A114" i="12"/>
  <c r="AW61" i="8" s="1"/>
  <c r="A115" i="12"/>
  <c r="AW839" i="8" s="1"/>
  <c r="A116" i="12"/>
  <c r="A117"/>
  <c r="A118"/>
  <c r="A119"/>
  <c r="A120"/>
  <c r="A121"/>
  <c r="AW840" i="8" s="1"/>
  <c r="A122" i="12"/>
  <c r="AW841" i="8" s="1"/>
  <c r="A123" i="12"/>
  <c r="AW842" i="8" s="1"/>
  <c r="A124" i="12"/>
  <c r="AW843" i="8" s="1"/>
  <c r="A125" i="12"/>
  <c r="A126"/>
  <c r="A127"/>
  <c r="A128"/>
  <c r="A129"/>
  <c r="A130"/>
  <c r="A131"/>
  <c r="A132"/>
  <c r="A133"/>
  <c r="A134"/>
  <c r="AW798" i="8" s="1"/>
  <c r="A135" i="12"/>
  <c r="A136"/>
  <c r="A137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W893" i="8" s="1"/>
  <c r="A156" i="12"/>
  <c r="A157"/>
  <c r="A158"/>
  <c r="A159"/>
  <c r="AW908" i="8" s="1"/>
  <c r="A160" i="12"/>
  <c r="A161"/>
  <c r="A162"/>
  <c r="AW909" i="8" s="1"/>
  <c r="A163" i="12"/>
  <c r="A164"/>
  <c r="A165"/>
  <c r="A166"/>
  <c r="A167"/>
  <c r="A168"/>
  <c r="A169"/>
  <c r="AW910" i="8" s="1"/>
  <c r="A170" i="12"/>
  <c r="A171"/>
  <c r="A172"/>
  <c r="A173"/>
  <c r="A174"/>
  <c r="A175"/>
  <c r="A176"/>
  <c r="A177"/>
  <c r="D4" i="10"/>
  <c r="BH6" i="8"/>
  <c r="AE6"/>
  <c r="AP6"/>
  <c r="AR6"/>
  <c r="AT6" s="1"/>
  <c r="A4" i="12"/>
  <c r="C4" i="10"/>
  <c r="AW6" i="8"/>
  <c r="BF45" l="1"/>
  <c r="BG45" s="1"/>
  <c r="BF56"/>
  <c r="BG56" s="1"/>
  <c r="BF61"/>
  <c r="BG61" s="1"/>
  <c r="BF64"/>
  <c r="BG64" s="1"/>
  <c r="BF26"/>
  <c r="BG26" s="1"/>
  <c r="BF41"/>
  <c r="BG41" s="1"/>
  <c r="BF54"/>
  <c r="BG54" s="1"/>
  <c r="BF12"/>
  <c r="BG12" s="1"/>
  <c r="BF53"/>
  <c r="BG53" s="1"/>
  <c r="BF8"/>
  <c r="BG8" s="1"/>
  <c r="BF31"/>
  <c r="BG31" s="1"/>
  <c r="BF43"/>
  <c r="BG43" s="1"/>
  <c r="BF60"/>
  <c r="BG60" s="1"/>
  <c r="BF18"/>
  <c r="BG18" s="1"/>
  <c r="BF63"/>
  <c r="BG63" s="1"/>
  <c r="BF16"/>
  <c r="BG16" s="1"/>
  <c r="BF17"/>
  <c r="BG17" s="1"/>
  <c r="BF39"/>
  <c r="BG39" s="1"/>
  <c r="BF52"/>
  <c r="BG52" s="1"/>
  <c r="BF22"/>
  <c r="BG22" s="1"/>
  <c r="BF25"/>
  <c r="BG25" s="1"/>
  <c r="BF28"/>
  <c r="BG28" s="1"/>
  <c r="BF13"/>
  <c r="BG13" s="1"/>
  <c r="BF49"/>
  <c r="BG49" s="1"/>
  <c r="BF62"/>
  <c r="BG62" s="1"/>
  <c r="BF14"/>
  <c r="BG14" s="1"/>
  <c r="BF27"/>
  <c r="BG27" s="1"/>
  <c r="BF29"/>
  <c r="BG29" s="1"/>
  <c r="BF34"/>
  <c r="BG34" s="1"/>
  <c r="BF23"/>
  <c r="BG23" s="1"/>
  <c r="BF57"/>
  <c r="BG57" s="1"/>
  <c r="BF24"/>
  <c r="BG24" s="1"/>
  <c r="BF32"/>
  <c r="BG32" s="1"/>
  <c r="BF10"/>
  <c r="BG10" s="1"/>
  <c r="BF37"/>
  <c r="BG37" s="1"/>
  <c r="BF42"/>
  <c r="BG42" s="1"/>
  <c r="BF35"/>
  <c r="BG35" s="1"/>
  <c r="BF11"/>
  <c r="BG11" s="1"/>
  <c r="BF9"/>
  <c r="BG9" s="1"/>
  <c r="BF30"/>
  <c r="BG30" s="1"/>
  <c r="BF40"/>
  <c r="BG40" s="1"/>
  <c r="BF19"/>
  <c r="BG19" s="1"/>
  <c r="BF44"/>
  <c r="BG44" s="1"/>
  <c r="BF50"/>
  <c r="BG50" s="1"/>
  <c r="BF46"/>
  <c r="BG46" s="1"/>
  <c r="BF15"/>
  <c r="BG15" s="1"/>
  <c r="BF20"/>
  <c r="BG20" s="1"/>
  <c r="BF38"/>
  <c r="BG38" s="1"/>
  <c r="BF51"/>
  <c r="BG51" s="1"/>
  <c r="BF36"/>
  <c r="BG36" s="1"/>
  <c r="BF48"/>
  <c r="BG48" s="1"/>
  <c r="BF59"/>
  <c r="BG59" s="1"/>
  <c r="BF55"/>
  <c r="BG55" s="1"/>
  <c r="BF21"/>
  <c r="BG21" s="1"/>
  <c r="BF33"/>
  <c r="BG33" s="1"/>
  <c r="BF47"/>
  <c r="BG47" s="1"/>
  <c r="BF58"/>
  <c r="BG58" s="1"/>
  <c r="BF7"/>
  <c r="BG7" s="1"/>
  <c r="BE6"/>
  <c r="AO6"/>
  <c r="AS6" s="1"/>
  <c r="C1" i="10"/>
  <c r="AV26" i="8" l="1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BB127" s="1"/>
  <c r="AO127"/>
  <c r="AS127" s="1"/>
  <c r="BE127"/>
  <c r="BF127" s="1"/>
  <c r="BG127" s="1"/>
  <c r="AH128"/>
  <c r="AV126"/>
  <c r="AV127" l="1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BB150" s="1"/>
  <c r="AH151"/>
  <c r="AO150"/>
  <c r="AS150" s="1"/>
  <c r="BE150"/>
  <c r="BF150" s="1"/>
  <c r="BG150" s="1"/>
  <c r="AV149"/>
  <c r="AO151" l="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BB163" s="1"/>
  <c r="AH164"/>
  <c r="AO163"/>
  <c r="AS163" s="1"/>
  <c r="BE163"/>
  <c r="BF163" s="1"/>
  <c r="BG163" s="1"/>
  <c r="AV162"/>
  <c r="AH165" l="1"/>
  <c r="AO164"/>
  <c r="AS164" s="1"/>
  <c r="BE164"/>
  <c r="BF164" s="1"/>
  <c r="BG164" s="1"/>
  <c r="AV163"/>
  <c r="BB164" l="1"/>
  <c r="BB165" s="1"/>
  <c r="AV164"/>
  <c r="AH166"/>
  <c r="AO165"/>
  <c r="AS165" s="1"/>
  <c r="BE165"/>
  <c r="BF165" s="1"/>
  <c r="BG165" s="1"/>
  <c r="AV165" l="1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BB175" s="1"/>
  <c r="AO175"/>
  <c r="AS175" s="1"/>
  <c r="AH176"/>
  <c r="BE175"/>
  <c r="BF175" s="1"/>
  <c r="BG175" s="1"/>
  <c r="AO176" l="1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BB220" s="1"/>
  <c r="AH221"/>
  <c r="AO220"/>
  <c r="AS220" s="1"/>
  <c r="BE220"/>
  <c r="BF220" s="1"/>
  <c r="BG220" s="1"/>
  <c r="AH222" l="1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BB245" s="1"/>
  <c r="AH246"/>
  <c r="AO245"/>
  <c r="AS245" s="1"/>
  <c r="BE245"/>
  <c r="BF245" s="1"/>
  <c r="BG245" s="1"/>
  <c r="AV244"/>
  <c r="AH247" l="1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BB304" s="1"/>
  <c r="AV303"/>
  <c r="AO304"/>
  <c r="AS304" s="1"/>
  <c r="AH305"/>
  <c r="BE304"/>
  <c r="BF304" s="1"/>
  <c r="BG304" s="1"/>
  <c r="AV304" l="1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BB347" s="1"/>
  <c r="AH348"/>
  <c r="AO347"/>
  <c r="AS347" s="1"/>
  <c r="BE347"/>
  <c r="BF347" s="1"/>
  <c r="BG347" s="1"/>
  <c r="AV346"/>
  <c r="AH349" l="1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BB351" s="1"/>
  <c r="AO351"/>
  <c r="AS351" s="1"/>
  <c r="BE351"/>
  <c r="BF351" s="1"/>
  <c r="BG351" s="1"/>
  <c r="AH352"/>
  <c r="AV350"/>
  <c r="AV351" l="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BB371" s="1"/>
  <c r="AH372"/>
  <c r="AO371"/>
  <c r="AS371" s="1"/>
  <c r="BE371"/>
  <c r="BF371" s="1"/>
  <c r="BG371" s="1"/>
  <c r="AV370"/>
  <c r="AH373" l="1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BB374" s="1"/>
  <c r="AH375"/>
  <c r="AO374"/>
  <c r="AS374" s="1"/>
  <c r="BE374"/>
  <c r="BF374" s="1"/>
  <c r="BG374" s="1"/>
  <c r="AV373"/>
  <c r="AO375" l="1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BB381" s="1"/>
  <c r="AH382"/>
  <c r="AO381"/>
  <c r="AS381" s="1"/>
  <c r="BE381"/>
  <c r="BF381" s="1"/>
  <c r="BG381" s="1"/>
  <c r="AV380"/>
  <c r="AH383" l="1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BB429" s="1"/>
  <c r="AH430"/>
  <c r="AO429"/>
  <c r="AS429" s="1"/>
  <c r="BE429"/>
  <c r="BF429" s="1"/>
  <c r="BG429" s="1"/>
  <c r="AV428"/>
  <c r="AH431" l="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BB435" s="1"/>
  <c r="AV434"/>
  <c r="AH437" l="1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BB445" s="1"/>
  <c r="AH446"/>
  <c r="AO445"/>
  <c r="AS445" s="1"/>
  <c r="BE445"/>
  <c r="BF445" s="1"/>
  <c r="BG445" s="1"/>
  <c r="AV444"/>
  <c r="AH447" l="1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BB452" s="1"/>
  <c r="AH453"/>
  <c r="AO452"/>
  <c r="AS452" s="1"/>
  <c r="BE452"/>
  <c r="BF452" s="1"/>
  <c r="BG452" s="1"/>
  <c r="AV451"/>
  <c r="AH454" l="1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BB463" s="1"/>
  <c r="AO463"/>
  <c r="AS463" s="1"/>
  <c r="AH464"/>
  <c r="BE463"/>
  <c r="BF463" s="1"/>
  <c r="BG463" s="1"/>
  <c r="AV462"/>
  <c r="AV463" l="1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BB530" s="1"/>
  <c r="AH531"/>
  <c r="BE530"/>
  <c r="BF530" s="1"/>
  <c r="BG530" s="1"/>
  <c r="AO530"/>
  <c r="AS530" s="1"/>
  <c r="AV530" l="1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BB538" s="1"/>
  <c r="AH539"/>
  <c r="AO538"/>
  <c r="AS538" s="1"/>
  <c r="BE538"/>
  <c r="BF538" s="1"/>
  <c r="BG538" s="1"/>
  <c r="AH540" l="1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BB636" s="1"/>
  <c r="AH637"/>
  <c r="AO636"/>
  <c r="AS636" s="1"/>
  <c r="BE636"/>
  <c r="BF636" s="1"/>
  <c r="BG636" s="1"/>
  <c r="AV635"/>
  <c r="AH638" l="1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BB651" s="1"/>
  <c r="AH652"/>
  <c r="AO651"/>
  <c r="AS651" s="1"/>
  <c r="BE651"/>
  <c r="BF651" s="1"/>
  <c r="BG651" s="1"/>
  <c r="AH653" l="1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BB716" s="1"/>
  <c r="AH717"/>
  <c r="AO716"/>
  <c r="AS716" s="1"/>
  <c r="BE716"/>
  <c r="BF716" s="1"/>
  <c r="BG716" s="1"/>
  <c r="AV715"/>
  <c r="AH718" l="1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BB859" s="1"/>
  <c r="AO859"/>
  <c r="AS859" s="1"/>
  <c r="BE859"/>
  <c r="BF859" s="1"/>
  <c r="BG859" s="1"/>
  <c r="AH860"/>
  <c r="AH861" l="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B866" s="1"/>
  <c r="BE866"/>
  <c r="BF866" s="1"/>
  <c r="BG866" s="1"/>
  <c r="AH867"/>
  <c r="AO866"/>
  <c r="AS866" s="1"/>
  <c r="AV865"/>
  <c r="AO867" l="1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BB870" s="1"/>
  <c r="AH871"/>
  <c r="AO870"/>
  <c r="AS870" s="1"/>
  <c r="BE870"/>
  <c r="BF870" s="1"/>
  <c r="BG870" s="1"/>
  <c r="AV869"/>
  <c r="AH872" l="1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BB888" s="1"/>
  <c r="AO888"/>
  <c r="AS888" s="1"/>
  <c r="AH889"/>
  <c r="BE888"/>
  <c r="BF888" s="1"/>
  <c r="BG888" s="1"/>
  <c r="AV887"/>
  <c r="AV888" l="1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H909"/>
  <c r="AO908"/>
  <c r="AS908" s="1"/>
  <c r="BE908"/>
  <c r="BF908" s="1"/>
  <c r="BG908" s="1"/>
  <c r="AH910" l="1"/>
  <c r="AO909"/>
  <c r="AS909" s="1"/>
  <c r="BE909"/>
  <c r="BF909" s="1"/>
  <c r="BG909" s="1"/>
  <c r="BB908"/>
  <c r="AV908"/>
  <c r="BB909" l="1"/>
  <c r="AH911"/>
  <c r="AO910"/>
  <c r="AS910" s="1"/>
  <c r="BE910"/>
  <c r="BF910" s="1"/>
  <c r="BG910" s="1"/>
  <c r="AV909"/>
  <c r="BB910" l="1"/>
  <c r="AH912"/>
  <c r="AO911"/>
  <c r="AS911" s="1"/>
  <c r="BE911"/>
  <c r="BF911" s="1"/>
  <c r="BG911" s="1"/>
  <c r="AV910"/>
  <c r="AO912" l="1"/>
  <c r="AS912" s="1"/>
  <c r="AH913"/>
  <c r="BE912"/>
  <c r="BF912" s="1"/>
  <c r="BG912" s="1"/>
  <c r="BB911"/>
  <c r="AV912" l="1"/>
  <c r="AH914"/>
  <c r="AO913"/>
  <c r="AS913" s="1"/>
  <c r="BE913"/>
  <c r="BF913" s="1"/>
  <c r="BG913" s="1"/>
  <c r="BB912"/>
  <c r="AH915" l="1"/>
  <c r="AO914"/>
  <c r="AS914" s="1"/>
  <c r="BE914"/>
  <c r="BF914" s="1"/>
  <c r="BG914" s="1"/>
  <c r="BB913"/>
  <c r="BB914" s="1"/>
  <c r="AO915" l="1"/>
  <c r="AS915" s="1"/>
  <c r="BE915"/>
  <c r="BF915" s="1"/>
  <c r="BG915" s="1"/>
  <c r="AH916"/>
  <c r="AV914"/>
  <c r="BB915" l="1"/>
  <c r="AV915"/>
  <c r="AH917"/>
  <c r="AO916"/>
  <c r="AS916" s="1"/>
  <c r="BE916"/>
  <c r="BF916" s="1"/>
  <c r="BG916" s="1"/>
  <c r="AH918" l="1"/>
  <c r="AO917"/>
  <c r="AS917" s="1"/>
  <c r="BE917"/>
  <c r="BF917" s="1"/>
  <c r="BG917" s="1"/>
  <c r="AV916"/>
  <c r="BB916"/>
  <c r="BB917" l="1"/>
  <c r="AH919"/>
  <c r="BE918"/>
  <c r="BF918" s="1"/>
  <c r="BG918" s="1"/>
  <c r="AO918"/>
  <c r="AS918" s="1"/>
  <c r="AV917"/>
  <c r="BB918" l="1"/>
  <c r="AH920"/>
  <c r="AO919"/>
  <c r="AS919" s="1"/>
  <c r="BE919"/>
  <c r="AV918"/>
  <c r="BF919" l="1"/>
  <c r="BG919" s="1"/>
  <c r="BB919"/>
  <c r="AO920"/>
  <c r="AS920" s="1"/>
  <c r="AH921"/>
  <c r="BE920"/>
  <c r="AV919"/>
  <c r="BF920" l="1"/>
  <c r="BG920" s="1"/>
  <c r="BB920"/>
  <c r="AV920"/>
  <c r="AH922"/>
  <c r="AO921"/>
  <c r="AS921" s="1"/>
  <c r="BE921"/>
  <c r="BF921" s="1"/>
  <c r="BG921" s="1"/>
  <c r="AH923" l="1"/>
  <c r="AO922"/>
  <c r="AS922" s="1"/>
  <c r="BE922"/>
  <c r="BF922" s="1"/>
  <c r="BG922" s="1"/>
  <c r="AV921"/>
  <c r="BB921"/>
  <c r="BB922" l="1"/>
  <c r="AO923"/>
  <c r="AS923" s="1"/>
  <c r="AH924"/>
  <c r="BE923"/>
  <c r="BF923" s="1"/>
  <c r="BG923" s="1"/>
  <c r="AV922"/>
  <c r="BB923" l="1"/>
  <c r="AV923"/>
  <c r="BE924"/>
  <c r="BF924" s="1"/>
  <c r="BG924" s="1"/>
  <c r="AH925"/>
  <c r="AO924"/>
  <c r="AS924" s="1"/>
  <c r="AV924" l="1"/>
  <c r="AH926"/>
  <c r="AO925"/>
  <c r="AS925" s="1"/>
  <c r="BE925"/>
  <c r="BF925" s="1"/>
  <c r="BG925" s="1"/>
  <c r="BB924"/>
  <c r="BB925" l="1"/>
  <c r="AH927"/>
  <c r="AO926"/>
  <c r="AS926" s="1"/>
  <c r="BE926"/>
  <c r="BF926" s="1"/>
  <c r="BG926" s="1"/>
  <c r="AV925"/>
  <c r="BB926" l="1"/>
  <c r="AH928"/>
  <c r="BE928" s="1"/>
  <c r="AO927"/>
  <c r="AS927" s="1"/>
  <c r="BE927"/>
  <c r="BF927" s="1"/>
  <c r="BG927" s="1"/>
  <c r="AO928" l="1"/>
  <c r="AS928" s="1"/>
  <c r="BF928"/>
  <c r="BG928" s="1"/>
  <c r="AH929"/>
  <c r="AV927"/>
  <c r="BB927"/>
  <c r="BB928" l="1"/>
  <c r="AH930"/>
  <c r="BE929"/>
  <c r="BF929" s="1"/>
  <c r="BG929" s="1"/>
  <c r="AO929"/>
  <c r="AS929" s="1"/>
  <c r="BB929" l="1"/>
  <c r="AV929"/>
  <c r="AH931"/>
  <c r="BE930"/>
  <c r="BF930" s="1"/>
  <c r="BG930" s="1"/>
  <c r="AO930"/>
  <c r="AS930" s="1"/>
  <c r="AO931" l="1"/>
  <c r="AS931" s="1"/>
  <c r="AH932"/>
  <c r="BE931"/>
  <c r="BF931" s="1"/>
  <c r="BG931" s="1"/>
  <c r="BB930"/>
  <c r="BB931" s="1"/>
  <c r="AV931" l="1"/>
  <c r="AH933"/>
  <c r="AO932"/>
  <c r="AS932" s="1"/>
  <c r="BE932"/>
  <c r="BF932" s="1"/>
  <c r="BG932" s="1"/>
  <c r="AH934" l="1"/>
  <c r="AO933"/>
  <c r="AS933" s="1"/>
  <c r="BE933"/>
  <c r="BF933" s="1"/>
  <c r="BG933" s="1"/>
  <c r="BB932"/>
  <c r="BB933" s="1"/>
  <c r="BE934" l="1"/>
  <c r="BF934" s="1"/>
  <c r="BG934" s="1"/>
  <c r="AH935"/>
  <c r="AO934"/>
  <c r="AS934" s="1"/>
  <c r="AV933"/>
  <c r="AH936" l="1"/>
  <c r="AO935"/>
  <c r="AS935" s="1"/>
  <c r="BE935"/>
  <c r="BF935" s="1"/>
  <c r="BG935" s="1"/>
  <c r="BB934"/>
  <c r="AO936" l="1"/>
  <c r="AS936" s="1"/>
  <c r="BE936"/>
  <c r="BF936" s="1"/>
  <c r="BG936" s="1"/>
  <c r="AH937"/>
  <c r="AV935"/>
  <c r="BB935"/>
  <c r="BB936" l="1"/>
  <c r="AH938"/>
  <c r="BE937"/>
  <c r="BF937" s="1"/>
  <c r="BG937" s="1"/>
  <c r="AO937"/>
  <c r="AS937" s="1"/>
  <c r="AH939" l="1"/>
  <c r="AO938"/>
  <c r="AS938" s="1"/>
  <c r="BE938"/>
  <c r="BF938" s="1"/>
  <c r="BG938" s="1"/>
  <c r="AV937"/>
  <c r="BB937"/>
  <c r="AO939" l="1"/>
  <c r="AS939" s="1"/>
  <c r="BE939"/>
  <c r="BF939" s="1"/>
  <c r="BG939" s="1"/>
  <c r="AH940"/>
  <c r="BB938"/>
  <c r="AV939" l="1"/>
  <c r="AH941"/>
  <c r="AO940"/>
  <c r="AS940" s="1"/>
  <c r="BE940"/>
  <c r="BF940" s="1"/>
  <c r="BG940" s="1"/>
  <c r="BB939"/>
  <c r="BI934" l="1"/>
  <c r="AZ939"/>
  <c r="AO941"/>
  <c r="AS941" s="1"/>
  <c r="BE941"/>
  <c r="BF941" s="1"/>
  <c r="BG941" s="1"/>
  <c r="AY937"/>
  <c r="BI933"/>
  <c r="BJ933" s="1"/>
  <c r="BL933" s="1"/>
  <c r="AY940"/>
  <c r="AZ940"/>
  <c r="BB940"/>
  <c r="BI940"/>
  <c r="AZ938"/>
  <c r="AY938"/>
  <c r="BI932"/>
  <c r="AY932"/>
  <c r="BI936"/>
  <c r="BJ936" s="1"/>
  <c r="BL936" s="1"/>
  <c r="AY934"/>
  <c r="AY936"/>
  <c r="AZ936"/>
  <c r="BI938"/>
  <c r="BI937"/>
  <c r="BJ937" s="1"/>
  <c r="BK937" s="1"/>
  <c r="AZ933" l="1"/>
  <c r="BI918"/>
  <c r="BI920"/>
  <c r="BI919"/>
  <c r="BI917"/>
  <c r="BJ917" s="1"/>
  <c r="BJ938"/>
  <c r="BL938" s="1"/>
  <c r="AY941"/>
  <c r="AV941"/>
  <c r="AZ941"/>
  <c r="BI34"/>
  <c r="AZ17"/>
  <c r="AZ28"/>
  <c r="AZ62"/>
  <c r="AY50"/>
  <c r="BI28"/>
  <c r="BJ28" s="1"/>
  <c r="BI49"/>
  <c r="BJ49" s="1"/>
  <c r="BI31"/>
  <c r="BJ31" s="1"/>
  <c r="AZ25"/>
  <c r="BI58"/>
  <c r="BJ58" s="1"/>
  <c r="BL58" s="1"/>
  <c r="BI6"/>
  <c r="BJ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J60" s="1"/>
  <c r="BL60" s="1"/>
  <c r="BI14"/>
  <c r="BJ14" s="1"/>
  <c r="BI55"/>
  <c r="AZ37"/>
  <c r="BK6"/>
  <c r="AZ33"/>
  <c r="BI52"/>
  <c r="BJ52" s="1"/>
  <c r="BI37"/>
  <c r="BJ37" s="1"/>
  <c r="AY27"/>
  <c r="AY11"/>
  <c r="BK28"/>
  <c r="AY16"/>
  <c r="BI21"/>
  <c r="BJ21" s="1"/>
  <c r="BI12"/>
  <c r="BJ12" s="1"/>
  <c r="AY41"/>
  <c r="BI29"/>
  <c r="BJ29" s="1"/>
  <c r="BI32"/>
  <c r="BJ32" s="1"/>
  <c r="BK32" s="1"/>
  <c r="AY22"/>
  <c r="BI45"/>
  <c r="BJ45" s="1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BJ9" s="1"/>
  <c r="BL9" s="1"/>
  <c r="AZ64"/>
  <c r="BI61"/>
  <c r="BJ61" s="1"/>
  <c r="BL61" s="1"/>
  <c r="BI42"/>
  <c r="BI38"/>
  <c r="BJ38" s="1"/>
  <c r="BL38" s="1"/>
  <c r="AY29"/>
  <c r="AY15"/>
  <c r="AY65"/>
  <c r="AY28"/>
  <c r="BI17"/>
  <c r="BJ17" s="1"/>
  <c r="BI22"/>
  <c r="BJ22" s="1"/>
  <c r="BL22" s="1"/>
  <c r="AZ16"/>
  <c r="BI25"/>
  <c r="BJ25" s="1"/>
  <c r="BK25" s="1"/>
  <c r="AY10"/>
  <c r="AY45"/>
  <c r="AY9"/>
  <c r="AY20"/>
  <c r="BI64"/>
  <c r="BJ64" s="1"/>
  <c r="BL64" s="1"/>
  <c r="AY30"/>
  <c r="AY51"/>
  <c r="BI50"/>
  <c r="BJ50" s="1"/>
  <c r="AZ52"/>
  <c r="BI51"/>
  <c r="AY26"/>
  <c r="BK14"/>
  <c r="AY39"/>
  <c r="AY57"/>
  <c r="BI53"/>
  <c r="AZ19"/>
  <c r="AY40"/>
  <c r="AY35"/>
  <c r="AZ42"/>
  <c r="AZ7"/>
  <c r="AZ13"/>
  <c r="AZ22"/>
  <c r="AY58"/>
  <c r="AZ26"/>
  <c r="BI8"/>
  <c r="BJ8" s="1"/>
  <c r="BK8" s="1"/>
  <c r="BI18"/>
  <c r="AZ14"/>
  <c r="AZ39"/>
  <c r="AZ29"/>
  <c r="AY56"/>
  <c r="AZ61"/>
  <c r="BI23"/>
  <c r="BJ23" s="1"/>
  <c r="BI39"/>
  <c r="BJ39" s="1"/>
  <c r="BI13"/>
  <c r="BJ13" s="1"/>
  <c r="AZ12"/>
  <c r="AZ21"/>
  <c r="AZ34"/>
  <c r="BI11"/>
  <c r="BJ11" s="1"/>
  <c r="AY61"/>
  <c r="BI19"/>
  <c r="BJ19" s="1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BJ57" s="1"/>
  <c r="BL57" s="1"/>
  <c r="AZ9"/>
  <c r="BI36"/>
  <c r="AY34"/>
  <c r="AZ45"/>
  <c r="BI41"/>
  <c r="BJ41" s="1"/>
  <c r="AZ18"/>
  <c r="BI27"/>
  <c r="BJ27" s="1"/>
  <c r="BK27" s="1"/>
  <c r="AZ46"/>
  <c r="AZ23"/>
  <c r="AZ47"/>
  <c r="AZ31"/>
  <c r="AY33"/>
  <c r="AZ32"/>
  <c r="AY32"/>
  <c r="AZ58"/>
  <c r="AZ11"/>
  <c r="AY44"/>
  <c r="AY19"/>
  <c r="AZ6"/>
  <c r="BI7"/>
  <c r="BJ7" s="1"/>
  <c r="BI10"/>
  <c r="BJ10" s="1"/>
  <c r="AZ59"/>
  <c r="AZ15"/>
  <c r="AZ41"/>
  <c r="BI15"/>
  <c r="BJ15" s="1"/>
  <c r="BI59"/>
  <c r="BJ59" s="1"/>
  <c r="BL59" s="1"/>
  <c r="AY6"/>
  <c r="AZ53"/>
  <c r="AZ27"/>
  <c r="AZ54"/>
  <c r="BK61"/>
  <c r="AZ40"/>
  <c r="BI48"/>
  <c r="BJ48" s="1"/>
  <c r="BL48" s="1"/>
  <c r="BI43"/>
  <c r="BJ43" s="1"/>
  <c r="AY18"/>
  <c r="AY43"/>
  <c r="AZ56"/>
  <c r="AY37"/>
  <c r="AZ57"/>
  <c r="AY46"/>
  <c r="BK48"/>
  <c r="BK58"/>
  <c r="AY67"/>
  <c r="BK13"/>
  <c r="BI67"/>
  <c r="AZ67"/>
  <c r="BK38"/>
  <c r="AZ66"/>
  <c r="BK64"/>
  <c r="AY71"/>
  <c r="BI68"/>
  <c r="BJ68" s="1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BJ73" s="1"/>
  <c r="AY72"/>
  <c r="AY74"/>
  <c r="BI72"/>
  <c r="AZ75"/>
  <c r="BI75"/>
  <c r="BJ75" s="1"/>
  <c r="AY75"/>
  <c r="AY76"/>
  <c r="BI77"/>
  <c r="BI76"/>
  <c r="BI79"/>
  <c r="AZ76"/>
  <c r="AY77"/>
  <c r="AZ79"/>
  <c r="AY78"/>
  <c r="AZ78"/>
  <c r="AZ77"/>
  <c r="AY79"/>
  <c r="AZ81"/>
  <c r="AZ80"/>
  <c r="AY80"/>
  <c r="BI80"/>
  <c r="BJ80" s="1"/>
  <c r="BK80" s="1"/>
  <c r="BI78"/>
  <c r="BJ78" s="1"/>
  <c r="BI84"/>
  <c r="AZ82"/>
  <c r="AY81"/>
  <c r="AY82"/>
  <c r="BI81"/>
  <c r="BJ81" s="1"/>
  <c r="BK81" s="1"/>
  <c r="BI83"/>
  <c r="BJ83" s="1"/>
  <c r="AY83"/>
  <c r="BI82"/>
  <c r="BJ82" s="1"/>
  <c r="BK82" s="1"/>
  <c r="AY86"/>
  <c r="AZ83"/>
  <c r="AZ84"/>
  <c r="AY84"/>
  <c r="AY85"/>
  <c r="AZ86"/>
  <c r="BI86"/>
  <c r="BJ86" s="1"/>
  <c r="AZ85"/>
  <c r="BI87"/>
  <c r="BJ87" s="1"/>
  <c r="AZ87"/>
  <c r="AY87"/>
  <c r="BI85"/>
  <c r="BJ85" s="1"/>
  <c r="AZ88"/>
  <c r="AY88"/>
  <c r="AZ89"/>
  <c r="BI88"/>
  <c r="BJ88" s="1"/>
  <c r="BK88" s="1"/>
  <c r="BI89"/>
  <c r="BJ89" s="1"/>
  <c r="BK89" s="1"/>
  <c r="BI90"/>
  <c r="BJ90" s="1"/>
  <c r="AY89"/>
  <c r="AY90"/>
  <c r="AZ90"/>
  <c r="AZ91"/>
  <c r="BI91"/>
  <c r="BJ91" s="1"/>
  <c r="BK91" s="1"/>
  <c r="BI92"/>
  <c r="BJ92" s="1"/>
  <c r="BK92" s="1"/>
  <c r="AY92"/>
  <c r="AY94"/>
  <c r="AZ92"/>
  <c r="AY91"/>
  <c r="AZ93"/>
  <c r="BI93"/>
  <c r="BJ93" s="1"/>
  <c r="BI94"/>
  <c r="AZ94"/>
  <c r="AY96"/>
  <c r="AY93"/>
  <c r="AY95"/>
  <c r="BI95"/>
  <c r="BJ95" s="1"/>
  <c r="AZ95"/>
  <c r="AZ96"/>
  <c r="AY98"/>
  <c r="AZ98"/>
  <c r="AZ97"/>
  <c r="AY97"/>
  <c r="BI98"/>
  <c r="BJ98" s="1"/>
  <c r="BI96"/>
  <c r="BJ96" s="1"/>
  <c r="BI97"/>
  <c r="BJ97" s="1"/>
  <c r="AY99"/>
  <c r="AZ102"/>
  <c r="BI101"/>
  <c r="AY101"/>
  <c r="AZ99"/>
  <c r="BI99"/>
  <c r="BI100"/>
  <c r="BJ100" s="1"/>
  <c r="AY100"/>
  <c r="AZ100"/>
  <c r="BI102"/>
  <c r="BJ102" s="1"/>
  <c r="BK102" s="1"/>
  <c r="AZ101"/>
  <c r="AZ104"/>
  <c r="AZ103"/>
  <c r="AY102"/>
  <c r="AY104"/>
  <c r="AY103"/>
  <c r="BI103"/>
  <c r="BJ103" s="1"/>
  <c r="BI105"/>
  <c r="BJ105" s="1"/>
  <c r="BK105" s="1"/>
  <c r="BI107"/>
  <c r="BJ107" s="1"/>
  <c r="BK107" s="1"/>
  <c r="BI104"/>
  <c r="BJ104" s="1"/>
  <c r="BK104" s="1"/>
  <c r="AY105"/>
  <c r="AZ105"/>
  <c r="AY106"/>
  <c r="AY107"/>
  <c r="BI106"/>
  <c r="BJ106" s="1"/>
  <c r="BK106" s="1"/>
  <c r="AZ106"/>
  <c r="BI109"/>
  <c r="BJ109" s="1"/>
  <c r="AZ107"/>
  <c r="AZ109"/>
  <c r="BI110"/>
  <c r="AY109"/>
  <c r="BI108"/>
  <c r="BJ108" s="1"/>
  <c r="AY108"/>
  <c r="AZ108"/>
  <c r="AY111"/>
  <c r="AZ110"/>
  <c r="AY110"/>
  <c r="BI113"/>
  <c r="AZ111"/>
  <c r="BI111"/>
  <c r="AY112"/>
  <c r="BI112"/>
  <c r="BJ112" s="1"/>
  <c r="BI114"/>
  <c r="AZ112"/>
  <c r="AY113"/>
  <c r="AZ114"/>
  <c r="AZ113"/>
  <c r="AY114"/>
  <c r="BI115"/>
  <c r="BJ115" s="1"/>
  <c r="AZ115"/>
  <c r="AY115"/>
  <c r="AZ117"/>
  <c r="BI116"/>
  <c r="BJ116" s="1"/>
  <c r="BI118"/>
  <c r="BJ118" s="1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BJ124" s="1"/>
  <c r="AY121"/>
  <c r="AZ123"/>
  <c r="BI125"/>
  <c r="AZ122"/>
  <c r="BI122"/>
  <c r="BJ122" s="1"/>
  <c r="BK122" s="1"/>
  <c r="BI123"/>
  <c r="BJ123" s="1"/>
  <c r="BK123" s="1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BJ129" s="1"/>
  <c r="BK129" s="1"/>
  <c r="AZ130"/>
  <c r="BI131"/>
  <c r="BJ131" s="1"/>
  <c r="AZ131"/>
  <c r="AY132"/>
  <c r="AY131"/>
  <c r="AZ132"/>
  <c r="AY133"/>
  <c r="BI134"/>
  <c r="AZ135"/>
  <c r="AZ133"/>
  <c r="AY136"/>
  <c r="AZ136"/>
  <c r="BI133"/>
  <c r="BJ133" s="1"/>
  <c r="BI136"/>
  <c r="BJ136" s="1"/>
  <c r="BI137"/>
  <c r="AY134"/>
  <c r="AZ134"/>
  <c r="AY135"/>
  <c r="BI135"/>
  <c r="BI139"/>
  <c r="AY137"/>
  <c r="AY139"/>
  <c r="AZ137"/>
  <c r="AZ138"/>
  <c r="AZ139"/>
  <c r="BI138"/>
  <c r="AY138"/>
  <c r="BI141"/>
  <c r="BJ141" s="1"/>
  <c r="BI140"/>
  <c r="AZ141"/>
  <c r="AZ140"/>
  <c r="AY140"/>
  <c r="AZ143"/>
  <c r="AY143"/>
  <c r="AY141"/>
  <c r="BI142"/>
  <c r="AY144"/>
  <c r="BI143"/>
  <c r="BJ143" s="1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BJ147" s="1"/>
  <c r="AY147"/>
  <c r="AZ149"/>
  <c r="BI149"/>
  <c r="AZ151"/>
  <c r="AY149"/>
  <c r="AY151"/>
  <c r="AZ150"/>
  <c r="AY150"/>
  <c r="BI150"/>
  <c r="BJ150" s="1"/>
  <c r="BI154"/>
  <c r="AY152"/>
  <c r="BI152"/>
  <c r="AY153"/>
  <c r="BI153"/>
  <c r="BJ153" s="1"/>
  <c r="AZ154"/>
  <c r="AY154"/>
  <c r="AZ153"/>
  <c r="AZ155"/>
  <c r="AZ152"/>
  <c r="AY156"/>
  <c r="BI156"/>
  <c r="AY159"/>
  <c r="BI155"/>
  <c r="AZ156"/>
  <c r="AY155"/>
  <c r="AZ158"/>
  <c r="BI158"/>
  <c r="BI157"/>
  <c r="BJ157" s="1"/>
  <c r="AY157"/>
  <c r="AZ157"/>
  <c r="AY158"/>
  <c r="BI160"/>
  <c r="BI159"/>
  <c r="BJ159" s="1"/>
  <c r="AZ159"/>
  <c r="AY160"/>
  <c r="AZ160"/>
  <c r="AY161"/>
  <c r="AZ162"/>
  <c r="BI164"/>
  <c r="BI161"/>
  <c r="BJ161" s="1"/>
  <c r="AZ161"/>
  <c r="BI163"/>
  <c r="BJ163" s="1"/>
  <c r="AY163"/>
  <c r="AZ164"/>
  <c r="BI165"/>
  <c r="BJ165" s="1"/>
  <c r="BI162"/>
  <c r="AY162"/>
  <c r="AZ163"/>
  <c r="AZ165"/>
  <c r="AY164"/>
  <c r="AY166"/>
  <c r="BI167"/>
  <c r="BJ167" s="1"/>
  <c r="AZ167"/>
  <c r="AY165"/>
  <c r="BI168"/>
  <c r="AZ166"/>
  <c r="BI166"/>
  <c r="AY168"/>
  <c r="AZ168"/>
  <c r="AZ169"/>
  <c r="BI171"/>
  <c r="BJ171" s="1"/>
  <c r="BI169"/>
  <c r="BJ169" s="1"/>
  <c r="AZ170"/>
  <c r="AY169"/>
  <c r="AY167"/>
  <c r="AZ172"/>
  <c r="AY170"/>
  <c r="BI170"/>
  <c r="AY172"/>
  <c r="AY171"/>
  <c r="BI172"/>
  <c r="AZ171"/>
  <c r="BI174"/>
  <c r="BJ174" s="1"/>
  <c r="AZ174"/>
  <c r="BI173"/>
  <c r="AZ173"/>
  <c r="AY174"/>
  <c r="AY173"/>
  <c r="AZ177"/>
  <c r="AZ176"/>
  <c r="AZ175"/>
  <c r="BI176"/>
  <c r="BJ176" s="1"/>
  <c r="BK176" s="1"/>
  <c r="AY175"/>
  <c r="BI175"/>
  <c r="AY178"/>
  <c r="AZ180"/>
  <c r="AY177"/>
  <c r="AY176"/>
  <c r="AZ178"/>
  <c r="BI177"/>
  <c r="BJ177" s="1"/>
  <c r="BI180"/>
  <c r="BI178"/>
  <c r="BI179"/>
  <c r="BJ179" s="1"/>
  <c r="AY180"/>
  <c r="AZ183"/>
  <c r="AY179"/>
  <c r="AY181"/>
  <c r="AZ179"/>
  <c r="AZ181"/>
  <c r="BI182"/>
  <c r="BJ182" s="1"/>
  <c r="BI181"/>
  <c r="AZ182"/>
  <c r="BI183"/>
  <c r="AY183"/>
  <c r="AY184"/>
  <c r="AY182"/>
  <c r="AZ184"/>
  <c r="AZ185"/>
  <c r="BI186"/>
  <c r="BJ186" s="1"/>
  <c r="BI184"/>
  <c r="AY185"/>
  <c r="AZ187"/>
  <c r="BI185"/>
  <c r="AY186"/>
  <c r="BI187"/>
  <c r="AZ188"/>
  <c r="AY187"/>
  <c r="AZ186"/>
  <c r="AY188"/>
  <c r="BI192"/>
  <c r="BJ192" s="1"/>
  <c r="AY190"/>
  <c r="BI188"/>
  <c r="AZ190"/>
  <c r="AZ189"/>
  <c r="AZ191"/>
  <c r="BI189"/>
  <c r="BJ189" s="1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BJ196" s="1"/>
  <c r="AZ197"/>
  <c r="AY197"/>
  <c r="AZ196"/>
  <c r="AY196"/>
  <c r="AY199"/>
  <c r="AZ199"/>
  <c r="AY198"/>
  <c r="BI198"/>
  <c r="AZ198"/>
  <c r="BI199"/>
  <c r="AZ200"/>
  <c r="BI200"/>
  <c r="BJ200" s="1"/>
  <c r="AY200"/>
  <c r="AZ203"/>
  <c r="AZ201"/>
  <c r="BI201"/>
  <c r="AZ202"/>
  <c r="AY203"/>
  <c r="AY201"/>
  <c r="BI203"/>
  <c r="AY202"/>
  <c r="AY205"/>
  <c r="BI202"/>
  <c r="AZ204"/>
  <c r="AZ207"/>
  <c r="AY204"/>
  <c r="BI204"/>
  <c r="BJ204" s="1"/>
  <c r="AZ205"/>
  <c r="BI205"/>
  <c r="AY207"/>
  <c r="AZ206"/>
  <c r="AY206"/>
  <c r="BI206"/>
  <c r="BI207"/>
  <c r="BJ207" s="1"/>
  <c r="BI208"/>
  <c r="AZ208"/>
  <c r="AY208"/>
  <c r="AZ209"/>
  <c r="AY209"/>
  <c r="AZ210"/>
  <c r="BI213"/>
  <c r="BI209"/>
  <c r="BJ209" s="1"/>
  <c r="AY210"/>
  <c r="AZ211"/>
  <c r="AY211"/>
  <c r="AZ213"/>
  <c r="BI210"/>
  <c r="AZ214"/>
  <c r="AY213"/>
  <c r="AY212"/>
  <c r="BI215"/>
  <c r="BJ215" s="1"/>
  <c r="BI211"/>
  <c r="AY215"/>
  <c r="AZ212"/>
  <c r="BI212"/>
  <c r="BJ212" s="1"/>
  <c r="AZ215"/>
  <c r="AY216"/>
  <c r="AZ216"/>
  <c r="BI214"/>
  <c r="AY214"/>
  <c r="BI216"/>
  <c r="AY217"/>
  <c r="BI217"/>
  <c r="AZ217"/>
  <c r="AY219"/>
  <c r="AZ219"/>
  <c r="AZ218"/>
  <c r="BI219"/>
  <c r="BJ219" s="1"/>
  <c r="BI218"/>
  <c r="BJ218" s="1"/>
  <c r="BK218" s="1"/>
  <c r="AY218"/>
  <c r="BI220"/>
  <c r="AZ220"/>
  <c r="AY220"/>
  <c r="AZ221"/>
  <c r="AY221"/>
  <c r="AZ224"/>
  <c r="AZ222"/>
  <c r="BI221"/>
  <c r="BJ221" s="1"/>
  <c r="AY222"/>
  <c r="AZ223"/>
  <c r="BI222"/>
  <c r="BI223"/>
  <c r="BJ223" s="1"/>
  <c r="AY223"/>
  <c r="AY225"/>
  <c r="BI224"/>
  <c r="BJ224" s="1"/>
  <c r="BI225"/>
  <c r="AY224"/>
  <c r="AZ225"/>
  <c r="AZ227"/>
  <c r="AY226"/>
  <c r="AZ226"/>
  <c r="AY227"/>
  <c r="BI226"/>
  <c r="BJ226" s="1"/>
  <c r="BI227"/>
  <c r="BI228"/>
  <c r="BJ228" s="1"/>
  <c r="BI229"/>
  <c r="AZ228"/>
  <c r="AY228"/>
  <c r="AY229"/>
  <c r="AZ229"/>
  <c r="BI230"/>
  <c r="BJ230" s="1"/>
  <c r="BI231"/>
  <c r="AZ230"/>
  <c r="AY230"/>
  <c r="AZ231"/>
  <c r="AY231"/>
  <c r="AZ233"/>
  <c r="AY232"/>
  <c r="BI233"/>
  <c r="BI232"/>
  <c r="BJ232" s="1"/>
  <c r="AY233"/>
  <c r="AZ232"/>
  <c r="AY234"/>
  <c r="BI234"/>
  <c r="BJ234" s="1"/>
  <c r="AZ234"/>
  <c r="BI236"/>
  <c r="BJ236" s="1"/>
  <c r="BI235"/>
  <c r="AZ235"/>
  <c r="AZ236"/>
  <c r="AY235"/>
  <c r="AY236"/>
  <c r="BI238"/>
  <c r="BJ238" s="1"/>
  <c r="BI239"/>
  <c r="AY238"/>
  <c r="AZ237"/>
  <c r="AY237"/>
  <c r="BI237"/>
  <c r="AY239"/>
  <c r="AZ239"/>
  <c r="AZ238"/>
  <c r="AZ240"/>
  <c r="BI240"/>
  <c r="BJ240" s="1"/>
  <c r="AY240"/>
  <c r="AY241"/>
  <c r="AZ241"/>
  <c r="BI241"/>
  <c r="AY242"/>
  <c r="BI242"/>
  <c r="BJ242" s="1"/>
  <c r="AZ242"/>
  <c r="AZ243"/>
  <c r="AY243"/>
  <c r="BI243"/>
  <c r="AZ244"/>
  <c r="BI245"/>
  <c r="BJ245" s="1"/>
  <c r="AY244"/>
  <c r="BI244"/>
  <c r="BJ244" s="1"/>
  <c r="AY245"/>
  <c r="AZ245"/>
  <c r="BI249"/>
  <c r="AY246"/>
  <c r="AZ246"/>
  <c r="AY247"/>
  <c r="AZ247"/>
  <c r="BI247"/>
  <c r="BJ247" s="1"/>
  <c r="BI246"/>
  <c r="AZ248"/>
  <c r="AZ249"/>
  <c r="AY249"/>
  <c r="BI248"/>
  <c r="BJ248" s="1"/>
  <c r="AY248"/>
  <c r="AZ250"/>
  <c r="AY250"/>
  <c r="BI250"/>
  <c r="BI253"/>
  <c r="AZ253"/>
  <c r="AZ251"/>
  <c r="AZ256"/>
  <c r="BI254"/>
  <c r="BJ254" s="1"/>
  <c r="AY251"/>
  <c r="BI255"/>
  <c r="AZ255"/>
  <c r="BI252"/>
  <c r="BI251"/>
  <c r="BJ251" s="1"/>
  <c r="AY252"/>
  <c r="AY253"/>
  <c r="AY254"/>
  <c r="AY255"/>
  <c r="AZ252"/>
  <c r="AZ254"/>
  <c r="BI256"/>
  <c r="AY257"/>
  <c r="AY256"/>
  <c r="BI257"/>
  <c r="BJ257" s="1"/>
  <c r="AZ257"/>
  <c r="BI258"/>
  <c r="AY258"/>
  <c r="AZ261"/>
  <c r="AZ258"/>
  <c r="AY260"/>
  <c r="AY259"/>
  <c r="BI259"/>
  <c r="AZ259"/>
  <c r="BI260"/>
  <c r="BJ260" s="1"/>
  <c r="AZ260"/>
  <c r="BI261"/>
  <c r="AY262"/>
  <c r="BI262"/>
  <c r="AZ262"/>
  <c r="AY261"/>
  <c r="BI263"/>
  <c r="BJ263" s="1"/>
  <c r="AZ263"/>
  <c r="AY263"/>
  <c r="AY264"/>
  <c r="AZ264"/>
  <c r="BI264"/>
  <c r="AY265"/>
  <c r="BI265"/>
  <c r="AZ265"/>
  <c r="BI266"/>
  <c r="BJ266" s="1"/>
  <c r="AY266"/>
  <c r="AY267"/>
  <c r="AZ266"/>
  <c r="AZ267"/>
  <c r="BI267"/>
  <c r="AZ269"/>
  <c r="BI268"/>
  <c r="AY268"/>
  <c r="BI272"/>
  <c r="BJ272" s="1"/>
  <c r="AZ268"/>
  <c r="AY269"/>
  <c r="BI269"/>
  <c r="BJ269" s="1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BJ278" s="1"/>
  <c r="AZ277"/>
  <c r="BI279"/>
  <c r="BI277"/>
  <c r="AY279"/>
  <c r="BI276"/>
  <c r="AZ278"/>
  <c r="AY278"/>
  <c r="BI280"/>
  <c r="AY280"/>
  <c r="AZ280"/>
  <c r="AZ281"/>
  <c r="BI281"/>
  <c r="BJ281" s="1"/>
  <c r="AY281"/>
  <c r="BI285"/>
  <c r="BI283"/>
  <c r="AZ283"/>
  <c r="AZ282"/>
  <c r="AY282"/>
  <c r="BI282"/>
  <c r="AY283"/>
  <c r="AY284"/>
  <c r="BI284"/>
  <c r="BJ284" s="1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BJ290" s="1"/>
  <c r="AY290"/>
  <c r="AZ290"/>
  <c r="BI291"/>
  <c r="AZ291"/>
  <c r="AY291"/>
  <c r="AY292"/>
  <c r="AZ292"/>
  <c r="BI292"/>
  <c r="BI293"/>
  <c r="BJ293" s="1"/>
  <c r="AZ294"/>
  <c r="BI295"/>
  <c r="AZ296"/>
  <c r="BI294"/>
  <c r="AY293"/>
  <c r="AZ293"/>
  <c r="AZ295"/>
  <c r="AY294"/>
  <c r="AY295"/>
  <c r="BI296"/>
  <c r="BJ296" s="1"/>
  <c r="AY296"/>
  <c r="AY297"/>
  <c r="AZ297"/>
  <c r="BI297"/>
  <c r="BI298"/>
  <c r="AZ298"/>
  <c r="AY299"/>
  <c r="AY298"/>
  <c r="AZ299"/>
  <c r="AZ300"/>
  <c r="AY300"/>
  <c r="BI299"/>
  <c r="BJ299" s="1"/>
  <c r="BI302"/>
  <c r="BJ302" s="1"/>
  <c r="AZ302"/>
  <c r="AY304"/>
  <c r="BI301"/>
  <c r="BI300"/>
  <c r="BI303"/>
  <c r="AZ301"/>
  <c r="AY301"/>
  <c r="AY302"/>
  <c r="AZ304"/>
  <c r="BI304"/>
  <c r="AY305"/>
  <c r="AZ303"/>
  <c r="AY303"/>
  <c r="BI305"/>
  <c r="BJ305" s="1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BJ308" s="1"/>
  <c r="AZ310"/>
  <c r="AZ309"/>
  <c r="AY309"/>
  <c r="BI311"/>
  <c r="BJ311" s="1"/>
  <c r="AY312"/>
  <c r="BI313"/>
  <c r="AZ313"/>
  <c r="BI314"/>
  <c r="BJ314" s="1"/>
  <c r="AZ314"/>
  <c r="AY313"/>
  <c r="AY315"/>
  <c r="AY314"/>
  <c r="BI315"/>
  <c r="AZ316"/>
  <c r="AZ319"/>
  <c r="AZ315"/>
  <c r="AY316"/>
  <c r="BI316"/>
  <c r="BI317"/>
  <c r="BJ317" s="1"/>
  <c r="AY317"/>
  <c r="AY319"/>
  <c r="AZ317"/>
  <c r="BI320"/>
  <c r="BJ320" s="1"/>
  <c r="BI319"/>
  <c r="BI318"/>
  <c r="AY318"/>
  <c r="AZ318"/>
  <c r="AZ320"/>
  <c r="AY320"/>
  <c r="AY321"/>
  <c r="AZ321"/>
  <c r="BI321"/>
  <c r="AY322"/>
  <c r="BI322"/>
  <c r="AZ324"/>
  <c r="BI323"/>
  <c r="BJ323" s="1"/>
  <c r="BI324"/>
  <c r="AZ322"/>
  <c r="AY324"/>
  <c r="AZ323"/>
  <c r="AY323"/>
  <c r="AZ327"/>
  <c r="BI325"/>
  <c r="AY325"/>
  <c r="AY327"/>
  <c r="AZ325"/>
  <c r="AY326"/>
  <c r="BI326"/>
  <c r="BJ326" s="1"/>
  <c r="BI327"/>
  <c r="AZ326"/>
  <c r="AY328"/>
  <c r="BI328"/>
  <c r="AZ328"/>
  <c r="AY329"/>
  <c r="AZ329"/>
  <c r="BI329"/>
  <c r="BJ329" s="1"/>
  <c r="AZ330"/>
  <c r="AY330"/>
  <c r="AZ333"/>
  <c r="AZ331"/>
  <c r="AY331"/>
  <c r="AZ332"/>
  <c r="AZ335"/>
  <c r="BI330"/>
  <c r="BI331"/>
  <c r="BI334"/>
  <c r="AY333"/>
  <c r="AY332"/>
  <c r="BI332"/>
  <c r="BJ332" s="1"/>
  <c r="AY335"/>
  <c r="BI333"/>
  <c r="AY334"/>
  <c r="AZ334"/>
  <c r="BI335"/>
  <c r="BJ335" s="1"/>
  <c r="AY336"/>
  <c r="BI336"/>
  <c r="AZ336"/>
  <c r="BI338"/>
  <c r="BJ338" s="1"/>
  <c r="AY337"/>
  <c r="BI337"/>
  <c r="AZ337"/>
  <c r="AY338"/>
  <c r="AY339"/>
  <c r="AZ339"/>
  <c r="BI340"/>
  <c r="AZ338"/>
  <c r="BI339"/>
  <c r="AZ340"/>
  <c r="AZ343"/>
  <c r="AY340"/>
  <c r="AZ342"/>
  <c r="AY341"/>
  <c r="BI341"/>
  <c r="BJ341" s="1"/>
  <c r="AZ341"/>
  <c r="AY342"/>
  <c r="BI342"/>
  <c r="BI344"/>
  <c r="AY343"/>
  <c r="BI343"/>
  <c r="BJ343" s="1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J349" s="1"/>
  <c r="BI353"/>
  <c r="AZ350"/>
  <c r="AZ352"/>
  <c r="BI352"/>
  <c r="BJ352" s="1"/>
  <c r="AY352"/>
  <c r="AZ353"/>
  <c r="AY353"/>
  <c r="AZ354"/>
  <c r="AY354"/>
  <c r="BI354"/>
  <c r="BI355"/>
  <c r="BJ355" s="1"/>
  <c r="BI356"/>
  <c r="AY355"/>
  <c r="BI357"/>
  <c r="AY356"/>
  <c r="AZ355"/>
  <c r="AZ356"/>
  <c r="AY357"/>
  <c r="AY358"/>
  <c r="AZ361"/>
  <c r="AZ360"/>
  <c r="AZ357"/>
  <c r="BI359"/>
  <c r="BI358"/>
  <c r="BJ358" s="1"/>
  <c r="AZ358"/>
  <c r="AY361"/>
  <c r="AY360"/>
  <c r="AY359"/>
  <c r="AZ359"/>
  <c r="BI360"/>
  <c r="AY362"/>
  <c r="BI362"/>
  <c r="AZ362"/>
  <c r="BI361"/>
  <c r="BJ361" s="1"/>
  <c r="AY363"/>
  <c r="AZ363"/>
  <c r="BI363"/>
  <c r="AY365"/>
  <c r="BI364"/>
  <c r="BJ364" s="1"/>
  <c r="BI365"/>
  <c r="AY364"/>
  <c r="AZ364"/>
  <c r="AZ365"/>
  <c r="AY366"/>
  <c r="BI367"/>
  <c r="AY367"/>
  <c r="AZ367"/>
  <c r="BI366"/>
  <c r="AZ366"/>
  <c r="AY369"/>
  <c r="AY368"/>
  <c r="AZ368"/>
  <c r="BI368"/>
  <c r="BJ368" s="1"/>
  <c r="BI369"/>
  <c r="AZ369"/>
  <c r="AY370"/>
  <c r="AZ370"/>
  <c r="BI370"/>
  <c r="AY371"/>
  <c r="BI371"/>
  <c r="BJ371" s="1"/>
  <c r="AZ371"/>
  <c r="AZ373"/>
  <c r="AZ372"/>
  <c r="BI372"/>
  <c r="AY372"/>
  <c r="BI373"/>
  <c r="AY373"/>
  <c r="AZ374"/>
  <c r="AY375"/>
  <c r="AZ375"/>
  <c r="BI375"/>
  <c r="AY374"/>
  <c r="BI374"/>
  <c r="BJ374" s="1"/>
  <c r="AZ377"/>
  <c r="BI376"/>
  <c r="BI377"/>
  <c r="BJ377" s="1"/>
  <c r="AZ376"/>
  <c r="AY376"/>
  <c r="AY379"/>
  <c r="AY377"/>
  <c r="AZ381"/>
  <c r="AZ383"/>
  <c r="BI379"/>
  <c r="AZ378"/>
  <c r="BI378"/>
  <c r="AZ380"/>
  <c r="AZ379"/>
  <c r="AY378"/>
  <c r="BI382"/>
  <c r="BI380"/>
  <c r="BJ380" s="1"/>
  <c r="BI381"/>
  <c r="BI385"/>
  <c r="AY380"/>
  <c r="AY381"/>
  <c r="AY382"/>
  <c r="AZ382"/>
  <c r="AY383"/>
  <c r="BI383"/>
  <c r="BI384"/>
  <c r="BJ384" s="1"/>
  <c r="AZ384"/>
  <c r="AZ385"/>
  <c r="AY384"/>
  <c r="AY386"/>
  <c r="BI387"/>
  <c r="BJ387" s="1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BJ393" s="1"/>
  <c r="AY392"/>
  <c r="BI392"/>
  <c r="AZ393"/>
  <c r="BI394"/>
  <c r="AY393"/>
  <c r="AZ394"/>
  <c r="BI396"/>
  <c r="BJ396" s="1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J399" s="1"/>
  <c r="BI401"/>
  <c r="AZ401"/>
  <c r="AY401"/>
  <c r="BI402"/>
  <c r="BJ402" s="1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J408" s="1"/>
  <c r="BI409"/>
  <c r="AZ408"/>
  <c r="AZ409"/>
  <c r="AY408"/>
  <c r="AY410"/>
  <c r="AZ410"/>
  <c r="AY409"/>
  <c r="AY411"/>
  <c r="AY415"/>
  <c r="BI410"/>
  <c r="AZ412"/>
  <c r="AZ411"/>
  <c r="BI412"/>
  <c r="AY412"/>
  <c r="BI411"/>
  <c r="BJ411" s="1"/>
  <c r="BI414"/>
  <c r="BJ414" s="1"/>
  <c r="BI413"/>
  <c r="AY413"/>
  <c r="AY414"/>
  <c r="AZ415"/>
  <c r="AZ413"/>
  <c r="BI415"/>
  <c r="AZ414"/>
  <c r="AY416"/>
  <c r="AZ416"/>
  <c r="BI416"/>
  <c r="AZ417"/>
  <c r="AZ418"/>
  <c r="BI417"/>
  <c r="BJ417" s="1"/>
  <c r="AZ419"/>
  <c r="BI419"/>
  <c r="AY417"/>
  <c r="AY418"/>
  <c r="BI418"/>
  <c r="AY423"/>
  <c r="BI421"/>
  <c r="BI420"/>
  <c r="BJ420" s="1"/>
  <c r="AY419"/>
  <c r="AY420"/>
  <c r="AZ420"/>
  <c r="AZ421"/>
  <c r="AY421"/>
  <c r="AY424"/>
  <c r="BI423"/>
  <c r="AZ422"/>
  <c r="AZ423"/>
  <c r="AY422"/>
  <c r="BI422"/>
  <c r="AZ424"/>
  <c r="BI424"/>
  <c r="BJ424" s="1"/>
  <c r="AY425"/>
  <c r="AZ425"/>
  <c r="BI425"/>
  <c r="AZ426"/>
  <c r="AY426"/>
  <c r="BI426"/>
  <c r="AZ431"/>
  <c r="AZ427"/>
  <c r="AY429"/>
  <c r="AY431"/>
  <c r="AZ429"/>
  <c r="BI427"/>
  <c r="BJ427" s="1"/>
  <c r="AY427"/>
  <c r="AZ432"/>
  <c r="AZ428"/>
  <c r="BI428"/>
  <c r="AY428"/>
  <c r="BI429"/>
  <c r="BI430"/>
  <c r="BJ430" s="1"/>
  <c r="AY430"/>
  <c r="BI433"/>
  <c r="BJ433" s="1"/>
  <c r="AZ430"/>
  <c r="BI431"/>
  <c r="AY433"/>
  <c r="AZ433"/>
  <c r="AY432"/>
  <c r="BI432"/>
  <c r="AZ436"/>
  <c r="BI438"/>
  <c r="AZ434"/>
  <c r="AY434"/>
  <c r="BI434"/>
  <c r="BI436"/>
  <c r="BJ436" s="1"/>
  <c r="BI435"/>
  <c r="AY435"/>
  <c r="AZ435"/>
  <c r="AY436"/>
  <c r="AY438"/>
  <c r="BI437"/>
  <c r="AZ437"/>
  <c r="AZ438"/>
  <c r="AZ439"/>
  <c r="BI439"/>
  <c r="BJ439" s="1"/>
  <c r="AY437"/>
  <c r="AY439"/>
  <c r="AY441"/>
  <c r="BI440"/>
  <c r="AZ441"/>
  <c r="AZ440"/>
  <c r="AY440"/>
  <c r="AY442"/>
  <c r="BI442"/>
  <c r="BJ442" s="1"/>
  <c r="AZ442"/>
  <c r="BI441"/>
  <c r="BI443"/>
  <c r="AZ447"/>
  <c r="BI446"/>
  <c r="AY444"/>
  <c r="AZ443"/>
  <c r="BI444"/>
  <c r="AY443"/>
  <c r="BI445"/>
  <c r="BJ445" s="1"/>
  <c r="AZ444"/>
  <c r="AY445"/>
  <c r="AZ446"/>
  <c r="AY447"/>
  <c r="AZ445"/>
  <c r="AY446"/>
  <c r="AZ449"/>
  <c r="BI447"/>
  <c r="AY448"/>
  <c r="AZ448"/>
  <c r="BI448"/>
  <c r="BJ448" s="1"/>
  <c r="BI449"/>
  <c r="AY449"/>
  <c r="AY450"/>
  <c r="BI451"/>
  <c r="BJ451" s="1"/>
  <c r="AZ451"/>
  <c r="AZ450"/>
  <c r="BI450"/>
  <c r="AY451"/>
  <c r="AY452"/>
  <c r="AZ453"/>
  <c r="BI452"/>
  <c r="AZ452"/>
  <c r="BI453"/>
  <c r="AY453"/>
  <c r="BI455"/>
  <c r="BJ455" s="1"/>
  <c r="BL455" s="1"/>
  <c r="AY454"/>
  <c r="AY455"/>
  <c r="AZ455"/>
  <c r="BI454"/>
  <c r="BJ454" s="1"/>
  <c r="AZ454"/>
  <c r="BI457"/>
  <c r="AZ457"/>
  <c r="AZ456"/>
  <c r="AY456"/>
  <c r="BI456"/>
  <c r="BJ456" s="1"/>
  <c r="AY457"/>
  <c r="BI461"/>
  <c r="AZ459"/>
  <c r="AY458"/>
  <c r="AZ458"/>
  <c r="BI459"/>
  <c r="BJ459" s="1"/>
  <c r="BI458"/>
  <c r="AY459"/>
  <c r="AZ460"/>
  <c r="BI460"/>
  <c r="AY460"/>
  <c r="AY461"/>
  <c r="AZ461"/>
  <c r="AZ462"/>
  <c r="BI463"/>
  <c r="AZ463"/>
  <c r="AY463"/>
  <c r="AY462"/>
  <c r="BI465"/>
  <c r="BJ465" s="1"/>
  <c r="BI462"/>
  <c r="BJ462" s="1"/>
  <c r="AZ464"/>
  <c r="BI464"/>
  <c r="AY464"/>
  <c r="AY465"/>
  <c r="AZ465"/>
  <c r="AY466"/>
  <c r="AY467"/>
  <c r="AZ466"/>
  <c r="BI469"/>
  <c r="BI466"/>
  <c r="AZ467"/>
  <c r="BI467"/>
  <c r="AZ468"/>
  <c r="BI468"/>
  <c r="BJ468" s="1"/>
  <c r="AY468"/>
  <c r="AY469"/>
  <c r="AZ469"/>
  <c r="AZ470"/>
  <c r="AY470"/>
  <c r="BI470"/>
  <c r="BI471"/>
  <c r="BJ471" s="1"/>
  <c r="AZ471"/>
  <c r="AY471"/>
  <c r="BI472"/>
  <c r="AY472"/>
  <c r="BI473"/>
  <c r="AZ472"/>
  <c r="AZ473"/>
  <c r="AY474"/>
  <c r="AZ474"/>
  <c r="AY473"/>
  <c r="BI474"/>
  <c r="BJ474" s="1"/>
  <c r="AZ479"/>
  <c r="BI475"/>
  <c r="AY476"/>
  <c r="AZ475"/>
  <c r="AY479"/>
  <c r="AY475"/>
  <c r="AZ477"/>
  <c r="AZ476"/>
  <c r="BI476"/>
  <c r="BI477"/>
  <c r="BJ477" s="1"/>
  <c r="AY478"/>
  <c r="AY477"/>
  <c r="AZ478"/>
  <c r="BI478"/>
  <c r="BI479"/>
  <c r="BI480"/>
  <c r="BJ480" s="1"/>
  <c r="AY480"/>
  <c r="AZ480"/>
  <c r="AZ481"/>
  <c r="AY481"/>
  <c r="BI481"/>
  <c r="BI482"/>
  <c r="AY482"/>
  <c r="BI483"/>
  <c r="BJ483" s="1"/>
  <c r="AY484"/>
  <c r="AY487"/>
  <c r="AZ482"/>
  <c r="AZ485"/>
  <c r="AY483"/>
  <c r="AZ484"/>
  <c r="AY485"/>
  <c r="AZ483"/>
  <c r="BI484"/>
  <c r="BI485"/>
  <c r="BI486"/>
  <c r="BJ486" s="1"/>
  <c r="AY486"/>
  <c r="AZ486"/>
  <c r="AZ487"/>
  <c r="BI487"/>
  <c r="BI488"/>
  <c r="AZ488"/>
  <c r="AY488"/>
  <c r="AY490"/>
  <c r="BI489"/>
  <c r="BJ489" s="1"/>
  <c r="AY489"/>
  <c r="BI490"/>
  <c r="AZ489"/>
  <c r="AZ493"/>
  <c r="AZ490"/>
  <c r="AY491"/>
  <c r="AZ491"/>
  <c r="BI492"/>
  <c r="BJ492" s="1"/>
  <c r="BI491"/>
  <c r="AZ496"/>
  <c r="BI493"/>
  <c r="AZ492"/>
  <c r="AY494"/>
  <c r="AY492"/>
  <c r="AZ494"/>
  <c r="AY493"/>
  <c r="BI494"/>
  <c r="AY495"/>
  <c r="BI496"/>
  <c r="AY496"/>
  <c r="AZ495"/>
  <c r="BI495"/>
  <c r="BJ495" s="1"/>
  <c r="AY497"/>
  <c r="AZ497"/>
  <c r="BI497"/>
  <c r="AY498"/>
  <c r="AZ498"/>
  <c r="BI499"/>
  <c r="AZ499"/>
  <c r="AZ500"/>
  <c r="BI498"/>
  <c r="BJ498" s="1"/>
  <c r="AY500"/>
  <c r="AY499"/>
  <c r="AZ501"/>
  <c r="BI501"/>
  <c r="BJ501" s="1"/>
  <c r="BI500"/>
  <c r="BI503"/>
  <c r="AY501"/>
  <c r="BI502"/>
  <c r="AY503"/>
  <c r="AZ503"/>
  <c r="AY502"/>
  <c r="BI504"/>
  <c r="BJ504" s="1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BJ507" s="1"/>
  <c r="AY511"/>
  <c r="BI510"/>
  <c r="BJ510" s="1"/>
  <c r="BI512"/>
  <c r="AY508"/>
  <c r="AZ510"/>
  <c r="AZ508"/>
  <c r="AY510"/>
  <c r="AZ512"/>
  <c r="AY512"/>
  <c r="BI511"/>
  <c r="AZ513"/>
  <c r="BI513"/>
  <c r="BJ513" s="1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BJ520" s="1"/>
  <c r="AY520"/>
  <c r="AY521"/>
  <c r="BI522"/>
  <c r="AY522"/>
  <c r="BI521"/>
  <c r="AZ522"/>
  <c r="BI523"/>
  <c r="BJ523" s="1"/>
  <c r="AY523"/>
  <c r="BI527"/>
  <c r="AZ523"/>
  <c r="AZ527"/>
  <c r="AY524"/>
  <c r="BI524"/>
  <c r="AY525"/>
  <c r="AZ524"/>
  <c r="BI525"/>
  <c r="BI526"/>
  <c r="BJ526" s="1"/>
  <c r="AZ525"/>
  <c r="AZ526"/>
  <c r="AY526"/>
  <c r="BI528"/>
  <c r="AZ529"/>
  <c r="BI529"/>
  <c r="BJ529" s="1"/>
  <c r="AY528"/>
  <c r="AY527"/>
  <c r="AZ528"/>
  <c r="AZ530"/>
  <c r="AY529"/>
  <c r="AY530"/>
  <c r="BI530"/>
  <c r="AZ531"/>
  <c r="BI531"/>
  <c r="BI533"/>
  <c r="AY531"/>
  <c r="BI535"/>
  <c r="BJ535" s="1"/>
  <c r="BI532"/>
  <c r="BJ532" s="1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J538" s="1"/>
  <c r="BI539"/>
  <c r="AZ540"/>
  <c r="BI540"/>
  <c r="AZ544"/>
  <c r="BI541"/>
  <c r="BJ541" s="1"/>
  <c r="AY540"/>
  <c r="AY541"/>
  <c r="AZ541"/>
  <c r="AY544"/>
  <c r="AZ542"/>
  <c r="AZ543"/>
  <c r="AY542"/>
  <c r="BI543"/>
  <c r="BI544"/>
  <c r="BJ544" s="1"/>
  <c r="BI542"/>
  <c r="AZ545"/>
  <c r="BI545"/>
  <c r="AY545"/>
  <c r="BI546"/>
  <c r="AY546"/>
  <c r="BI551"/>
  <c r="AY547"/>
  <c r="AZ546"/>
  <c r="BI547"/>
  <c r="BJ547" s="1"/>
  <c r="AY551"/>
  <c r="BI550"/>
  <c r="BJ550" s="1"/>
  <c r="AY548"/>
  <c r="AZ548"/>
  <c r="AZ547"/>
  <c r="AZ549"/>
  <c r="BI548"/>
  <c r="BI549"/>
  <c r="AY549"/>
  <c r="AZ550"/>
  <c r="AY550"/>
  <c r="AZ551"/>
  <c r="AZ552"/>
  <c r="BI552"/>
  <c r="AY552"/>
  <c r="BI553"/>
  <c r="BJ553" s="1"/>
  <c r="AY553"/>
  <c r="AZ553"/>
  <c r="BI554"/>
  <c r="AY554"/>
  <c r="AZ554"/>
  <c r="AY555"/>
  <c r="BI556"/>
  <c r="BJ556" s="1"/>
  <c r="AZ559"/>
  <c r="AY559"/>
  <c r="AZ556"/>
  <c r="BI555"/>
  <c r="AY557"/>
  <c r="AZ555"/>
  <c r="AZ557"/>
  <c r="AY556"/>
  <c r="BI557"/>
  <c r="BI558"/>
  <c r="AZ558"/>
  <c r="AY558"/>
  <c r="AZ561"/>
  <c r="BI559"/>
  <c r="BJ559" s="1"/>
  <c r="AY560"/>
  <c r="BI560"/>
  <c r="AZ560"/>
  <c r="AY561"/>
  <c r="BI561"/>
  <c r="BI563"/>
  <c r="AY562"/>
  <c r="AZ563"/>
  <c r="AY563"/>
  <c r="BI562"/>
  <c r="BJ562" s="1"/>
  <c r="AZ562"/>
  <c r="AZ564"/>
  <c r="BI564"/>
  <c r="BI565"/>
  <c r="BJ565" s="1"/>
  <c r="AY564"/>
  <c r="AY565"/>
  <c r="AZ565"/>
  <c r="AY566"/>
  <c r="BI566"/>
  <c r="AY567"/>
  <c r="BI567"/>
  <c r="BI569"/>
  <c r="AZ566"/>
  <c r="AZ567"/>
  <c r="AZ568"/>
  <c r="BI568"/>
  <c r="BJ568" s="1"/>
  <c r="AY568"/>
  <c r="AZ569"/>
  <c r="AY569"/>
  <c r="AZ573"/>
  <c r="BI570"/>
  <c r="BI571"/>
  <c r="BJ571" s="1"/>
  <c r="AZ570"/>
  <c r="BI572"/>
  <c r="AY571"/>
  <c r="AY570"/>
  <c r="AZ571"/>
  <c r="AZ576"/>
  <c r="AY573"/>
  <c r="AY572"/>
  <c r="AZ575"/>
  <c r="BI573"/>
  <c r="AY574"/>
  <c r="AZ572"/>
  <c r="AZ574"/>
  <c r="BI574"/>
  <c r="BJ574" s="1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BJ580" s="1"/>
  <c r="AY580"/>
  <c r="AZ581"/>
  <c r="BI581"/>
  <c r="AZ582"/>
  <c r="AY581"/>
  <c r="AY582"/>
  <c r="BI583"/>
  <c r="AZ584"/>
  <c r="AZ583"/>
  <c r="BI584"/>
  <c r="BJ584" s="1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BJ593" s="1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BJ601" s="1"/>
  <c r="AZ603"/>
  <c r="AZ604"/>
  <c r="BI604"/>
  <c r="BI603"/>
  <c r="AY603"/>
  <c r="AY604"/>
  <c r="BI605"/>
  <c r="AY605"/>
  <c r="AZ605"/>
  <c r="AY606"/>
  <c r="AZ606"/>
  <c r="BI606"/>
  <c r="BJ606" s="1"/>
  <c r="BI608"/>
  <c r="BI607"/>
  <c r="AZ608"/>
  <c r="AZ607"/>
  <c r="AY607"/>
  <c r="AY608"/>
  <c r="BI609"/>
  <c r="BJ609" s="1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BJ613" s="1"/>
  <c r="AY615"/>
  <c r="AZ614"/>
  <c r="BI614"/>
  <c r="AY614"/>
  <c r="BI616"/>
  <c r="BI615"/>
  <c r="AZ616"/>
  <c r="BI617"/>
  <c r="BI621"/>
  <c r="AZ617"/>
  <c r="AY617"/>
  <c r="BI619"/>
  <c r="AZ618"/>
  <c r="BI618"/>
  <c r="BJ618" s="1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BJ623" s="1"/>
  <c r="AY625"/>
  <c r="AY627"/>
  <c r="BI625"/>
  <c r="AZ625"/>
  <c r="BI629"/>
  <c r="BJ629" s="1"/>
  <c r="AY626"/>
  <c r="AZ626"/>
  <c r="BI627"/>
  <c r="BJ627" s="1"/>
  <c r="BL627" s="1"/>
  <c r="AY629"/>
  <c r="BI626"/>
  <c r="BJ626" s="1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BJ634" s="1"/>
  <c r="AY632"/>
  <c r="AZ634"/>
  <c r="AZ632"/>
  <c r="AY635"/>
  <c r="AZ635"/>
  <c r="BI635"/>
  <c r="BI637"/>
  <c r="AZ636"/>
  <c r="AZ637"/>
  <c r="AY636"/>
  <c r="BI636"/>
  <c r="AY637"/>
  <c r="AY640"/>
  <c r="AZ638"/>
  <c r="BI638"/>
  <c r="BJ638" s="1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BJ648" s="1"/>
  <c r="AY643"/>
  <c r="BI643"/>
  <c r="BJ643" s="1"/>
  <c r="AZ645"/>
  <c r="BI646"/>
  <c r="BI645"/>
  <c r="BI644"/>
  <c r="AZ646"/>
  <c r="AY647"/>
  <c r="AY645"/>
  <c r="AY648"/>
  <c r="BI647"/>
  <c r="AY646"/>
  <c r="AZ648"/>
  <c r="AY649"/>
  <c r="AZ650"/>
  <c r="BI649"/>
  <c r="BJ649" s="1"/>
  <c r="BL649" s="1"/>
  <c r="AZ649"/>
  <c r="AY650"/>
  <c r="BI650"/>
  <c r="AZ651"/>
  <c r="AY653"/>
  <c r="BI651"/>
  <c r="BI655"/>
  <c r="AY654"/>
  <c r="AY655"/>
  <c r="AY656"/>
  <c r="AZ653"/>
  <c r="AY651"/>
  <c r="BI652"/>
  <c r="AZ654"/>
  <c r="BI653"/>
  <c r="BJ653" s="1"/>
  <c r="AY652"/>
  <c r="AZ655"/>
  <c r="AZ652"/>
  <c r="BI654"/>
  <c r="BI657"/>
  <c r="BJ657" s="1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BJ662" s="1"/>
  <c r="AZ663"/>
  <c r="AY663"/>
  <c r="AZ662"/>
  <c r="BI663"/>
  <c r="AZ664"/>
  <c r="AZ665"/>
  <c r="BI664"/>
  <c r="AY664"/>
  <c r="BI665"/>
  <c r="AZ666"/>
  <c r="AY665"/>
  <c r="BI669"/>
  <c r="AZ667"/>
  <c r="AY667"/>
  <c r="BI667"/>
  <c r="BJ667" s="1"/>
  <c r="BI666"/>
  <c r="AY666"/>
  <c r="AZ671"/>
  <c r="BI668"/>
  <c r="AY668"/>
  <c r="AZ669"/>
  <c r="BI671"/>
  <c r="BJ671" s="1"/>
  <c r="AY671"/>
  <c r="AZ668"/>
  <c r="AY669"/>
  <c r="AY670"/>
  <c r="AZ672"/>
  <c r="BI670"/>
  <c r="AY672"/>
  <c r="AZ670"/>
  <c r="BI672"/>
  <c r="BI673"/>
  <c r="AY673"/>
  <c r="AY674"/>
  <c r="AZ673"/>
  <c r="BI676"/>
  <c r="BJ676" s="1"/>
  <c r="AZ675"/>
  <c r="BI675"/>
  <c r="BI674"/>
  <c r="AZ674"/>
  <c r="AZ680"/>
  <c r="AY675"/>
  <c r="BI677"/>
  <c r="AY676"/>
  <c r="AZ677"/>
  <c r="BI679"/>
  <c r="BJ679" s="1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J694" s="1"/>
  <c r="BI693"/>
  <c r="BI696"/>
  <c r="AZ694"/>
  <c r="AZ695"/>
  <c r="AY695"/>
  <c r="AY696"/>
  <c r="AZ697"/>
  <c r="BI697"/>
  <c r="AY697"/>
  <c r="AZ698"/>
  <c r="AY698"/>
  <c r="AZ700"/>
  <c r="AZ699"/>
  <c r="BI699"/>
  <c r="BJ699" s="1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BJ705" s="1"/>
  <c r="AY705"/>
  <c r="AY706"/>
  <c r="BI706"/>
  <c r="BI709"/>
  <c r="BJ709" s="1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BJ714" s="1"/>
  <c r="AY715"/>
  <c r="AZ715"/>
  <c r="AY717"/>
  <c r="BI716"/>
  <c r="AY716"/>
  <c r="BI717"/>
  <c r="AZ716"/>
  <c r="AY718"/>
  <c r="AZ719"/>
  <c r="BI721"/>
  <c r="BI719"/>
  <c r="BJ719" s="1"/>
  <c r="AY719"/>
  <c r="BI718"/>
  <c r="AZ718"/>
  <c r="AY721"/>
  <c r="AY720"/>
  <c r="BI720"/>
  <c r="BJ720" s="1"/>
  <c r="AZ720"/>
  <c r="AZ722"/>
  <c r="AZ721"/>
  <c r="BI722"/>
  <c r="BI723"/>
  <c r="AY722"/>
  <c r="AY723"/>
  <c r="AZ723"/>
  <c r="AZ724"/>
  <c r="AZ728"/>
  <c r="AZ726"/>
  <c r="AY725"/>
  <c r="AY724"/>
  <c r="BI724"/>
  <c r="BJ724" s="1"/>
  <c r="BI726"/>
  <c r="BI725"/>
  <c r="AZ725"/>
  <c r="AY726"/>
  <c r="AY727"/>
  <c r="AY728"/>
  <c r="BI727"/>
  <c r="AZ727"/>
  <c r="BI728"/>
  <c r="BJ728" s="1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BJ736" s="1"/>
  <c r="AY735"/>
  <c r="AZ735"/>
  <c r="AZ736"/>
  <c r="BI737"/>
  <c r="AZ738"/>
  <c r="AY737"/>
  <c r="BI738"/>
  <c r="BJ738" s="1"/>
  <c r="AZ737"/>
  <c r="AY738"/>
  <c r="AZ739"/>
  <c r="AY739"/>
  <c r="AY741"/>
  <c r="BI739"/>
  <c r="AZ740"/>
  <c r="AZ741"/>
  <c r="AY742"/>
  <c r="BI742"/>
  <c r="AY744"/>
  <c r="BI740"/>
  <c r="AY740"/>
  <c r="BI741"/>
  <c r="BJ741" s="1"/>
  <c r="BI743"/>
  <c r="AY743"/>
  <c r="BI744"/>
  <c r="AZ742"/>
  <c r="AZ743"/>
  <c r="AZ744"/>
  <c r="AZ745"/>
  <c r="AY745"/>
  <c r="BI745"/>
  <c r="AY747"/>
  <c r="AY746"/>
  <c r="AZ746"/>
  <c r="AZ747"/>
  <c r="BI747"/>
  <c r="BI746"/>
  <c r="BJ746" s="1"/>
  <c r="BI750"/>
  <c r="AZ748"/>
  <c r="BI748"/>
  <c r="AY750"/>
  <c r="BI752"/>
  <c r="AY749"/>
  <c r="AZ750"/>
  <c r="AY748"/>
  <c r="AZ749"/>
  <c r="BI751"/>
  <c r="BJ751" s="1"/>
  <c r="AY752"/>
  <c r="AZ751"/>
  <c r="BI749"/>
  <c r="AY751"/>
  <c r="AY753"/>
  <c r="AZ752"/>
  <c r="AZ753"/>
  <c r="BI754"/>
  <c r="BI755"/>
  <c r="BJ755" s="1"/>
  <c r="AZ755"/>
  <c r="AY755"/>
  <c r="AZ758"/>
  <c r="BI753"/>
  <c r="AY754"/>
  <c r="AZ754"/>
  <c r="BI756"/>
  <c r="BI757"/>
  <c r="AZ756"/>
  <c r="AY756"/>
  <c r="BI758"/>
  <c r="BI759"/>
  <c r="BJ759" s="1"/>
  <c r="AY757"/>
  <c r="AZ757"/>
  <c r="AY759"/>
  <c r="AY758"/>
  <c r="AZ759"/>
  <c r="BI760"/>
  <c r="AZ760"/>
  <c r="AY760"/>
  <c r="AY761"/>
  <c r="BI761"/>
  <c r="BI763"/>
  <c r="BJ763" s="1"/>
  <c r="AZ761"/>
  <c r="AZ762"/>
  <c r="AZ763"/>
  <c r="AY763"/>
  <c r="BI762"/>
  <c r="AY762"/>
  <c r="BI764"/>
  <c r="AZ765"/>
  <c r="AY765"/>
  <c r="AZ764"/>
  <c r="BI765"/>
  <c r="AZ766"/>
  <c r="BI766"/>
  <c r="BJ766" s="1"/>
  <c r="AY764"/>
  <c r="AZ767"/>
  <c r="BI767"/>
  <c r="AY766"/>
  <c r="BI768"/>
  <c r="AY767"/>
  <c r="BI770"/>
  <c r="AY768"/>
  <c r="AZ768"/>
  <c r="AY769"/>
  <c r="AZ769"/>
  <c r="AY771"/>
  <c r="BI769"/>
  <c r="BJ769" s="1"/>
  <c r="BI771"/>
  <c r="AZ771"/>
  <c r="AY770"/>
  <c r="AZ770"/>
  <c r="BI774"/>
  <c r="AZ772"/>
  <c r="BI772"/>
  <c r="BI773"/>
  <c r="AY773"/>
  <c r="AY772"/>
  <c r="AZ773"/>
  <c r="AZ776"/>
  <c r="BI776"/>
  <c r="BJ776" s="1"/>
  <c r="AZ775"/>
  <c r="AY774"/>
  <c r="AY775"/>
  <c r="BI775"/>
  <c r="AZ774"/>
  <c r="AY776"/>
  <c r="AZ777"/>
  <c r="BI777"/>
  <c r="AZ778"/>
  <c r="AY777"/>
  <c r="AY779"/>
  <c r="AY778"/>
  <c r="BI779"/>
  <c r="BJ779" s="1"/>
  <c r="AZ779"/>
  <c r="BI778"/>
  <c r="BI780"/>
  <c r="AZ780"/>
  <c r="AY780"/>
  <c r="AZ781"/>
  <c r="AY782"/>
  <c r="AY781"/>
  <c r="BI781"/>
  <c r="AZ782"/>
  <c r="BI782"/>
  <c r="BJ782" s="1"/>
  <c r="AZ784"/>
  <c r="AZ785"/>
  <c r="BI784"/>
  <c r="BI783"/>
  <c r="AZ783"/>
  <c r="AY784"/>
  <c r="AY783"/>
  <c r="AY785"/>
  <c r="AZ787"/>
  <c r="BI787"/>
  <c r="BI786"/>
  <c r="AZ786"/>
  <c r="AY786"/>
  <c r="BI785"/>
  <c r="BJ785" s="1"/>
  <c r="AY787"/>
  <c r="BI788"/>
  <c r="BJ788" s="1"/>
  <c r="AY788"/>
  <c r="AY790"/>
  <c r="BI790"/>
  <c r="AZ788"/>
  <c r="AZ790"/>
  <c r="AY789"/>
  <c r="AZ789"/>
  <c r="BI789"/>
  <c r="BJ789" s="1"/>
  <c r="BL789" s="1"/>
  <c r="BI794"/>
  <c r="AZ791"/>
  <c r="AY792"/>
  <c r="BI792"/>
  <c r="BI793"/>
  <c r="BJ793" s="1"/>
  <c r="AZ792"/>
  <c r="AY791"/>
  <c r="BI791"/>
  <c r="BJ791" s="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BJ798" s="1"/>
  <c r="BK798" s="1"/>
  <c r="AZ803"/>
  <c r="AZ799"/>
  <c r="AY799"/>
  <c r="BI799"/>
  <c r="BJ799" s="1"/>
  <c r="BI802"/>
  <c r="BJ802" s="1"/>
  <c r="BI801"/>
  <c r="AY801"/>
  <c r="AY803"/>
  <c r="BI803"/>
  <c r="AZ802"/>
  <c r="AY804"/>
  <c r="AY802"/>
  <c r="AZ804"/>
  <c r="AZ808"/>
  <c r="BI804"/>
  <c r="BJ804" s="1"/>
  <c r="BI807"/>
  <c r="BJ807" s="1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J810" s="1"/>
  <c r="BI811"/>
  <c r="BI814"/>
  <c r="AY812"/>
  <c r="AZ812"/>
  <c r="BI812"/>
  <c r="BJ812" s="1"/>
  <c r="AZ813"/>
  <c r="BI813"/>
  <c r="AZ814"/>
  <c r="AY813"/>
  <c r="AZ816"/>
  <c r="AY814"/>
  <c r="AY815"/>
  <c r="AY816"/>
  <c r="BI815"/>
  <c r="BI816"/>
  <c r="BJ816" s="1"/>
  <c r="AZ815"/>
  <c r="AZ819"/>
  <c r="AY817"/>
  <c r="AZ817"/>
  <c r="BI817"/>
  <c r="AY818"/>
  <c r="AY819"/>
  <c r="BI819"/>
  <c r="BI822"/>
  <c r="BI818"/>
  <c r="AZ818"/>
  <c r="AZ820"/>
  <c r="BI820"/>
  <c r="BJ820" s="1"/>
  <c r="AZ821"/>
  <c r="AZ822"/>
  <c r="BI821"/>
  <c r="AY821"/>
  <c r="AY820"/>
  <c r="AY822"/>
  <c r="BI824"/>
  <c r="BJ824" s="1"/>
  <c r="AZ823"/>
  <c r="AY823"/>
  <c r="AY824"/>
  <c r="AY826"/>
  <c r="BI826"/>
  <c r="AZ824"/>
  <c r="BI823"/>
  <c r="BJ823" s="1"/>
  <c r="AZ825"/>
  <c r="BI825"/>
  <c r="AY825"/>
  <c r="AZ826"/>
  <c r="BI828"/>
  <c r="BJ828" s="1"/>
  <c r="AZ828"/>
  <c r="BI827"/>
  <c r="BJ827" s="1"/>
  <c r="BK827" s="1"/>
  <c r="AY827"/>
  <c r="AZ827"/>
  <c r="AZ829"/>
  <c r="AY830"/>
  <c r="BI829"/>
  <c r="AY832"/>
  <c r="AY829"/>
  <c r="AY828"/>
  <c r="BI830"/>
  <c r="AZ830"/>
  <c r="AZ831"/>
  <c r="BI833"/>
  <c r="BI831"/>
  <c r="BJ831" s="1"/>
  <c r="AZ832"/>
  <c r="AY831"/>
  <c r="BI832"/>
  <c r="AY833"/>
  <c r="AZ833"/>
  <c r="BI834"/>
  <c r="BI835"/>
  <c r="AZ834"/>
  <c r="AY834"/>
  <c r="BI836"/>
  <c r="BJ836" s="1"/>
  <c r="AY836"/>
  <c r="BI837"/>
  <c r="AZ835"/>
  <c r="AY835"/>
  <c r="AZ836"/>
  <c r="AY837"/>
  <c r="BI838"/>
  <c r="AZ837"/>
  <c r="AY838"/>
  <c r="BI839"/>
  <c r="BJ839" s="1"/>
  <c r="AZ839"/>
  <c r="AZ838"/>
  <c r="AY840"/>
  <c r="AY839"/>
  <c r="AZ840"/>
  <c r="BI841"/>
  <c r="BJ841" s="1"/>
  <c r="BI840"/>
  <c r="BJ840" s="1"/>
  <c r="BK840" s="1"/>
  <c r="AY841"/>
  <c r="AZ841"/>
  <c r="AY843"/>
  <c r="AZ842"/>
  <c r="AY842"/>
  <c r="BI842"/>
  <c r="BJ842" s="1"/>
  <c r="AZ843"/>
  <c r="AZ844"/>
  <c r="AY845"/>
  <c r="BI843"/>
  <c r="BJ843" s="1"/>
  <c r="BK843" s="1"/>
  <c r="AY844"/>
  <c r="BI844"/>
  <c r="BJ844" s="1"/>
  <c r="BI845"/>
  <c r="BI846"/>
  <c r="BJ846" s="1"/>
  <c r="AZ845"/>
  <c r="BI847"/>
  <c r="BJ847" s="1"/>
  <c r="AY847"/>
  <c r="AY848"/>
  <c r="AY846"/>
  <c r="AZ848"/>
  <c r="AZ847"/>
  <c r="AZ846"/>
  <c r="BI848"/>
  <c r="AZ849"/>
  <c r="AY851"/>
  <c r="AY849"/>
  <c r="BI849"/>
  <c r="BJ849" s="1"/>
  <c r="BI852"/>
  <c r="AZ850"/>
  <c r="BI851"/>
  <c r="AY850"/>
  <c r="BI850"/>
  <c r="BJ850" s="1"/>
  <c r="BL850" s="1"/>
  <c r="AZ851"/>
  <c r="BI853"/>
  <c r="BJ853" s="1"/>
  <c r="AY852"/>
  <c r="AZ852"/>
  <c r="AZ853"/>
  <c r="BI854"/>
  <c r="AY853"/>
  <c r="AZ854"/>
  <c r="AY854"/>
  <c r="AY855"/>
  <c r="AY858"/>
  <c r="AZ855"/>
  <c r="BI855"/>
  <c r="BJ855" s="1"/>
  <c r="AY856"/>
  <c r="BI856"/>
  <c r="AZ856"/>
  <c r="BI857"/>
  <c r="BJ857" s="1"/>
  <c r="AZ857"/>
  <c r="BI858"/>
  <c r="AY857"/>
  <c r="AZ858"/>
  <c r="BI859"/>
  <c r="AY859"/>
  <c r="AZ859"/>
  <c r="AZ860"/>
  <c r="BI862"/>
  <c r="BI860"/>
  <c r="BJ860" s="1"/>
  <c r="AY860"/>
  <c r="AY861"/>
  <c r="BI861"/>
  <c r="BJ861" s="1"/>
  <c r="BL861" s="1"/>
  <c r="AZ862"/>
  <c r="AZ861"/>
  <c r="AZ863"/>
  <c r="BI864"/>
  <c r="AY864"/>
  <c r="AY862"/>
  <c r="AY863"/>
  <c r="BI863"/>
  <c r="BJ863" s="1"/>
  <c r="AZ864"/>
  <c r="AY866"/>
  <c r="BI865"/>
  <c r="BJ865" s="1"/>
  <c r="AZ867"/>
  <c r="BI867"/>
  <c r="AY865"/>
  <c r="AZ865"/>
  <c r="AY867"/>
  <c r="AZ866"/>
  <c r="BI866"/>
  <c r="BI870"/>
  <c r="AY870"/>
  <c r="AY869"/>
  <c r="AZ870"/>
  <c r="AY868"/>
  <c r="AZ868"/>
  <c r="BI868"/>
  <c r="BJ868" s="1"/>
  <c r="BI869"/>
  <c r="AZ869"/>
  <c r="AZ872"/>
  <c r="AZ871"/>
  <c r="AY871"/>
  <c r="BI872"/>
  <c r="BI871"/>
  <c r="BJ871" s="1"/>
  <c r="AY872"/>
  <c r="AY873"/>
  <c r="AZ873"/>
  <c r="AY875"/>
  <c r="BI873"/>
  <c r="AY874"/>
  <c r="BI875"/>
  <c r="AZ875"/>
  <c r="BI874"/>
  <c r="BJ874" s="1"/>
  <c r="AZ874"/>
  <c r="BI876"/>
  <c r="AZ877"/>
  <c r="AY877"/>
  <c r="AY876"/>
  <c r="BI879"/>
  <c r="BI877"/>
  <c r="BJ877" s="1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BJ885" s="1"/>
  <c r="AY888"/>
  <c r="AY885"/>
  <c r="BI888"/>
  <c r="BJ888" s="1"/>
  <c r="BI887"/>
  <c r="AZ887"/>
  <c r="AZ888"/>
  <c r="AY887"/>
  <c r="BI889"/>
  <c r="AZ889"/>
  <c r="AY889"/>
  <c r="BI891"/>
  <c r="BJ891" s="1"/>
  <c r="AZ891"/>
  <c r="AY890"/>
  <c r="AY891"/>
  <c r="AY892"/>
  <c r="AZ890"/>
  <c r="BI890"/>
  <c r="BI892"/>
  <c r="AZ892"/>
  <c r="BI893"/>
  <c r="BJ893" s="1"/>
  <c r="AY893"/>
  <c r="BI894"/>
  <c r="BJ894" s="1"/>
  <c r="AZ893"/>
  <c r="AZ894"/>
  <c r="AZ896"/>
  <c r="AY894"/>
  <c r="BI895"/>
  <c r="BI896"/>
  <c r="AY896"/>
  <c r="AZ895"/>
  <c r="AY895"/>
  <c r="BI897"/>
  <c r="BJ897" s="1"/>
  <c r="AY900"/>
  <c r="AZ897"/>
  <c r="AY897"/>
  <c r="AZ899"/>
  <c r="AY899"/>
  <c r="AZ898"/>
  <c r="AY898"/>
  <c r="BI898"/>
  <c r="BI899"/>
  <c r="BI900"/>
  <c r="BJ900" s="1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BJ906" s="1"/>
  <c r="AZ907"/>
  <c r="AY907"/>
  <c r="AZ906"/>
  <c r="BI908"/>
  <c r="BJ908" s="1"/>
  <c r="AZ908"/>
  <c r="AZ909"/>
  <c r="BI910"/>
  <c r="BJ910" s="1"/>
  <c r="BK910" s="1"/>
  <c r="AY910"/>
  <c r="AZ910"/>
  <c r="AY908"/>
  <c r="AY909"/>
  <c r="AY911"/>
  <c r="AY912"/>
  <c r="AZ911"/>
  <c r="BI912"/>
  <c r="BJ912" s="1"/>
  <c r="BL912" s="1"/>
  <c r="AZ912"/>
  <c r="BI909"/>
  <c r="BJ909" s="1"/>
  <c r="BK909" s="1"/>
  <c r="BI911"/>
  <c r="BJ911" s="1"/>
  <c r="BL911" s="1"/>
  <c r="AZ915"/>
  <c r="BI913"/>
  <c r="AY913"/>
  <c r="BI915"/>
  <c r="BJ915" s="1"/>
  <c r="BL915" s="1"/>
  <c r="AY915"/>
  <c r="AY914"/>
  <c r="AZ914"/>
  <c r="AZ913"/>
  <c r="BI914"/>
  <c r="BJ914" s="1"/>
  <c r="BL914" s="1"/>
  <c r="AZ916"/>
  <c r="BI916"/>
  <c r="BJ916" s="1"/>
  <c r="BL916" s="1"/>
  <c r="AY918"/>
  <c r="AY916"/>
  <c r="AY917"/>
  <c r="AZ917"/>
  <c r="AZ918"/>
  <c r="AY920"/>
  <c r="AY919"/>
  <c r="AZ920"/>
  <c r="AZ923"/>
  <c r="AZ919"/>
  <c r="BI923"/>
  <c r="BJ923" s="1"/>
  <c r="AY921"/>
  <c r="BI921"/>
  <c r="BJ921" s="1"/>
  <c r="AY923"/>
  <c r="AZ921"/>
  <c r="AY922"/>
  <c r="BI922"/>
  <c r="BJ922" s="1"/>
  <c r="BL922" s="1"/>
  <c r="AZ924"/>
  <c r="AZ922"/>
  <c r="BI924"/>
  <c r="AY924"/>
  <c r="AY928"/>
  <c r="BI925"/>
  <c r="BI926"/>
  <c r="BJ926" s="1"/>
  <c r="BL926" s="1"/>
  <c r="AZ925"/>
  <c r="AZ926"/>
  <c r="AY925"/>
  <c r="AY927"/>
  <c r="BI928"/>
  <c r="BJ928" s="1"/>
  <c r="AY926"/>
  <c r="AZ928"/>
  <c r="AZ927"/>
  <c r="BI927"/>
  <c r="BJ927" s="1"/>
  <c r="BK927" s="1"/>
  <c r="BI929"/>
  <c r="BJ929" s="1"/>
  <c r="BK929" s="1"/>
  <c r="AY929"/>
  <c r="AZ929"/>
  <c r="AZ931"/>
  <c r="AZ930"/>
  <c r="BI930"/>
  <c r="AY930"/>
  <c r="BI931"/>
  <c r="BJ931" s="1"/>
  <c r="BL931" s="1"/>
  <c r="AY931"/>
  <c r="AZ932"/>
  <c r="AY935"/>
  <c r="AZ934"/>
  <c r="BK933"/>
  <c r="AZ937"/>
  <c r="AY933"/>
  <c r="AZ935"/>
  <c r="BI941"/>
  <c r="BJ941" s="1"/>
  <c r="BL941" s="1"/>
  <c r="BI689"/>
  <c r="BJ689" s="1"/>
  <c r="BB941"/>
  <c r="AY939"/>
  <c r="BI935"/>
  <c r="BJ935" s="1"/>
  <c r="BL935" s="1"/>
  <c r="BI939"/>
  <c r="BJ939" s="1"/>
  <c r="F5" i="10"/>
  <c r="BL937" i="8"/>
  <c r="BJ36" l="1"/>
  <c r="BL36" s="1"/>
  <c r="BJ607"/>
  <c r="BL607" s="1"/>
  <c r="BJ918"/>
  <c r="BL918" s="1"/>
  <c r="BL917"/>
  <c r="BJ764"/>
  <c r="BL764" s="1"/>
  <c r="BJ940"/>
  <c r="BL940" s="1"/>
  <c r="BJ898"/>
  <c r="BL898" s="1"/>
  <c r="BJ53"/>
  <c r="BJ452"/>
  <c r="BL452" s="1"/>
  <c r="BJ385"/>
  <c r="BL385" s="1"/>
  <c r="BJ261"/>
  <c r="BL261" s="1"/>
  <c r="BJ71"/>
  <c r="BL71" s="1"/>
  <c r="BK9"/>
  <c r="BK37"/>
  <c r="BJ321"/>
  <c r="BL321" s="1"/>
  <c r="BJ490"/>
  <c r="BL490" s="1"/>
  <c r="BJ154"/>
  <c r="BL154" s="1"/>
  <c r="BJ780"/>
  <c r="BL780" s="1"/>
  <c r="BK36"/>
  <c r="BK454"/>
  <c r="BK22"/>
  <c r="BK35"/>
  <c r="BJ907"/>
  <c r="BL907" s="1"/>
  <c r="BJ306"/>
  <c r="BL306" s="1"/>
  <c r="BJ166"/>
  <c r="BL166" s="1"/>
  <c r="BJ46"/>
  <c r="BJ469"/>
  <c r="BL469" s="1"/>
  <c r="BJ101"/>
  <c r="BL101" s="1"/>
  <c r="BJ418"/>
  <c r="BL418" s="1"/>
  <c r="BK56"/>
  <c r="BK21"/>
  <c r="BK57"/>
  <c r="BJ172"/>
  <c r="BL172" s="1"/>
  <c r="BJ144"/>
  <c r="BL144" s="1"/>
  <c r="BJ805"/>
  <c r="BL805" s="1"/>
  <c r="BJ69"/>
  <c r="BL69" s="1"/>
  <c r="BK60"/>
  <c r="BJ569"/>
  <c r="BL569" s="1"/>
  <c r="BJ563"/>
  <c r="BL563" s="1"/>
  <c r="BJ845"/>
  <c r="BL845" s="1"/>
  <c r="BJ800"/>
  <c r="BL800" s="1"/>
  <c r="BJ336"/>
  <c r="BL336" s="1"/>
  <c r="BK59"/>
  <c r="BJ193"/>
  <c r="BL193" s="1"/>
  <c r="BJ710"/>
  <c r="BL710" s="1"/>
  <c r="BJ729"/>
  <c r="BL729" s="1"/>
  <c r="BJ721"/>
  <c r="BL721" s="1"/>
  <c r="BJ533"/>
  <c r="BL533" s="1"/>
  <c r="BJ502"/>
  <c r="BL502" s="1"/>
  <c r="BJ421"/>
  <c r="BL421" s="1"/>
  <c r="BJ397"/>
  <c r="BL397" s="1"/>
  <c r="BJ369"/>
  <c r="BL369" s="1"/>
  <c r="BJ339"/>
  <c r="BL339" s="1"/>
  <c r="BJ18"/>
  <c r="BK17" s="1"/>
  <c r="BJ356"/>
  <c r="BL356" s="1"/>
  <c r="BJ249"/>
  <c r="BL249" s="1"/>
  <c r="BJ235"/>
  <c r="BL235" s="1"/>
  <c r="BJ117"/>
  <c r="BL117" s="1"/>
  <c r="BJ72"/>
  <c r="BL72" s="1"/>
  <c r="BJ858"/>
  <c r="BL858" s="1"/>
  <c r="BJ737"/>
  <c r="BL737" s="1"/>
  <c r="BJ725"/>
  <c r="BL725" s="1"/>
  <c r="BJ672"/>
  <c r="BL672" s="1"/>
  <c r="BJ294"/>
  <c r="BL294" s="1"/>
  <c r="BJ267"/>
  <c r="BL267" s="1"/>
  <c r="BJ243"/>
  <c r="BL243" s="1"/>
  <c r="BJ680"/>
  <c r="BL680" s="1"/>
  <c r="BJ658"/>
  <c r="BL658" s="1"/>
  <c r="BJ155"/>
  <c r="BL155" s="1"/>
  <c r="BK931"/>
  <c r="BJ872"/>
  <c r="BL872" s="1"/>
  <c r="BJ832"/>
  <c r="BL832" s="1"/>
  <c r="BJ811"/>
  <c r="BL811" s="1"/>
  <c r="BJ536"/>
  <c r="BL536" s="1"/>
  <c r="BJ276"/>
  <c r="BL276" s="1"/>
  <c r="BJ273"/>
  <c r="BL273" s="1"/>
  <c r="BJ241"/>
  <c r="BL241" s="1"/>
  <c r="BJ201"/>
  <c r="BL201" s="1"/>
  <c r="BK69"/>
  <c r="BJ854"/>
  <c r="BK854" s="1"/>
  <c r="BJ614"/>
  <c r="BJ478"/>
  <c r="BL478" s="1"/>
  <c r="BJ460"/>
  <c r="BL460" s="1"/>
  <c r="BJ869"/>
  <c r="BL869" s="1"/>
  <c r="BJ663"/>
  <c r="BL663" s="1"/>
  <c r="BJ370"/>
  <c r="BL370" s="1"/>
  <c r="BJ350"/>
  <c r="BL350" s="1"/>
  <c r="BJ239"/>
  <c r="BJ145"/>
  <c r="BL145" s="1"/>
  <c r="BK71"/>
  <c r="BK47"/>
  <c r="BK922"/>
  <c r="BJ530"/>
  <c r="BL530" s="1"/>
  <c r="BJ499"/>
  <c r="BL499" s="1"/>
  <c r="BJ437"/>
  <c r="BL437" s="1"/>
  <c r="BK907"/>
  <c r="BJ848"/>
  <c r="BL848" s="1"/>
  <c r="BJ801"/>
  <c r="BJ781"/>
  <c r="BL781" s="1"/>
  <c r="BJ514"/>
  <c r="BL514" s="1"/>
  <c r="BJ372"/>
  <c r="BL372" s="1"/>
  <c r="BJ365"/>
  <c r="BL365" s="1"/>
  <c r="BJ322"/>
  <c r="BL322" s="1"/>
  <c r="BJ264"/>
  <c r="BJ265" s="1"/>
  <c r="BK848"/>
  <c r="BJ608"/>
  <c r="BL608" s="1"/>
  <c r="BJ511"/>
  <c r="BJ512" s="1"/>
  <c r="BK455"/>
  <c r="BJ353"/>
  <c r="BL353" s="1"/>
  <c r="BJ190"/>
  <c r="BL190" s="1"/>
  <c r="BJ534"/>
  <c r="BK532" s="1"/>
  <c r="BJ422"/>
  <c r="BL422" s="1"/>
  <c r="BK70"/>
  <c r="BJ808"/>
  <c r="BL808" s="1"/>
  <c r="BJ794"/>
  <c r="BL794" s="1"/>
  <c r="BJ756"/>
  <c r="BL756" s="1"/>
  <c r="BJ732"/>
  <c r="BL732" s="1"/>
  <c r="BJ700"/>
  <c r="BL700" s="1"/>
  <c r="BJ677"/>
  <c r="BL677" s="1"/>
  <c r="BJ668"/>
  <c r="BL668" s="1"/>
  <c r="BJ624"/>
  <c r="BJ551"/>
  <c r="BJ505"/>
  <c r="BL505" s="1"/>
  <c r="BJ491"/>
  <c r="BL491" s="1"/>
  <c r="BJ457"/>
  <c r="BL457" s="1"/>
  <c r="BJ440"/>
  <c r="BL440" s="1"/>
  <c r="BJ381"/>
  <c r="BL381" s="1"/>
  <c r="BJ315"/>
  <c r="BL315" s="1"/>
  <c r="BJ279"/>
  <c r="BL279" s="1"/>
  <c r="BJ258"/>
  <c r="BL258" s="1"/>
  <c r="BK238"/>
  <c r="BK235"/>
  <c r="BJ197"/>
  <c r="BL197" s="1"/>
  <c r="BJ340"/>
  <c r="BL340" s="1"/>
  <c r="BJ303"/>
  <c r="BL303" s="1"/>
  <c r="BJ277"/>
  <c r="BK277" s="1"/>
  <c r="BJ255"/>
  <c r="BL255" s="1"/>
  <c r="BJ180"/>
  <c r="BL180" s="1"/>
  <c r="BJ170"/>
  <c r="BL170" s="1"/>
  <c r="BJ162"/>
  <c r="BL162" s="1"/>
  <c r="BJ137"/>
  <c r="BL137" s="1"/>
  <c r="BJ132"/>
  <c r="BL132" s="1"/>
  <c r="BJ930"/>
  <c r="BL930" s="1"/>
  <c r="BK912"/>
  <c r="BJ873"/>
  <c r="BL873" s="1"/>
  <c r="BJ809"/>
  <c r="BL809" s="1"/>
  <c r="BJ786"/>
  <c r="BL786" s="1"/>
  <c r="BK736"/>
  <c r="BJ722"/>
  <c r="BL722" s="1"/>
  <c r="BJ654"/>
  <c r="BL654" s="1"/>
  <c r="BJ650"/>
  <c r="BL650" s="1"/>
  <c r="BJ610"/>
  <c r="BL610" s="1"/>
  <c r="BJ552"/>
  <c r="BL552" s="1"/>
  <c r="BJ466"/>
  <c r="BL466" s="1"/>
  <c r="BJ400"/>
  <c r="BL400" s="1"/>
  <c r="BJ309"/>
  <c r="BL309" s="1"/>
  <c r="BJ288"/>
  <c r="BL288" s="1"/>
  <c r="BJ246"/>
  <c r="BL246" s="1"/>
  <c r="BK241"/>
  <c r="BK168"/>
  <c r="BJ168"/>
  <c r="BL168" s="1"/>
  <c r="BK926"/>
  <c r="BK906"/>
  <c r="BJ760"/>
  <c r="BL760" s="1"/>
  <c r="BJ742"/>
  <c r="BL742" s="1"/>
  <c r="BJ560"/>
  <c r="BL560" s="1"/>
  <c r="BJ423"/>
  <c r="BL423" s="1"/>
  <c r="BJ297"/>
  <c r="BL297" s="1"/>
  <c r="BK781"/>
  <c r="BJ695"/>
  <c r="BL695" s="1"/>
  <c r="BJ598"/>
  <c r="BL598" s="1"/>
  <c r="BJ594"/>
  <c r="BL594" s="1"/>
  <c r="BJ566"/>
  <c r="BL566" s="1"/>
  <c r="BJ539"/>
  <c r="BL539" s="1"/>
  <c r="BK491"/>
  <c r="BJ470"/>
  <c r="BL470" s="1"/>
  <c r="BJ398"/>
  <c r="BL398" s="1"/>
  <c r="BJ359"/>
  <c r="BL359" s="1"/>
  <c r="BJ285"/>
  <c r="BL285" s="1"/>
  <c r="BJ231"/>
  <c r="BJ225"/>
  <c r="BL225" s="1"/>
  <c r="BL928"/>
  <c r="BK893"/>
  <c r="BL893"/>
  <c r="F298" i="10"/>
  <c r="F284"/>
  <c r="BL860" i="8"/>
  <c r="F217" i="10"/>
  <c r="BL843" i="8"/>
  <c r="F263" i="10"/>
  <c r="BL831" i="8"/>
  <c r="F311" i="10"/>
  <c r="BL810" i="8"/>
  <c r="BL799"/>
  <c r="F274" i="10"/>
  <c r="F269"/>
  <c r="BL785" i="8"/>
  <c r="BL763"/>
  <c r="F262" i="10"/>
  <c r="BL720" i="8"/>
  <c r="F251" i="10"/>
  <c r="BL719" i="8"/>
  <c r="F250" i="10"/>
  <c r="BL709" i="8"/>
  <c r="F248" i="10"/>
  <c r="BL694" i="8"/>
  <c r="F245" i="10"/>
  <c r="F226"/>
  <c r="BL613" i="8"/>
  <c r="F221" i="10"/>
  <c r="BL593" i="8"/>
  <c r="BL559"/>
  <c r="F208" i="10"/>
  <c r="F201"/>
  <c r="BL538" i="8"/>
  <c r="F190" i="10"/>
  <c r="BL504" i="8"/>
  <c r="F189" i="10"/>
  <c r="BL501" i="8"/>
  <c r="BL498"/>
  <c r="F188" i="10"/>
  <c r="F161"/>
  <c r="BL417" i="8"/>
  <c r="BL371"/>
  <c r="F146" i="10"/>
  <c r="BL358" i="8"/>
  <c r="F142" i="10"/>
  <c r="F139"/>
  <c r="BL349" i="8"/>
  <c r="BL338"/>
  <c r="F135" i="10"/>
  <c r="BL275" i="8"/>
  <c r="F113" i="10"/>
  <c r="BL263" i="8"/>
  <c r="F108" i="10"/>
  <c r="F107"/>
  <c r="BL260" i="8"/>
  <c r="BL245"/>
  <c r="F99" i="10"/>
  <c r="F91"/>
  <c r="BL230" i="8"/>
  <c r="BK223"/>
  <c r="BL223"/>
  <c r="F86" i="10"/>
  <c r="BL143" i="8"/>
  <c r="F56" i="10"/>
  <c r="BL131" i="8"/>
  <c r="F51" i="10"/>
  <c r="BK130" i="8"/>
  <c r="BL130"/>
  <c r="F50" i="10"/>
  <c r="F39"/>
  <c r="BL106" i="8"/>
  <c r="BL107"/>
  <c r="F40" i="10"/>
  <c r="BL100" i="8"/>
  <c r="F34" i="10"/>
  <c r="BK97" i="8"/>
  <c r="F32" i="10"/>
  <c r="BL97" i="8"/>
  <c r="BK85"/>
  <c r="F20" i="10"/>
  <c r="BL85" i="8"/>
  <c r="BL83"/>
  <c r="F18" i="10"/>
  <c r="F13"/>
  <c r="BL78" i="8"/>
  <c r="BL70"/>
  <c r="F9" i="10"/>
  <c r="BL27" i="8"/>
  <c r="F338" i="10"/>
  <c r="F325"/>
  <c r="BL54" i="8"/>
  <c r="BL39"/>
  <c r="F318" i="10"/>
  <c r="BL8" i="8"/>
  <c r="F330" i="10"/>
  <c r="BL47" i="8"/>
  <c r="F308" i="10"/>
  <c r="F322"/>
  <c r="BL37" i="8"/>
  <c r="BK935"/>
  <c r="BK915"/>
  <c r="BK914"/>
  <c r="BJ913"/>
  <c r="BJ904"/>
  <c r="BJ884"/>
  <c r="BJ864"/>
  <c r="BJ856"/>
  <c r="BJ837"/>
  <c r="BJ825"/>
  <c r="BL825" s="1"/>
  <c r="BJ817"/>
  <c r="BJ747"/>
  <c r="BJ723"/>
  <c r="BL723" s="1"/>
  <c r="BJ711"/>
  <c r="BL711" s="1"/>
  <c r="BJ669"/>
  <c r="BL669" s="1"/>
  <c r="BJ644"/>
  <c r="BJ635"/>
  <c r="BJ628"/>
  <c r="BJ595"/>
  <c r="BJ590"/>
  <c r="BJ575"/>
  <c r="BL575" s="1"/>
  <c r="BJ557"/>
  <c r="BJ548"/>
  <c r="BJ549" s="1"/>
  <c r="BL549" s="1"/>
  <c r="BJ487"/>
  <c r="BJ481"/>
  <c r="BJ479"/>
  <c r="BJ458"/>
  <c r="BL458" s="1"/>
  <c r="BJ453"/>
  <c r="BJ446"/>
  <c r="BJ428"/>
  <c r="BJ415"/>
  <c r="BJ394"/>
  <c r="BJ391"/>
  <c r="BJ366"/>
  <c r="BL366" s="1"/>
  <c r="BJ347"/>
  <c r="BJ344"/>
  <c r="BJ327"/>
  <c r="BJ324"/>
  <c r="BJ325" s="1"/>
  <c r="BL325" s="1"/>
  <c r="BJ316"/>
  <c r="BJ310"/>
  <c r="BL310" s="1"/>
  <c r="BJ237"/>
  <c r="BJ233"/>
  <c r="BL233" s="1"/>
  <c r="BK231"/>
  <c r="BJ220"/>
  <c r="BL220" s="1"/>
  <c r="BJ210"/>
  <c r="BJ213"/>
  <c r="BJ208"/>
  <c r="BK165"/>
  <c r="BJ164"/>
  <c r="BJ158"/>
  <c r="BJ156"/>
  <c r="BJ148"/>
  <c r="BL148" s="1"/>
  <c r="BJ110"/>
  <c r="BL110" s="1"/>
  <c r="BJ74"/>
  <c r="BJ24"/>
  <c r="BJ40"/>
  <c r="BK921"/>
  <c r="BL909"/>
  <c r="F306" i="10"/>
  <c r="BL874" i="8"/>
  <c r="F289" i="10"/>
  <c r="BL766" i="8"/>
  <c r="F264" i="10"/>
  <c r="F257"/>
  <c r="BL746" i="8"/>
  <c r="BL714"/>
  <c r="F249" i="10"/>
  <c r="BL676" i="8"/>
  <c r="F241" i="10"/>
  <c r="BL662" i="8"/>
  <c r="F237" i="10"/>
  <c r="BL657" i="8"/>
  <c r="F236" i="10"/>
  <c r="BL643" i="8"/>
  <c r="F233" i="10"/>
  <c r="BL626" i="8"/>
  <c r="F229" i="10"/>
  <c r="BL629" i="8"/>
  <c r="F230" i="10"/>
  <c r="BL550" i="8"/>
  <c r="F205" i="10"/>
  <c r="F200"/>
  <c r="BL535" i="8"/>
  <c r="BL510"/>
  <c r="F192" i="10"/>
  <c r="F182"/>
  <c r="BL480" i="8"/>
  <c r="F181" i="10"/>
  <c r="BL477" i="8"/>
  <c r="F177" i="10"/>
  <c r="BL465" i="8"/>
  <c r="BL436"/>
  <c r="F167" i="10"/>
  <c r="BL393" i="8"/>
  <c r="F153" i="10"/>
  <c r="BL387" i="8"/>
  <c r="F151" i="10"/>
  <c r="F150"/>
  <c r="BL384" i="8"/>
  <c r="BL374"/>
  <c r="F147" i="10"/>
  <c r="F141"/>
  <c r="BL355" i="8"/>
  <c r="F119" i="10"/>
  <c r="BL293" i="8"/>
  <c r="F116" i="10"/>
  <c r="BL284" i="8"/>
  <c r="F114" i="10"/>
  <c r="BL278" i="8"/>
  <c r="BL272"/>
  <c r="F111" i="10"/>
  <c r="F93"/>
  <c r="BL234" i="8"/>
  <c r="BK230"/>
  <c r="BL231"/>
  <c r="BJ229"/>
  <c r="BL228"/>
  <c r="F90" i="10"/>
  <c r="BL209" i="8"/>
  <c r="F81" i="10"/>
  <c r="BL200" i="8"/>
  <c r="F76" i="10"/>
  <c r="BL176" i="8"/>
  <c r="F69" i="10"/>
  <c r="F62"/>
  <c r="BL161" i="8"/>
  <c r="F60" i="10"/>
  <c r="BL157" i="8"/>
  <c r="BJ142"/>
  <c r="BL141"/>
  <c r="F55" i="10"/>
  <c r="BL122" i="8"/>
  <c r="F46" i="10"/>
  <c r="BL104" i="8"/>
  <c r="F37" i="10"/>
  <c r="BK90" i="8"/>
  <c r="BL90"/>
  <c r="F25" i="10"/>
  <c r="BJ76" i="8"/>
  <c r="F11" i="10"/>
  <c r="BL75" i="8"/>
  <c r="F12" i="10"/>
  <c r="BL13" i="8"/>
  <c r="F339" i="10"/>
  <c r="BK18" i="8"/>
  <c r="BL18"/>
  <c r="BL29"/>
  <c r="F316" i="10"/>
  <c r="BL28" i="8"/>
  <c r="F336" i="10"/>
  <c r="BJ889" i="8"/>
  <c r="BK871"/>
  <c r="BJ859"/>
  <c r="BJ821"/>
  <c r="BL821" s="1"/>
  <c r="BJ813"/>
  <c r="BL813" s="1"/>
  <c r="BJ792"/>
  <c r="BL792" s="1"/>
  <c r="BJ777"/>
  <c r="BL777" s="1"/>
  <c r="BJ659"/>
  <c r="BJ639"/>
  <c r="BL639" s="1"/>
  <c r="BJ619"/>
  <c r="BJ596"/>
  <c r="BL596" s="1"/>
  <c r="BJ564"/>
  <c r="BK563" s="1"/>
  <c r="BJ554"/>
  <c r="BJ500"/>
  <c r="BL500" s="1"/>
  <c r="BJ484"/>
  <c r="BJ485" s="1"/>
  <c r="BL485" s="1"/>
  <c r="BJ472"/>
  <c r="BJ473" s="1"/>
  <c r="BL473" s="1"/>
  <c r="BJ461"/>
  <c r="BL461" s="1"/>
  <c r="BK457"/>
  <c r="BJ447"/>
  <c r="BL447" s="1"/>
  <c r="BK422"/>
  <c r="BJ406"/>
  <c r="BL406" s="1"/>
  <c r="BJ378"/>
  <c r="BL378" s="1"/>
  <c r="BK369"/>
  <c r="BJ351"/>
  <c r="BK339"/>
  <c r="BJ318"/>
  <c r="BL318" s="1"/>
  <c r="BK310"/>
  <c r="BJ291"/>
  <c r="BL291" s="1"/>
  <c r="BK246"/>
  <c r="BJ214"/>
  <c r="BL214" s="1"/>
  <c r="BJ194"/>
  <c r="BL194" s="1"/>
  <c r="BK162"/>
  <c r="BK153"/>
  <c r="BJ113"/>
  <c r="BJ84"/>
  <c r="BK83" s="1"/>
  <c r="BJ79"/>
  <c r="BK78" s="1"/>
  <c r="BK72"/>
  <c r="BJ20"/>
  <c r="BJ51"/>
  <c r="BJ66"/>
  <c r="BL689"/>
  <c r="F244" i="10"/>
  <c r="BL908" i="8"/>
  <c r="F305" i="10"/>
  <c r="BJ895" i="8"/>
  <c r="BL895" s="1"/>
  <c r="BL894"/>
  <c r="F299" i="10"/>
  <c r="BL888" i="8"/>
  <c r="F296" i="10"/>
  <c r="F291"/>
  <c r="BL877" i="8"/>
  <c r="BL847"/>
  <c r="F304" i="10"/>
  <c r="F277"/>
  <c r="BL844" i="8"/>
  <c r="BL842"/>
  <c r="F216" i="10"/>
  <c r="F215"/>
  <c r="BL841" i="8"/>
  <c r="BK839"/>
  <c r="BL839"/>
  <c r="F213" i="10"/>
  <c r="BL802" i="8"/>
  <c r="F290" i="10"/>
  <c r="BL798" i="8"/>
  <c r="F276" i="10"/>
  <c r="F275"/>
  <c r="BL795" i="8"/>
  <c r="F270" i="10"/>
  <c r="BL788" i="8"/>
  <c r="BL738"/>
  <c r="F255" i="10"/>
  <c r="BL705" i="8"/>
  <c r="F247" i="10"/>
  <c r="BL699" i="8"/>
  <c r="F246" i="10"/>
  <c r="BL601" i="8"/>
  <c r="F224" i="10"/>
  <c r="BL584" i="8"/>
  <c r="F219" i="10"/>
  <c r="BL544" i="8"/>
  <c r="F203" i="10"/>
  <c r="BL492" i="8"/>
  <c r="F186" i="10"/>
  <c r="BL462" i="8"/>
  <c r="F176" i="10"/>
  <c r="BL451" i="8"/>
  <c r="F172" i="10"/>
  <c r="BL442" i="8"/>
  <c r="F169" i="10"/>
  <c r="BL408" i="8"/>
  <c r="F158" i="10"/>
  <c r="BL402" i="8"/>
  <c r="F156" i="10"/>
  <c r="F152"/>
  <c r="BL390" i="8"/>
  <c r="BL335"/>
  <c r="F134" i="10"/>
  <c r="BL332" i="8"/>
  <c r="F133" i="10"/>
  <c r="BL329" i="8"/>
  <c r="F132" i="10"/>
  <c r="BL317" i="8"/>
  <c r="F128" i="10"/>
  <c r="BL305" i="8"/>
  <c r="F123" i="10"/>
  <c r="BL287" i="8"/>
  <c r="F117" i="10"/>
  <c r="F115"/>
  <c r="BL281" i="8"/>
  <c r="BL244"/>
  <c r="F98" i="10"/>
  <c r="F92"/>
  <c r="BL232" i="8"/>
  <c r="BL221"/>
  <c r="F85" i="10"/>
  <c r="BL212" i="8"/>
  <c r="F80" i="10"/>
  <c r="F71"/>
  <c r="BL182" i="8"/>
  <c r="BL167"/>
  <c r="F65" i="10"/>
  <c r="BL123" i="8"/>
  <c r="F47" i="10"/>
  <c r="BK108" i="8"/>
  <c r="BL108"/>
  <c r="F41" i="10"/>
  <c r="F10"/>
  <c r="BL73" i="8"/>
  <c r="F329" i="10"/>
  <c r="BL15" i="8"/>
  <c r="BK31"/>
  <c r="BL32"/>
  <c r="BL14"/>
  <c r="F333" i="10"/>
  <c r="BK49" i="8"/>
  <c r="BL49"/>
  <c r="F326" i="10"/>
  <c r="BJ905" i="8"/>
  <c r="BL905" s="1"/>
  <c r="BJ886"/>
  <c r="BJ887" s="1"/>
  <c r="BK873"/>
  <c r="BJ851"/>
  <c r="BL851" s="1"/>
  <c r="BJ814"/>
  <c r="BL814" s="1"/>
  <c r="BK794"/>
  <c r="BJ787"/>
  <c r="BL787" s="1"/>
  <c r="BJ783"/>
  <c r="BK780"/>
  <c r="BK723"/>
  <c r="BK721"/>
  <c r="BJ701"/>
  <c r="BL701" s="1"/>
  <c r="BJ696"/>
  <c r="BJ697" s="1"/>
  <c r="BJ685"/>
  <c r="BL685" s="1"/>
  <c r="BJ570"/>
  <c r="BL570" s="1"/>
  <c r="BJ558"/>
  <c r="BL558" s="1"/>
  <c r="BJ555"/>
  <c r="BL555" s="1"/>
  <c r="BJ537"/>
  <c r="BL537" s="1"/>
  <c r="BJ521"/>
  <c r="BL521" s="1"/>
  <c r="BJ503"/>
  <c r="BL503" s="1"/>
  <c r="BJ488"/>
  <c r="BL488" s="1"/>
  <c r="BJ463"/>
  <c r="BK459"/>
  <c r="BJ431"/>
  <c r="BK423"/>
  <c r="BK370"/>
  <c r="BJ337"/>
  <c r="BL337" s="1"/>
  <c r="BK321"/>
  <c r="BK242"/>
  <c r="BK161"/>
  <c r="BJ30"/>
  <c r="BL927"/>
  <c r="F7" i="10"/>
  <c r="BL903" i="8"/>
  <c r="F302" i="10"/>
  <c r="F283"/>
  <c r="BL857" i="8"/>
  <c r="F214" i="10"/>
  <c r="BL840" i="8"/>
  <c r="F82" i="10"/>
  <c r="BL816" i="8"/>
  <c r="BL793"/>
  <c r="F272" i="10"/>
  <c r="BL769" i="8"/>
  <c r="F265" i="10"/>
  <c r="BL759" i="8"/>
  <c r="F261" i="10"/>
  <c r="BL755" i="8"/>
  <c r="F260" i="10"/>
  <c r="BL736" i="8"/>
  <c r="F254" i="10"/>
  <c r="BL731" i="8"/>
  <c r="F253" i="10"/>
  <c r="F223"/>
  <c r="BL724" i="8"/>
  <c r="BL667"/>
  <c r="F239" i="10"/>
  <c r="BL623" i="8"/>
  <c r="F228" i="10"/>
  <c r="F232"/>
  <c r="BL606" i="8"/>
  <c r="BL597"/>
  <c r="F222" i="10"/>
  <c r="BJ572" i="8"/>
  <c r="BL571"/>
  <c r="F101" i="10"/>
  <c r="BL568" i="8"/>
  <c r="F210" i="10"/>
  <c r="BL565" i="8"/>
  <c r="F102" i="10"/>
  <c r="F199"/>
  <c r="BL532" i="8"/>
  <c r="BL529"/>
  <c r="F198" i="10"/>
  <c r="BL486" i="8"/>
  <c r="F184" i="10"/>
  <c r="BL427" i="8"/>
  <c r="F164" i="10"/>
  <c r="BL420" i="8"/>
  <c r="F162" i="10"/>
  <c r="BL399" i="8"/>
  <c r="F155" i="10"/>
  <c r="F154"/>
  <c r="BL396" i="8"/>
  <c r="F138" i="10"/>
  <c r="BL346" i="8"/>
  <c r="BL341"/>
  <c r="F136" i="10"/>
  <c r="BL314" i="8"/>
  <c r="F127" i="10"/>
  <c r="F106"/>
  <c r="BL257" i="8"/>
  <c r="BL248"/>
  <c r="F103" i="10"/>
  <c r="BL247" i="8"/>
  <c r="F100" i="10"/>
  <c r="BL238" i="8"/>
  <c r="F95" i="10"/>
  <c r="F94"/>
  <c r="BL236" i="8"/>
  <c r="F87" i="10"/>
  <c r="BL224" i="8"/>
  <c r="BL196"/>
  <c r="F54" i="10"/>
  <c r="BL189" i="8"/>
  <c r="F73" i="10"/>
  <c r="F70"/>
  <c r="BL177" i="8"/>
  <c r="BL163"/>
  <c r="F63" i="10"/>
  <c r="BL124" i="8"/>
  <c r="F74" i="10"/>
  <c r="F35"/>
  <c r="BL102" i="8"/>
  <c r="BK86"/>
  <c r="BL86"/>
  <c r="F21" i="10"/>
  <c r="BL82" i="8"/>
  <c r="F17" i="10"/>
  <c r="BL43" i="8"/>
  <c r="F321" i="10"/>
  <c r="BK26" i="8"/>
  <c r="F334" i="10"/>
  <c r="BL26" i="8"/>
  <c r="BL31"/>
  <c r="F307" i="10"/>
  <c r="BK936" i="8"/>
  <c r="BK916"/>
  <c r="BK908"/>
  <c r="BJ899"/>
  <c r="BK898" s="1"/>
  <c r="BJ890"/>
  <c r="BL890" s="1"/>
  <c r="BK872"/>
  <c r="BK844"/>
  <c r="BJ826"/>
  <c r="BL826" s="1"/>
  <c r="BK810"/>
  <c r="BJ806"/>
  <c r="BL806" s="1"/>
  <c r="BK787"/>
  <c r="BJ770"/>
  <c r="BJ771" s="1"/>
  <c r="BL771" s="1"/>
  <c r="BJ739"/>
  <c r="BL739" s="1"/>
  <c r="BK737"/>
  <c r="BJ673"/>
  <c r="BJ630"/>
  <c r="BJ631" s="1"/>
  <c r="BJ567"/>
  <c r="BJ542"/>
  <c r="BJ543" s="1"/>
  <c r="BK477"/>
  <c r="BK460"/>
  <c r="BJ438"/>
  <c r="BJ429"/>
  <c r="BL429" s="1"/>
  <c r="BJ419"/>
  <c r="BL419" s="1"/>
  <c r="BJ412"/>
  <c r="BL412" s="1"/>
  <c r="BJ409"/>
  <c r="BJ410" s="1"/>
  <c r="BL410" s="1"/>
  <c r="BJ403"/>
  <c r="BL403" s="1"/>
  <c r="BK398"/>
  <c r="BJ386"/>
  <c r="BL386" s="1"/>
  <c r="BJ362"/>
  <c r="BL362" s="1"/>
  <c r="BJ348"/>
  <c r="BL348" s="1"/>
  <c r="BJ295"/>
  <c r="BL295" s="1"/>
  <c r="BJ282"/>
  <c r="BL282" s="1"/>
  <c r="BJ280"/>
  <c r="BK233"/>
  <c r="BK224"/>
  <c r="BJ216"/>
  <c r="BL216" s="1"/>
  <c r="BJ181"/>
  <c r="BK179" s="1"/>
  <c r="BJ151"/>
  <c r="BJ152" s="1"/>
  <c r="BL152" s="1"/>
  <c r="BJ63"/>
  <c r="BJ55"/>
  <c r="BK941"/>
  <c r="BL885"/>
  <c r="F295" i="10"/>
  <c r="BL868" i="8"/>
  <c r="F287" i="10"/>
  <c r="BJ866" i="8"/>
  <c r="BL865"/>
  <c r="F286" i="10"/>
  <c r="BL828" i="8"/>
  <c r="F124" i="10"/>
  <c r="F273"/>
  <c r="BL820" i="8"/>
  <c r="BL782"/>
  <c r="F268" i="10"/>
  <c r="F259"/>
  <c r="BL751" i="8"/>
  <c r="F227" i="10"/>
  <c r="BL638" i="8"/>
  <c r="BL580"/>
  <c r="F218" i="10"/>
  <c r="BL574" i="8"/>
  <c r="F211" i="10"/>
  <c r="BL526" i="8"/>
  <c r="F197" i="10"/>
  <c r="BL523" i="8"/>
  <c r="F196" i="10"/>
  <c r="BL520" i="8"/>
  <c r="F195" i="10"/>
  <c r="BJ496" i="8"/>
  <c r="BL496" s="1"/>
  <c r="BL495"/>
  <c r="F187" i="10"/>
  <c r="F183"/>
  <c r="BL483" i="8"/>
  <c r="BL474"/>
  <c r="F180" i="10"/>
  <c r="F165"/>
  <c r="BL430" i="8"/>
  <c r="F163" i="10"/>
  <c r="BL424" i="8"/>
  <c r="F148" i="10"/>
  <c r="BL377" i="8"/>
  <c r="F144" i="10"/>
  <c r="BL364" i="8"/>
  <c r="BL343"/>
  <c r="F137" i="10"/>
  <c r="BL290" i="8"/>
  <c r="F118" i="10"/>
  <c r="BK239" i="8"/>
  <c r="BL239"/>
  <c r="BJ227"/>
  <c r="BL226"/>
  <c r="F88" i="10"/>
  <c r="BL192" i="8"/>
  <c r="F75" i="10"/>
  <c r="F67"/>
  <c r="BL171" i="8"/>
  <c r="BL133"/>
  <c r="F52" i="10"/>
  <c r="F49"/>
  <c r="BL129" i="8"/>
  <c r="BL116"/>
  <c r="F19" i="10"/>
  <c r="BL109" i="8"/>
  <c r="F14" i="10"/>
  <c r="F42"/>
  <c r="BL68" i="8"/>
  <c r="BL65"/>
  <c r="F6" i="10"/>
  <c r="F324"/>
  <c r="BL17" i="8"/>
  <c r="BJ726"/>
  <c r="BL726" s="1"/>
  <c r="BJ690"/>
  <c r="BL690" s="1"/>
  <c r="BK469"/>
  <c r="BJ416"/>
  <c r="BL416" s="1"/>
  <c r="BJ392"/>
  <c r="BL392" s="1"/>
  <c r="BK368"/>
  <c r="BJ357"/>
  <c r="BL357" s="1"/>
  <c r="BJ330"/>
  <c r="BJ331" s="1"/>
  <c r="BL331" s="1"/>
  <c r="BJ328"/>
  <c r="BL328" s="1"/>
  <c r="BK322"/>
  <c r="BK320"/>
  <c r="BK308"/>
  <c r="BJ304"/>
  <c r="BL304" s="1"/>
  <c r="BJ300"/>
  <c r="BL300" s="1"/>
  <c r="BJ298"/>
  <c r="BK297" s="1"/>
  <c r="BJ252"/>
  <c r="BL252" s="1"/>
  <c r="BK240"/>
  <c r="BK225"/>
  <c r="BJ175"/>
  <c r="BL175" s="1"/>
  <c r="AY3"/>
  <c r="AZ3"/>
  <c r="BJ44"/>
  <c r="BJ34"/>
  <c r="BL891"/>
  <c r="F297" i="10"/>
  <c r="F292"/>
  <c r="BL880" i="8"/>
  <c r="BK846"/>
  <c r="F278" i="10"/>
  <c r="BL846" i="8"/>
  <c r="BK823"/>
  <c r="BL823"/>
  <c r="F4" i="10"/>
  <c r="BL824" i="8"/>
  <c r="F258" i="10"/>
  <c r="BL812" i="8"/>
  <c r="F312" i="10"/>
  <c r="F294"/>
  <c r="BL804" i="8"/>
  <c r="BL776"/>
  <c r="F266" i="10"/>
  <c r="BL684" i="8"/>
  <c r="F243" i="10"/>
  <c r="F238"/>
  <c r="BL618" i="8"/>
  <c r="BJ615"/>
  <c r="BL614"/>
  <c r="F225" i="10"/>
  <c r="BL609" i="8"/>
  <c r="BJ578"/>
  <c r="BL578" s="1"/>
  <c r="F212" i="10"/>
  <c r="BL577" i="8"/>
  <c r="BL553"/>
  <c r="F206" i="10"/>
  <c r="BL507" i="8"/>
  <c r="F191" i="10"/>
  <c r="BL448" i="8"/>
  <c r="F171" i="10"/>
  <c r="BL445" i="8"/>
  <c r="F170" i="10"/>
  <c r="BL411" i="8"/>
  <c r="F159" i="10"/>
  <c r="BL405" i="8"/>
  <c r="F157" i="10"/>
  <c r="F143"/>
  <c r="BL361" i="8"/>
  <c r="BL311"/>
  <c r="F126" i="10"/>
  <c r="F121"/>
  <c r="BL299" i="8"/>
  <c r="BK275"/>
  <c r="BL277"/>
  <c r="F110" i="10"/>
  <c r="BL269" i="8"/>
  <c r="BL266"/>
  <c r="F109" i="10"/>
  <c r="BL251" i="8"/>
  <c r="F104" i="10"/>
  <c r="BL219" i="8"/>
  <c r="F83" i="10"/>
  <c r="BL215" i="8"/>
  <c r="F79" i="10"/>
  <c r="F77"/>
  <c r="BL204" i="8"/>
  <c r="BL186"/>
  <c r="F72" i="10"/>
  <c r="F68"/>
  <c r="BL174" i="8"/>
  <c r="F57" i="10"/>
  <c r="BL147" i="8"/>
  <c r="BJ119"/>
  <c r="BL119" s="1"/>
  <c r="BL118"/>
  <c r="F45" i="10"/>
  <c r="BK103" i="8"/>
  <c r="BL103"/>
  <c r="F36" i="10"/>
  <c r="BK87" i="8"/>
  <c r="BL87"/>
  <c r="F22" i="10"/>
  <c r="BL7" i="8"/>
  <c r="F335" i="10"/>
  <c r="BL62" i="8"/>
  <c r="F328" i="10"/>
  <c r="F89"/>
  <c r="BL33" i="8"/>
  <c r="BK11"/>
  <c r="BL11"/>
  <c r="F331" i="10"/>
  <c r="BL35" i="8"/>
  <c r="F327" i="10"/>
  <c r="F319"/>
  <c r="BL45" i="8"/>
  <c r="F313" i="10"/>
  <c r="BL21" i="8"/>
  <c r="BJ870"/>
  <c r="BL870" s="1"/>
  <c r="BJ712"/>
  <c r="BL712" s="1"/>
  <c r="BJ674"/>
  <c r="BJ636"/>
  <c r="BL636" s="1"/>
  <c r="BK607"/>
  <c r="BK536"/>
  <c r="BJ524"/>
  <c r="BL524" s="1"/>
  <c r="BJ515"/>
  <c r="BL515" s="1"/>
  <c r="BJ464"/>
  <c r="BL464" s="1"/>
  <c r="BK420"/>
  <c r="BK421"/>
  <c r="BJ407"/>
  <c r="BL407" s="1"/>
  <c r="BJ379"/>
  <c r="BL379" s="1"/>
  <c r="BJ367"/>
  <c r="BL367" s="1"/>
  <c r="BK293"/>
  <c r="BK219"/>
  <c r="BL900"/>
  <c r="F301" i="10"/>
  <c r="BL910" i="8"/>
  <c r="F315" i="10"/>
  <c r="BL855" i="8"/>
  <c r="F282" i="10"/>
  <c r="BK853" i="8"/>
  <c r="BL854"/>
  <c r="F280" i="10"/>
  <c r="BL849" i="8"/>
  <c r="F112" i="10"/>
  <c r="BL836" i="8"/>
  <c r="F279" i="10"/>
  <c r="BL827" i="8"/>
  <c r="F271" i="10"/>
  <c r="BL791" i="8"/>
  <c r="BL741"/>
  <c r="F256" i="10"/>
  <c r="BL728" i="8"/>
  <c r="F252" i="10"/>
  <c r="F242"/>
  <c r="BL679" i="8"/>
  <c r="BL634"/>
  <c r="F231" i="10"/>
  <c r="BL562" i="8"/>
  <c r="F209" i="10"/>
  <c r="BL556" i="8"/>
  <c r="F207" i="10"/>
  <c r="BJ517" i="8"/>
  <c r="BJ518" s="1"/>
  <c r="BL516"/>
  <c r="F194" i="10"/>
  <c r="BL513" i="8"/>
  <c r="F193" i="10"/>
  <c r="F185"/>
  <c r="BL489" i="8"/>
  <c r="BL471"/>
  <c r="F179" i="10"/>
  <c r="F178"/>
  <c r="BL468" i="8"/>
  <c r="F175" i="10"/>
  <c r="BL459" i="8"/>
  <c r="F168" i="10"/>
  <c r="BL439" i="8"/>
  <c r="BL380"/>
  <c r="F149" i="10"/>
  <c r="BL368" i="8"/>
  <c r="F145" i="10"/>
  <c r="F140"/>
  <c r="BL352" i="8"/>
  <c r="BL326"/>
  <c r="F131" i="10"/>
  <c r="BL296" i="8"/>
  <c r="F120" i="10"/>
  <c r="BL242" i="8"/>
  <c r="F97" i="10"/>
  <c r="F84"/>
  <c r="BL218" i="8"/>
  <c r="BL169"/>
  <c r="F66" i="10"/>
  <c r="BL165" i="8"/>
  <c r="F64" i="10"/>
  <c r="BL153" i="8"/>
  <c r="F59" i="10"/>
  <c r="BL136" i="8"/>
  <c r="F53" i="10"/>
  <c r="BL112" i="8"/>
  <c r="F43" i="10"/>
  <c r="BJ99" i="8"/>
  <c r="BL98"/>
  <c r="F33" i="10"/>
  <c r="BK95" i="8"/>
  <c r="BL95"/>
  <c r="F30" i="10"/>
  <c r="BJ94" i="8"/>
  <c r="BL93"/>
  <c r="F29" i="10"/>
  <c r="F27"/>
  <c r="F26"/>
  <c r="BL91" i="8"/>
  <c r="F23" i="10"/>
  <c r="BL88" i="8"/>
  <c r="F16" i="10"/>
  <c r="BL81" i="8"/>
  <c r="BK10"/>
  <c r="F341" i="10"/>
  <c r="BL10" i="8"/>
  <c r="BL41"/>
  <c r="F320" i="10"/>
  <c r="BK12" i="8"/>
  <c r="BL12"/>
  <c r="F332" i="10"/>
  <c r="BL6" i="8"/>
  <c r="F340" i="10"/>
  <c r="BJ932" i="8"/>
  <c r="BL932" s="1"/>
  <c r="BJ892"/>
  <c r="BK891" s="1"/>
  <c r="BJ881"/>
  <c r="BL881" s="1"/>
  <c r="BK847"/>
  <c r="BK842"/>
  <c r="BK841"/>
  <c r="BJ838"/>
  <c r="BL838" s="1"/>
  <c r="BJ829"/>
  <c r="BL829" s="1"/>
  <c r="BK824"/>
  <c r="BJ822"/>
  <c r="BL822" s="1"/>
  <c r="BK808"/>
  <c r="BK805"/>
  <c r="BK804"/>
  <c r="BK793"/>
  <c r="BJ790"/>
  <c r="BL790" s="1"/>
  <c r="BJ765"/>
  <c r="BK763" s="1"/>
  <c r="BJ730"/>
  <c r="BL730" s="1"/>
  <c r="BK722"/>
  <c r="BJ715"/>
  <c r="BJ716" s="1"/>
  <c r="BL716" s="1"/>
  <c r="BJ686"/>
  <c r="BL686" s="1"/>
  <c r="BJ651"/>
  <c r="BJ640"/>
  <c r="BL640" s="1"/>
  <c r="BK606"/>
  <c r="BJ591"/>
  <c r="BL591" s="1"/>
  <c r="BJ576"/>
  <c r="BL576" s="1"/>
  <c r="BK570"/>
  <c r="BK551"/>
  <c r="BJ545"/>
  <c r="BJ546" s="1"/>
  <c r="BL546" s="1"/>
  <c r="BK535"/>
  <c r="BJ527"/>
  <c r="BL527" s="1"/>
  <c r="BK500"/>
  <c r="BJ475"/>
  <c r="BL475" s="1"/>
  <c r="BK461"/>
  <c r="BJ449"/>
  <c r="BL449" s="1"/>
  <c r="BK446"/>
  <c r="BJ443"/>
  <c r="BL443" s="1"/>
  <c r="BJ434"/>
  <c r="BK406"/>
  <c r="BJ401"/>
  <c r="BJ395"/>
  <c r="BL395" s="1"/>
  <c r="BJ388"/>
  <c r="BJ389" s="1"/>
  <c r="BK386"/>
  <c r="BK385"/>
  <c r="BJ375"/>
  <c r="BJ376" s="1"/>
  <c r="BJ373"/>
  <c r="BL373" s="1"/>
  <c r="BJ354"/>
  <c r="BK349"/>
  <c r="BK348"/>
  <c r="BJ342"/>
  <c r="BL342" s="1"/>
  <c r="BK340"/>
  <c r="BJ333"/>
  <c r="BK316"/>
  <c r="BJ312"/>
  <c r="BL312" s="1"/>
  <c r="BJ286"/>
  <c r="BK276"/>
  <c r="BK279"/>
  <c r="BJ270"/>
  <c r="BJ256"/>
  <c r="BL256" s="1"/>
  <c r="BK247"/>
  <c r="BK244"/>
  <c r="BK227"/>
  <c r="BJ217"/>
  <c r="BL217" s="1"/>
  <c r="BJ211"/>
  <c r="BL211" s="1"/>
  <c r="BJ195"/>
  <c r="BL195" s="1"/>
  <c r="BJ191"/>
  <c r="BL191" s="1"/>
  <c r="BJ187"/>
  <c r="BL187" s="1"/>
  <c r="BJ183"/>
  <c r="BJ184" s="1"/>
  <c r="BL184" s="1"/>
  <c r="BJ178"/>
  <c r="BL178" s="1"/>
  <c r="BK174"/>
  <c r="BK169"/>
  <c r="BJ160"/>
  <c r="BK158"/>
  <c r="BJ138"/>
  <c r="BJ134"/>
  <c r="BJ135" s="1"/>
  <c r="BK131"/>
  <c r="BJ125"/>
  <c r="BJ126" s="1"/>
  <c r="BL126" s="1"/>
  <c r="BK117"/>
  <c r="BK100"/>
  <c r="BJ77"/>
  <c r="BL77" s="1"/>
  <c r="BJ42"/>
  <c r="BL939"/>
  <c r="BK939"/>
  <c r="BL929"/>
  <c r="F8" i="10"/>
  <c r="BL906" i="8"/>
  <c r="F303" i="10"/>
  <c r="BJ924" i="8"/>
  <c r="BL923"/>
  <c r="BL897"/>
  <c r="F300" i="10"/>
  <c r="BL883" i="8"/>
  <c r="F293" i="10"/>
  <c r="BL871" i="8"/>
  <c r="F288" i="10"/>
  <c r="BL863" i="8"/>
  <c r="F285" i="10"/>
  <c r="BL853" i="8"/>
  <c r="F281" i="10"/>
  <c r="F310"/>
  <c r="BL807" i="8"/>
  <c r="BL779"/>
  <c r="F267" i="10"/>
  <c r="BL671" i="8"/>
  <c r="F240" i="10"/>
  <c r="BL653" i="8"/>
  <c r="F235" i="10"/>
  <c r="F234"/>
  <c r="BL648" i="8"/>
  <c r="BL589"/>
  <c r="F220" i="10"/>
  <c r="BL547" i="8"/>
  <c r="F204" i="10"/>
  <c r="BL541" i="8"/>
  <c r="F202" i="10"/>
  <c r="BK533" i="8"/>
  <c r="BL534"/>
  <c r="BL456"/>
  <c r="F174" i="10"/>
  <c r="BL454" i="8"/>
  <c r="F173" i="10"/>
  <c r="F166"/>
  <c r="BL433" i="8"/>
  <c r="F160" i="10"/>
  <c r="BL414" i="8"/>
  <c r="F130" i="10"/>
  <c r="BL323" i="8"/>
  <c r="BL320"/>
  <c r="F129" i="10"/>
  <c r="F125"/>
  <c r="BL308" i="8"/>
  <c r="BL302"/>
  <c r="F122" i="10"/>
  <c r="BL254" i="8"/>
  <c r="F105" i="10"/>
  <c r="BL240" i="8"/>
  <c r="F96" i="10"/>
  <c r="F78"/>
  <c r="BL207" i="8"/>
  <c r="BL179"/>
  <c r="F48" i="10"/>
  <c r="BL159" i="8"/>
  <c r="F61" i="10"/>
  <c r="F58"/>
  <c r="BL150" i="8"/>
  <c r="BK115"/>
  <c r="F44" i="10"/>
  <c r="BL115" i="8"/>
  <c r="BL105"/>
  <c r="F38" i="10"/>
  <c r="BK96" i="8"/>
  <c r="BL96"/>
  <c r="F31" i="10"/>
  <c r="BL92" i="8"/>
  <c r="F28" i="10"/>
  <c r="BL89" i="8"/>
  <c r="F24" i="10"/>
  <c r="BL80" i="8"/>
  <c r="F15" i="10"/>
  <c r="F323"/>
  <c r="BL19" i="8"/>
  <c r="BL23"/>
  <c r="F314" i="10"/>
  <c r="BL50" i="8"/>
  <c r="F317" i="10"/>
  <c r="F337"/>
  <c r="BL25" i="8"/>
  <c r="F309" i="10"/>
  <c r="BL52" i="8"/>
  <c r="BK938"/>
  <c r="BK940"/>
  <c r="BJ925"/>
  <c r="BK925" s="1"/>
  <c r="BK913"/>
  <c r="BJ901"/>
  <c r="BJ878"/>
  <c r="BJ875"/>
  <c r="BJ867"/>
  <c r="BL867" s="1"/>
  <c r="BJ862"/>
  <c r="BK845"/>
  <c r="BK837"/>
  <c r="BJ833"/>
  <c r="BK825"/>
  <c r="BJ818"/>
  <c r="BL818" s="1"/>
  <c r="BJ803"/>
  <c r="BK803" s="1"/>
  <c r="BJ796"/>
  <c r="BK791"/>
  <c r="BK792"/>
  <c r="BK786"/>
  <c r="BK779"/>
  <c r="BJ767"/>
  <c r="BJ768" s="1"/>
  <c r="BL768" s="1"/>
  <c r="BJ761"/>
  <c r="BJ762" s="1"/>
  <c r="BL762" s="1"/>
  <c r="BJ752"/>
  <c r="BJ743"/>
  <c r="BK728"/>
  <c r="BK720"/>
  <c r="BK719"/>
  <c r="BJ706"/>
  <c r="BJ702"/>
  <c r="BL702" s="1"/>
  <c r="BJ670"/>
  <c r="BL670" s="1"/>
  <c r="BJ655"/>
  <c r="BJ645"/>
  <c r="BL645" s="1"/>
  <c r="BK628"/>
  <c r="BK608"/>
  <c r="BJ602"/>
  <c r="BJ603" s="1"/>
  <c r="BL603" s="1"/>
  <c r="BJ585"/>
  <c r="BJ581"/>
  <c r="BL581" s="1"/>
  <c r="BK574"/>
  <c r="BJ573"/>
  <c r="BL573" s="1"/>
  <c r="BK569"/>
  <c r="BK556"/>
  <c r="BK537"/>
  <c r="BJ508"/>
  <c r="BL508" s="1"/>
  <c r="BK499"/>
  <c r="BJ493"/>
  <c r="BK458"/>
  <c r="BJ450"/>
  <c r="BL450" s="1"/>
  <c r="BK436"/>
  <c r="BJ432"/>
  <c r="BL432" s="1"/>
  <c r="BJ425"/>
  <c r="BL425" s="1"/>
  <c r="BK417"/>
  <c r="BK397"/>
  <c r="BK379"/>
  <c r="BK377"/>
  <c r="BK372"/>
  <c r="BK367"/>
  <c r="BK350"/>
  <c r="BJ345"/>
  <c r="BL345" s="1"/>
  <c r="BK337"/>
  <c r="BJ334"/>
  <c r="BL334" s="1"/>
  <c r="BK315"/>
  <c r="BJ307"/>
  <c r="BL307" s="1"/>
  <c r="BK304"/>
  <c r="BK303"/>
  <c r="BJ289"/>
  <c r="BK285"/>
  <c r="BJ268"/>
  <c r="BL268" s="1"/>
  <c r="BK256"/>
  <c r="BJ250"/>
  <c r="BK248" s="1"/>
  <c r="BK243"/>
  <c r="BK234"/>
  <c r="BJ222"/>
  <c r="BL222" s="1"/>
  <c r="BK217"/>
  <c r="BJ205"/>
  <c r="BL205" s="1"/>
  <c r="BK181"/>
  <c r="BJ173"/>
  <c r="BK170"/>
  <c r="BK154"/>
  <c r="BK132"/>
  <c r="BJ114"/>
  <c r="BL114" s="1"/>
  <c r="BK101"/>
  <c r="BJ67"/>
  <c r="BL67" s="1"/>
  <c r="BJ16"/>
  <c r="BK7"/>
  <c r="BL887" l="1"/>
  <c r="BK885"/>
  <c r="BK393"/>
  <c r="BL265"/>
  <c r="BK264"/>
  <c r="BJ919"/>
  <c r="BJ920" s="1"/>
  <c r="BK190"/>
  <c r="BL53"/>
  <c r="BK52"/>
  <c r="BK53"/>
  <c r="BK341"/>
  <c r="BJ681"/>
  <c r="BJ283"/>
  <c r="BJ772"/>
  <c r="BJ111"/>
  <c r="BJ467"/>
  <c r="BK465" s="1"/>
  <c r="BJ506"/>
  <c r="BK765"/>
  <c r="BK869"/>
  <c r="BK515"/>
  <c r="BJ727"/>
  <c r="BK809"/>
  <c r="BJ531"/>
  <c r="BK531" s="1"/>
  <c r="BK513"/>
  <c r="BJ852"/>
  <c r="BL852" s="1"/>
  <c r="BK870"/>
  <c r="BK505"/>
  <c r="BJ262"/>
  <c r="BK868"/>
  <c r="BK501"/>
  <c r="BK213"/>
  <c r="BK335"/>
  <c r="BJ664"/>
  <c r="BL664" s="1"/>
  <c r="BK116"/>
  <c r="BJ497"/>
  <c r="BL497" s="1"/>
  <c r="BJ274"/>
  <c r="BJ740"/>
  <c r="BK166"/>
  <c r="BL697"/>
  <c r="BJ698"/>
  <c r="BL46"/>
  <c r="BK45"/>
  <c r="BK46"/>
  <c r="BK68"/>
  <c r="BJ815"/>
  <c r="BK222"/>
  <c r="BJ757"/>
  <c r="BL512"/>
  <c r="BK511"/>
  <c r="BK568"/>
  <c r="BK263"/>
  <c r="BJ202"/>
  <c r="BK811"/>
  <c r="BJ146"/>
  <c r="BK145" s="1"/>
  <c r="BL624"/>
  <c r="BJ360"/>
  <c r="BJ665"/>
  <c r="BK470"/>
  <c r="BL801"/>
  <c r="BK801"/>
  <c r="BK799"/>
  <c r="BK800"/>
  <c r="BJ185"/>
  <c r="BL185" s="1"/>
  <c r="BJ611"/>
  <c r="BJ599"/>
  <c r="BJ678"/>
  <c r="BJ382"/>
  <c r="BK338"/>
  <c r="BL551"/>
  <c r="BK550"/>
  <c r="BJ625"/>
  <c r="BK623" s="1"/>
  <c r="BJ561"/>
  <c r="BK330"/>
  <c r="BK462"/>
  <c r="BK346"/>
  <c r="BK447"/>
  <c r="BK557"/>
  <c r="BJ259"/>
  <c r="BK259" s="1"/>
  <c r="BJ540"/>
  <c r="BJ733"/>
  <c r="BK245"/>
  <c r="BK355"/>
  <c r="BJ441"/>
  <c r="BK530"/>
  <c r="BK552"/>
  <c r="BK534"/>
  <c r="BL511"/>
  <c r="BK510"/>
  <c r="BK512"/>
  <c r="BL264"/>
  <c r="BK265"/>
  <c r="BK432"/>
  <c r="BK498"/>
  <c r="BK415"/>
  <c r="BK272"/>
  <c r="BK324"/>
  <c r="BK396"/>
  <c r="BJ198"/>
  <c r="BK490"/>
  <c r="BK807"/>
  <c r="BK405"/>
  <c r="BJ641"/>
  <c r="BK695"/>
  <c r="BK167"/>
  <c r="BK468"/>
  <c r="BK489"/>
  <c r="BL389"/>
  <c r="BK387"/>
  <c r="BL518"/>
  <c r="BK517"/>
  <c r="BJ519"/>
  <c r="BL519" s="1"/>
  <c r="BL631"/>
  <c r="BJ632"/>
  <c r="BL632" s="1"/>
  <c r="BL543"/>
  <c r="BK542"/>
  <c r="BK375"/>
  <c r="BL376"/>
  <c r="BL135"/>
  <c r="BK133"/>
  <c r="BL585"/>
  <c r="BL743"/>
  <c r="BL333"/>
  <c r="BK333"/>
  <c r="BL94"/>
  <c r="BK94"/>
  <c r="BK93"/>
  <c r="BL151"/>
  <c r="BK151"/>
  <c r="BK152"/>
  <c r="BL438"/>
  <c r="BK438"/>
  <c r="BL30"/>
  <c r="BK29"/>
  <c r="BK30"/>
  <c r="BK815"/>
  <c r="BL815"/>
  <c r="BL886"/>
  <c r="BK886"/>
  <c r="BL484"/>
  <c r="BK485"/>
  <c r="BL554"/>
  <c r="BK553"/>
  <c r="BK555"/>
  <c r="BL344"/>
  <c r="BK343"/>
  <c r="BJ482"/>
  <c r="BL482" s="1"/>
  <c r="BL481"/>
  <c r="BL590"/>
  <c r="BL856"/>
  <c r="BK856"/>
  <c r="BK448"/>
  <c r="BK669"/>
  <c r="BJ127"/>
  <c r="BL127" s="1"/>
  <c r="BJ120"/>
  <c r="BL120" s="1"/>
  <c r="BK334"/>
  <c r="BK307"/>
  <c r="BJ582"/>
  <c r="BL582" s="1"/>
  <c r="BJ687"/>
  <c r="BK730"/>
  <c r="BJ896"/>
  <c r="BJ292"/>
  <c r="BK150"/>
  <c r="BK456"/>
  <c r="BK562"/>
  <c r="BK826"/>
  <c r="BK450"/>
  <c r="BK820"/>
  <c r="BK344"/>
  <c r="BL289"/>
  <c r="BK289"/>
  <c r="BK288"/>
  <c r="BL173"/>
  <c r="BK171"/>
  <c r="BK172"/>
  <c r="BL706"/>
  <c r="BL833"/>
  <c r="BL878"/>
  <c r="BL160"/>
  <c r="BK159"/>
  <c r="BK160"/>
  <c r="BL286"/>
  <c r="BK284"/>
  <c r="BL545"/>
  <c r="BK544"/>
  <c r="BK545"/>
  <c r="BL673"/>
  <c r="BL572"/>
  <c r="BK572"/>
  <c r="BK573"/>
  <c r="BK571"/>
  <c r="BL431"/>
  <c r="BK430"/>
  <c r="BK20"/>
  <c r="BL20"/>
  <c r="BK19"/>
  <c r="BL619"/>
  <c r="BL889"/>
  <c r="BK890"/>
  <c r="BL164"/>
  <c r="BK164"/>
  <c r="BK163"/>
  <c r="BL428"/>
  <c r="BK428"/>
  <c r="BK427"/>
  <c r="BK429"/>
  <c r="BL479"/>
  <c r="BK479"/>
  <c r="BK478"/>
  <c r="BL644"/>
  <c r="BK371"/>
  <c r="BJ592"/>
  <c r="BL592" s="1"/>
  <c r="BK221"/>
  <c r="BJ301"/>
  <c r="BJ882"/>
  <c r="BK881" s="1"/>
  <c r="BK294"/>
  <c r="BK729"/>
  <c r="BL921"/>
  <c r="BK216"/>
  <c r="BK283"/>
  <c r="BK329"/>
  <c r="BJ586"/>
  <c r="BL586" s="1"/>
  <c r="BK849"/>
  <c r="BK109"/>
  <c r="BK431"/>
  <c r="BK887"/>
  <c r="BK437"/>
  <c r="BK378"/>
  <c r="BK356"/>
  <c r="BK336"/>
  <c r="BL875"/>
  <c r="BL125"/>
  <c r="BK354"/>
  <c r="BL354"/>
  <c r="BK352"/>
  <c r="BK353"/>
  <c r="BL401"/>
  <c r="BK400"/>
  <c r="BK401"/>
  <c r="BK399"/>
  <c r="BL434"/>
  <c r="BL715"/>
  <c r="BL99"/>
  <c r="BK98"/>
  <c r="BK99"/>
  <c r="BL51"/>
  <c r="BK50"/>
  <c r="BK51"/>
  <c r="BL472"/>
  <c r="BK473"/>
  <c r="BK472"/>
  <c r="BK471"/>
  <c r="BL142"/>
  <c r="BK142"/>
  <c r="BK141"/>
  <c r="BL158"/>
  <c r="BK157"/>
  <c r="BL210"/>
  <c r="BK209"/>
  <c r="BK210"/>
  <c r="BK211"/>
  <c r="BL327"/>
  <c r="BK327"/>
  <c r="BK328"/>
  <c r="BK326"/>
  <c r="BL635"/>
  <c r="BL837"/>
  <c r="BK838"/>
  <c r="BJ188"/>
  <c r="BJ494"/>
  <c r="BL494" s="1"/>
  <c r="BJ587"/>
  <c r="BL587" s="1"/>
  <c r="BK821"/>
  <c r="BJ876"/>
  <c r="BK874" s="1"/>
  <c r="BJ509"/>
  <c r="BL509" s="1"/>
  <c r="BJ707"/>
  <c r="BL707" s="1"/>
  <c r="BK788"/>
  <c r="BK194"/>
  <c r="BJ271"/>
  <c r="BL271" s="1"/>
  <c r="BK668"/>
  <c r="BK852"/>
  <c r="BK302"/>
  <c r="BK670"/>
  <c r="BK726"/>
  <c r="BJ879"/>
  <c r="BL879" s="1"/>
  <c r="BL925"/>
  <c r="BK111"/>
  <c r="BK266"/>
  <c r="BK373"/>
  <c r="BK419"/>
  <c r="BJ476"/>
  <c r="BK475" s="1"/>
  <c r="BJ522"/>
  <c r="BK522" s="1"/>
  <c r="BK364"/>
  <c r="BK855"/>
  <c r="BK507"/>
  <c r="BK305"/>
  <c r="BK173"/>
  <c r="BK851"/>
  <c r="BK215"/>
  <c r="BK295"/>
  <c r="BL655"/>
  <c r="BL517"/>
  <c r="BK519"/>
  <c r="BK518"/>
  <c r="BK516"/>
  <c r="BL44"/>
  <c r="BK43"/>
  <c r="BK44"/>
  <c r="BL866"/>
  <c r="BK867"/>
  <c r="BL66"/>
  <c r="BK66"/>
  <c r="BK65"/>
  <c r="BJ660"/>
  <c r="BL659"/>
  <c r="BL156"/>
  <c r="BK155"/>
  <c r="BK156"/>
  <c r="BL213"/>
  <c r="BK214"/>
  <c r="BL324"/>
  <c r="BK325"/>
  <c r="BK323"/>
  <c r="BL415"/>
  <c r="BK416"/>
  <c r="BL467"/>
  <c r="BK466"/>
  <c r="BL628"/>
  <c r="BK627"/>
  <c r="BK626"/>
  <c r="BL913"/>
  <c r="BK911"/>
  <c r="BK464"/>
  <c r="BK875"/>
  <c r="BK191"/>
  <c r="BK503"/>
  <c r="BK790"/>
  <c r="BK357"/>
  <c r="BK418"/>
  <c r="BJ528"/>
  <c r="BJ717"/>
  <c r="BL717" s="1"/>
  <c r="BK254"/>
  <c r="BK508"/>
  <c r="BJ753"/>
  <c r="BL753" s="1"/>
  <c r="BK291"/>
  <c r="BK281"/>
  <c r="BK866"/>
  <c r="BK255"/>
  <c r="BL16"/>
  <c r="BK16"/>
  <c r="BK15"/>
  <c r="BL493"/>
  <c r="BK493"/>
  <c r="BK494"/>
  <c r="BL767"/>
  <c r="BK768"/>
  <c r="BK767"/>
  <c r="BL138"/>
  <c r="BL388"/>
  <c r="BK388"/>
  <c r="BL651"/>
  <c r="BJ675"/>
  <c r="BL675" s="1"/>
  <c r="BL674"/>
  <c r="BL34"/>
  <c r="BK33"/>
  <c r="BK34"/>
  <c r="BK697"/>
  <c r="BL698"/>
  <c r="BL63"/>
  <c r="BK62"/>
  <c r="BK63"/>
  <c r="BL409"/>
  <c r="BK410"/>
  <c r="BL567"/>
  <c r="BK567"/>
  <c r="BK566"/>
  <c r="BK565"/>
  <c r="BL770"/>
  <c r="BL899"/>
  <c r="BK899"/>
  <c r="BL113"/>
  <c r="BK112"/>
  <c r="BK114"/>
  <c r="BK113"/>
  <c r="BL351"/>
  <c r="BK351"/>
  <c r="BL76"/>
  <c r="BK76"/>
  <c r="BK75"/>
  <c r="BK77"/>
  <c r="BL208"/>
  <c r="BK207"/>
  <c r="BJ748"/>
  <c r="BL747"/>
  <c r="BL904"/>
  <c r="BK903"/>
  <c r="BK904"/>
  <c r="BK905"/>
  <c r="BJ604"/>
  <c r="BL604" s="1"/>
  <c r="BK366"/>
  <c r="BJ934"/>
  <c r="BK694"/>
  <c r="BK189"/>
  <c r="BJ744"/>
  <c r="BL744" s="1"/>
  <c r="BK785"/>
  <c r="BK865"/>
  <c r="BJ149"/>
  <c r="BK250"/>
  <c r="BJ319"/>
  <c r="BK317" s="1"/>
  <c r="BK365"/>
  <c r="BJ413"/>
  <c r="BK411" s="1"/>
  <c r="BK497"/>
  <c r="BJ620"/>
  <c r="BK286"/>
  <c r="BK309"/>
  <c r="BK267"/>
  <c r="BK738"/>
  <c r="BK178"/>
  <c r="BK814"/>
  <c r="BK208"/>
  <c r="BK409"/>
  <c r="BK882"/>
  <c r="BK495"/>
  <c r="BL803"/>
  <c r="BK802"/>
  <c r="BL862"/>
  <c r="BK861"/>
  <c r="BK860"/>
  <c r="BK862"/>
  <c r="BL183"/>
  <c r="BK184"/>
  <c r="BL270"/>
  <c r="BK270"/>
  <c r="BL765"/>
  <c r="BK764"/>
  <c r="BL615"/>
  <c r="BL55"/>
  <c r="BK54"/>
  <c r="BK55"/>
  <c r="BL280"/>
  <c r="BK280"/>
  <c r="BK278"/>
  <c r="BL783"/>
  <c r="BL859"/>
  <c r="BK858"/>
  <c r="BK859"/>
  <c r="BK857"/>
  <c r="BL229"/>
  <c r="BK228"/>
  <c r="BK229"/>
  <c r="BL74"/>
  <c r="BK73"/>
  <c r="BK74"/>
  <c r="BL237"/>
  <c r="BK236"/>
  <c r="BL316"/>
  <c r="BK314"/>
  <c r="BL453"/>
  <c r="BK451"/>
  <c r="BK452"/>
  <c r="BJ139"/>
  <c r="BL139" s="1"/>
  <c r="BK306"/>
  <c r="BK345"/>
  <c r="BJ646"/>
  <c r="BJ583"/>
  <c r="BL583" s="1"/>
  <c r="BK182"/>
  <c r="BJ819"/>
  <c r="BL819" s="1"/>
  <c r="BJ206"/>
  <c r="BL206" s="1"/>
  <c r="BK342"/>
  <c r="BJ444"/>
  <c r="BL444" s="1"/>
  <c r="BK546"/>
  <c r="BK766"/>
  <c r="BK897"/>
  <c r="BJ253"/>
  <c r="BJ363"/>
  <c r="BL363" s="1"/>
  <c r="BJ404"/>
  <c r="BK502"/>
  <c r="BJ579"/>
  <c r="BK740"/>
  <c r="BJ784"/>
  <c r="BK783" s="1"/>
  <c r="BK192"/>
  <c r="BK414"/>
  <c r="BK496"/>
  <c r="BJ616"/>
  <c r="BK822"/>
  <c r="BK889"/>
  <c r="BK667"/>
  <c r="BK300"/>
  <c r="BK237"/>
  <c r="BK888"/>
  <c r="BK514"/>
  <c r="BK407"/>
  <c r="BK193"/>
  <c r="BK444"/>
  <c r="BL250"/>
  <c r="BK249"/>
  <c r="BL761"/>
  <c r="BK759"/>
  <c r="BK762"/>
  <c r="BK760"/>
  <c r="BK761"/>
  <c r="BL796"/>
  <c r="BL901"/>
  <c r="BL924"/>
  <c r="BK923"/>
  <c r="BK924"/>
  <c r="BL134"/>
  <c r="BK134"/>
  <c r="BK135"/>
  <c r="BL892"/>
  <c r="BK892"/>
  <c r="BL298"/>
  <c r="BK296"/>
  <c r="BK298"/>
  <c r="BL330"/>
  <c r="BK331"/>
  <c r="BL542"/>
  <c r="BK541"/>
  <c r="BL630"/>
  <c r="BL463"/>
  <c r="BK463"/>
  <c r="BL696"/>
  <c r="BK696"/>
  <c r="BK698"/>
  <c r="BL84"/>
  <c r="BK84"/>
  <c r="BL564"/>
  <c r="BK564"/>
  <c r="BL24"/>
  <c r="BK24"/>
  <c r="BK23"/>
  <c r="BL394"/>
  <c r="BK395"/>
  <c r="BK394"/>
  <c r="BL487"/>
  <c r="BK488"/>
  <c r="BK486"/>
  <c r="BK487"/>
  <c r="BL557"/>
  <c r="BK558"/>
  <c r="BL817"/>
  <c r="BK819"/>
  <c r="BK817"/>
  <c r="BK818"/>
  <c r="BL884"/>
  <c r="BK884"/>
  <c r="BK883"/>
  <c r="BK269"/>
  <c r="BK408"/>
  <c r="BJ703"/>
  <c r="BL703" s="1"/>
  <c r="BK575"/>
  <c r="BJ656"/>
  <c r="BL656" s="1"/>
  <c r="BJ797"/>
  <c r="BL797" s="1"/>
  <c r="BJ426"/>
  <c r="BL426" s="1"/>
  <c r="BK443"/>
  <c r="BJ830"/>
  <c r="BL830" s="1"/>
  <c r="BK727"/>
  <c r="BK384"/>
  <c r="BJ637"/>
  <c r="BJ778"/>
  <c r="BK776" s="1"/>
  <c r="BK850"/>
  <c r="BJ128"/>
  <c r="BL128" s="1"/>
  <c r="BK185"/>
  <c r="BJ313"/>
  <c r="BK449"/>
  <c r="BK232"/>
  <c r="BK287"/>
  <c r="BK836"/>
  <c r="BK220"/>
  <c r="BK483"/>
  <c r="BK581"/>
  <c r="BK175"/>
  <c r="BK403"/>
  <c r="BL602"/>
  <c r="BL752"/>
  <c r="BL42"/>
  <c r="BK42"/>
  <c r="BK41"/>
  <c r="BL375"/>
  <c r="BK374"/>
  <c r="BK376"/>
  <c r="BL227"/>
  <c r="BK226"/>
  <c r="BL181"/>
  <c r="BK180"/>
  <c r="BL79"/>
  <c r="BK79"/>
  <c r="BL40"/>
  <c r="BK40"/>
  <c r="BK39"/>
  <c r="BL347"/>
  <c r="BK347"/>
  <c r="BL391"/>
  <c r="BK391"/>
  <c r="BK392"/>
  <c r="BK390"/>
  <c r="BL446"/>
  <c r="BK445"/>
  <c r="BL548"/>
  <c r="BK549"/>
  <c r="BK547"/>
  <c r="BK548"/>
  <c r="BL595"/>
  <c r="BK595"/>
  <c r="BK593"/>
  <c r="BK596"/>
  <c r="BK594"/>
  <c r="BL864"/>
  <c r="BK864"/>
  <c r="BK863"/>
  <c r="BK206"/>
  <c r="BK509"/>
  <c r="BJ652"/>
  <c r="BL652" s="1"/>
  <c r="BK789"/>
  <c r="BK268"/>
  <c r="BK332"/>
  <c r="BJ435"/>
  <c r="BL435" s="1"/>
  <c r="BK204"/>
  <c r="BJ525"/>
  <c r="BJ588"/>
  <c r="BL588" s="1"/>
  <c r="BK725"/>
  <c r="BJ902"/>
  <c r="BK195"/>
  <c r="BJ691"/>
  <c r="BJ834"/>
  <c r="BL834" s="1"/>
  <c r="BJ121"/>
  <c r="BL121" s="1"/>
  <c r="BK177"/>
  <c r="BK484"/>
  <c r="BJ713"/>
  <c r="BK713" s="1"/>
  <c r="BK212"/>
  <c r="BK554"/>
  <c r="BK188"/>
  <c r="BK674"/>
  <c r="BK183"/>
  <c r="BK474"/>
  <c r="BK576"/>
  <c r="BK543"/>
  <c r="BK806"/>
  <c r="BK362"/>
  <c r="BK67"/>
  <c r="BK453"/>
  <c r="BK389"/>
  <c r="BK584" l="1"/>
  <c r="BK777"/>
  <c r="BK918"/>
  <c r="BL920"/>
  <c r="BL919"/>
  <c r="BK919"/>
  <c r="BK917"/>
  <c r="BK920"/>
  <c r="BK482"/>
  <c r="BK467"/>
  <c r="BL681"/>
  <c r="BJ682"/>
  <c r="BJ683" s="1"/>
  <c r="BL683" s="1"/>
  <c r="BL283"/>
  <c r="BK282"/>
  <c r="BL262"/>
  <c r="BK260"/>
  <c r="BK262"/>
  <c r="BK261"/>
  <c r="BL727"/>
  <c r="BK724"/>
  <c r="BL772"/>
  <c r="BJ773"/>
  <c r="BL111"/>
  <c r="BK110"/>
  <c r="BL531"/>
  <c r="BK529"/>
  <c r="BL506"/>
  <c r="BK506"/>
  <c r="BK504"/>
  <c r="BJ140"/>
  <c r="BL140" s="1"/>
  <c r="BL274"/>
  <c r="BK273"/>
  <c r="BK274"/>
  <c r="BL740"/>
  <c r="BK739"/>
  <c r="BK813"/>
  <c r="BK812"/>
  <c r="BL757"/>
  <c r="BJ758"/>
  <c r="BK758" s="1"/>
  <c r="BK756"/>
  <c r="BK816"/>
  <c r="BK828"/>
  <c r="BK424"/>
  <c r="BK829"/>
  <c r="BL202"/>
  <c r="BJ203"/>
  <c r="BL203" s="1"/>
  <c r="BK201"/>
  <c r="BL146"/>
  <c r="BK144"/>
  <c r="BK146"/>
  <c r="BK143"/>
  <c r="BL259"/>
  <c r="BK258"/>
  <c r="BK257"/>
  <c r="BL641"/>
  <c r="BJ642"/>
  <c r="BL540"/>
  <c r="BK540"/>
  <c r="BK539"/>
  <c r="BK538"/>
  <c r="BL625"/>
  <c r="BK624"/>
  <c r="BK625"/>
  <c r="BL360"/>
  <c r="BK359"/>
  <c r="BK358"/>
  <c r="BK360"/>
  <c r="BK121"/>
  <c r="BJ745"/>
  <c r="BK481"/>
  <c r="BL733"/>
  <c r="BJ734"/>
  <c r="BL561"/>
  <c r="BK560"/>
  <c r="BK559"/>
  <c r="BK561"/>
  <c r="BL611"/>
  <c r="BK611"/>
  <c r="BJ612"/>
  <c r="BK609" s="1"/>
  <c r="BL665"/>
  <c r="BJ666"/>
  <c r="BK663" s="1"/>
  <c r="BK480"/>
  <c r="BL599"/>
  <c r="BJ600"/>
  <c r="BL678"/>
  <c r="BK678"/>
  <c r="BK676"/>
  <c r="BK677"/>
  <c r="BL198"/>
  <c r="BJ199"/>
  <c r="BL441"/>
  <c r="BK440"/>
  <c r="BK441"/>
  <c r="BK439"/>
  <c r="BL382"/>
  <c r="BJ383"/>
  <c r="BK383" s="1"/>
  <c r="BK653"/>
  <c r="BL313"/>
  <c r="BK312"/>
  <c r="BL579"/>
  <c r="BK577"/>
  <c r="BL748"/>
  <c r="BJ749"/>
  <c r="BL188"/>
  <c r="BK187"/>
  <c r="BK795"/>
  <c r="BK710"/>
  <c r="BK932"/>
  <c r="BK588"/>
  <c r="BK635"/>
  <c r="BJ633"/>
  <c r="BL637"/>
  <c r="BK636"/>
  <c r="BJ617"/>
  <c r="BL617" s="1"/>
  <c r="BL616"/>
  <c r="BL149"/>
  <c r="BK148"/>
  <c r="BK147"/>
  <c r="BL882"/>
  <c r="BK880"/>
  <c r="BK585"/>
  <c r="BK583"/>
  <c r="BK672"/>
  <c r="BK313"/>
  <c r="BJ605"/>
  <c r="BK587"/>
  <c r="BK492"/>
  <c r="BL660"/>
  <c r="BJ661"/>
  <c r="BK658" s="1"/>
  <c r="BL687"/>
  <c r="BJ688"/>
  <c r="BK688" s="1"/>
  <c r="BJ692"/>
  <c r="BL692" s="1"/>
  <c r="BK649"/>
  <c r="BK137"/>
  <c r="BK579"/>
  <c r="BK711"/>
  <c r="BK126"/>
  <c r="BJ708"/>
  <c r="BK930"/>
  <c r="BK671"/>
  <c r="BK742"/>
  <c r="BK656"/>
  <c r="BL525"/>
  <c r="BK524"/>
  <c r="BL253"/>
  <c r="BK253"/>
  <c r="BK252"/>
  <c r="BK319"/>
  <c r="BL319"/>
  <c r="BK318"/>
  <c r="BL476"/>
  <c r="BK476"/>
  <c r="BJ835"/>
  <c r="BL835" s="1"/>
  <c r="BK651"/>
  <c r="BK138"/>
  <c r="BK205"/>
  <c r="BK637"/>
  <c r="BK127"/>
  <c r="BK673"/>
  <c r="BK743"/>
  <c r="BK797"/>
  <c r="BL902"/>
  <c r="BK902"/>
  <c r="BL778"/>
  <c r="BK778"/>
  <c r="BL784"/>
  <c r="BK784"/>
  <c r="BL522"/>
  <c r="BK520"/>
  <c r="BK521"/>
  <c r="BK876"/>
  <c r="BL876"/>
  <c r="BK894"/>
  <c r="BL896"/>
  <c r="BK895"/>
  <c r="BK896"/>
  <c r="BK120"/>
  <c r="BK586"/>
  <c r="BK136"/>
  <c r="BK582"/>
  <c r="BK661"/>
  <c r="BK655"/>
  <c r="BK634"/>
  <c r="BK128"/>
  <c r="BK118"/>
  <c r="BK675"/>
  <c r="BK525"/>
  <c r="BK590"/>
  <c r="BK124"/>
  <c r="BL691"/>
  <c r="BL646"/>
  <c r="BJ647"/>
  <c r="BK646" s="1"/>
  <c r="BL413"/>
  <c r="BK412"/>
  <c r="BK413"/>
  <c r="BL934"/>
  <c r="BK934"/>
  <c r="BK928"/>
  <c r="BK796"/>
  <c r="BK832"/>
  <c r="BK139"/>
  <c r="BK834"/>
  <c r="BK652"/>
  <c r="BK654"/>
  <c r="BK580"/>
  <c r="BJ718"/>
  <c r="BL718" s="1"/>
  <c r="BK186"/>
  <c r="BK877"/>
  <c r="BK119"/>
  <c r="BK592"/>
  <c r="BK650"/>
  <c r="BK901"/>
  <c r="BL713"/>
  <c r="BK709"/>
  <c r="BK712"/>
  <c r="BL404"/>
  <c r="BK404"/>
  <c r="BK402"/>
  <c r="BL528"/>
  <c r="BK527"/>
  <c r="BK526"/>
  <c r="BL301"/>
  <c r="BK299"/>
  <c r="BK301"/>
  <c r="BL292"/>
  <c r="BK290"/>
  <c r="BK292"/>
  <c r="BK125"/>
  <c r="BK251"/>
  <c r="BK361"/>
  <c r="BK782"/>
  <c r="BK648"/>
  <c r="BK140"/>
  <c r="BK659"/>
  <c r="BJ754"/>
  <c r="BK753" s="1"/>
  <c r="BK435"/>
  <c r="BK149"/>
  <c r="BK363"/>
  <c r="BK425"/>
  <c r="BK442"/>
  <c r="BK879"/>
  <c r="BK591"/>
  <c r="BK271"/>
  <c r="BK629"/>
  <c r="BL620"/>
  <c r="BJ621"/>
  <c r="BJ622" s="1"/>
  <c r="BL622" s="1"/>
  <c r="BK523"/>
  <c r="BK900"/>
  <c r="BK578"/>
  <c r="BK830"/>
  <c r="BK311"/>
  <c r="BJ704"/>
  <c r="BK700" s="1"/>
  <c r="BK426"/>
  <c r="BK434"/>
  <c r="BK528"/>
  <c r="BK589"/>
  <c r="BK878"/>
  <c r="BK433"/>
  <c r="BK631"/>
  <c r="BK200" l="1"/>
  <c r="BK202"/>
  <c r="BK203"/>
  <c r="BL682"/>
  <c r="BK683"/>
  <c r="BK679"/>
  <c r="BK681"/>
  <c r="BK682"/>
  <c r="BK680"/>
  <c r="BL773"/>
  <c r="BJ774"/>
  <c r="BK617"/>
  <c r="BK616"/>
  <c r="BK643"/>
  <c r="BK644"/>
  <c r="BK835"/>
  <c r="BK833"/>
  <c r="BK685"/>
  <c r="BK382"/>
  <c r="BL758"/>
  <c r="BK757"/>
  <c r="BK755"/>
  <c r="BK614"/>
  <c r="BK622"/>
  <c r="BK615"/>
  <c r="BK662"/>
  <c r="BK666"/>
  <c r="BL666"/>
  <c r="BK665"/>
  <c r="BK620"/>
  <c r="BL383"/>
  <c r="BK381"/>
  <c r="BK380"/>
  <c r="BK196"/>
  <c r="BK197"/>
  <c r="BK198"/>
  <c r="BL199"/>
  <c r="BK199"/>
  <c r="BL745"/>
  <c r="BK741"/>
  <c r="BK744"/>
  <c r="BK745"/>
  <c r="BK647"/>
  <c r="BK599"/>
  <c r="BK597"/>
  <c r="BK598"/>
  <c r="BK600"/>
  <c r="BL600"/>
  <c r="BK610"/>
  <c r="BK612"/>
  <c r="BL612"/>
  <c r="BL734"/>
  <c r="BJ735"/>
  <c r="BK638"/>
  <c r="BK640"/>
  <c r="BL642"/>
  <c r="BK641"/>
  <c r="BK642"/>
  <c r="BK639"/>
  <c r="BK621"/>
  <c r="BK664"/>
  <c r="BK718"/>
  <c r="BK716"/>
  <c r="BK831"/>
  <c r="BL708"/>
  <c r="BK706"/>
  <c r="BK705"/>
  <c r="BL633"/>
  <c r="BK630"/>
  <c r="BK632"/>
  <c r="BK633"/>
  <c r="BK619"/>
  <c r="BK704"/>
  <c r="BJ693"/>
  <c r="BK686"/>
  <c r="BL621"/>
  <c r="BK618"/>
  <c r="BL754"/>
  <c r="BK754"/>
  <c r="BK751"/>
  <c r="BL661"/>
  <c r="BK660"/>
  <c r="BK657"/>
  <c r="BL749"/>
  <c r="BK717"/>
  <c r="BK690"/>
  <c r="BK707"/>
  <c r="BJ750"/>
  <c r="BK748" s="1"/>
  <c r="BK701"/>
  <c r="BK708"/>
  <c r="BK613"/>
  <c r="BL605"/>
  <c r="BK604"/>
  <c r="BK605"/>
  <c r="BK603"/>
  <c r="BK602"/>
  <c r="BK601"/>
  <c r="BK752"/>
  <c r="BL704"/>
  <c r="BK702"/>
  <c r="BL647"/>
  <c r="BK645"/>
  <c r="BL688"/>
  <c r="BK684"/>
  <c r="BK687"/>
  <c r="BK703"/>
  <c r="BK714"/>
  <c r="BK715"/>
  <c r="BK693"/>
  <c r="BL774" l="1"/>
  <c r="BK772"/>
  <c r="BJ775"/>
  <c r="BK769"/>
  <c r="BL735"/>
  <c r="BK735"/>
  <c r="BK734"/>
  <c r="BK732"/>
  <c r="BK731"/>
  <c r="BK733"/>
  <c r="BK746"/>
  <c r="BL750"/>
  <c r="BK750"/>
  <c r="BK699"/>
  <c r="BK747"/>
  <c r="BK749"/>
  <c r="BK689"/>
  <c r="BL693"/>
  <c r="BK691"/>
  <c r="BK692"/>
  <c r="BL775" l="1"/>
  <c r="BK773"/>
  <c r="BK774"/>
  <c r="BK775"/>
  <c r="BK771"/>
  <c r="BK770"/>
</calcChain>
</file>

<file path=xl/sharedStrings.xml><?xml version="1.0" encoding="utf-8"?>
<sst xmlns="http://schemas.openxmlformats.org/spreadsheetml/2006/main" count="25970" uniqueCount="5808">
  <si>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</si>
  <si>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</si>
  <si>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</si>
  <si>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</si>
  <si>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</si>
  <si>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</si>
  <si>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</si>
  <si>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</si>
  <si>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</si>
  <si>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</si>
  <si>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</si>
  <si>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</si>
  <si>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</si>
  <si>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</si>
  <si>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</si>
  <si>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</si>
  <si>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</si>
  <si>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</si>
  <si>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</si>
  <si>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</si>
  <si>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</si>
  <si>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</si>
  <si>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</si>
  <si>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</si>
  <si>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</si>
  <si>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</si>
  <si>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</si>
  <si>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</si>
  <si>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</si>
  <si>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</si>
  <si>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</si>
  <si>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</si>
  <si>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</si>
  <si>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</si>
  <si>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</si>
  <si>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</si>
  <si>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</si>
  <si>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</si>
  <si>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</si>
  <si>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</si>
  <si>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</si>
  <si>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</si>
  <si>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</si>
  <si>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</si>
  <si>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</si>
  <si>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</si>
  <si>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</si>
  <si>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</si>
  <si>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</si>
  <si>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</si>
  <si>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</si>
  <si>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</si>
  <si>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</si>
  <si>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</si>
  <si>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</si>
  <si>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</si>
  <si>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</si>
  <si>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</si>
  <si>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</si>
  <si>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</si>
  <si>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</si>
  <si>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</si>
  <si>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</si>
  <si>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</si>
  <si>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</si>
  <si>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</si>
  <si>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</si>
  <si>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</si>
  <si>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</si>
  <si>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</si>
  <si>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</si>
  <si>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</si>
  <si>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</si>
  <si>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</si>
  <si>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</si>
  <si>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</si>
  <si>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</si>
  <si>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</si>
  <si>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</si>
  <si>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</si>
  <si>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</si>
  <si>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</si>
  <si>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</si>
  <si>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</si>
  <si>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</si>
  <si>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</si>
  <si>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</si>
  <si>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</si>
  <si>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</si>
  <si>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</si>
  <si>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</si>
  <si>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</si>
  <si>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</si>
  <si>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</si>
  <si>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</si>
  <si>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</si>
  <si>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</si>
  <si>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</si>
  <si>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</si>
  <si>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</si>
  <si>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</si>
  <si>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</si>
  <si>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</si>
  <si>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</si>
  <si>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</si>
  <si>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</si>
  <si>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</si>
  <si>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</si>
  <si>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</si>
  <si>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</si>
  <si>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</si>
  <si>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</si>
  <si>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</si>
  <si>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</si>
  <si>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</si>
  <si>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</si>
  <si>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</si>
  <si>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</si>
  <si>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</si>
  <si>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</si>
  <si>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</si>
  <si>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</si>
  <si>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</si>
  <si>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</si>
  <si>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</si>
  <si>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</si>
  <si>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</si>
  <si>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</si>
  <si>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</si>
  <si>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</si>
  <si>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</si>
  <si>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</si>
  <si>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</si>
  <si>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</si>
  <si>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</si>
  <si>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</si>
  <si>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</si>
  <si>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</si>
  <si>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</si>
  <si>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</si>
  <si>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</si>
  <si>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</si>
  <si>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</si>
  <si>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</si>
  <si>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>x</t>
  </si>
  <si>
    <t xml:space="preserve">    F</t>
  </si>
  <si>
    <t>90MB1BJ0-C1BAY0</t>
  </si>
  <si>
    <t>461E</t>
  </si>
  <si>
    <t>15220-10620100</t>
  </si>
  <si>
    <t xml:space="preserve">     TUF GAMING CERTIFICATE CARD BR</t>
  </si>
  <si>
    <t xml:space="preserve">  MG34C</t>
  </si>
  <si>
    <t>ECNCO</t>
  </si>
  <si>
    <t>15091-67520000</t>
  </si>
  <si>
    <t xml:space="preserve">   M6650 SDVD TUF GAMING X670E SERIES</t>
  </si>
  <si>
    <t>15000-1333X000</t>
  </si>
  <si>
    <t xml:space="preserve">     MG3854U-C GB TG X670E-PLUS BR</t>
  </si>
  <si>
    <t>15030-07622000</t>
  </si>
  <si>
    <t xml:space="preserve">      MC105-2-C CARTON FOR B TYPE</t>
  </si>
  <si>
    <t>15240-09080000</t>
  </si>
  <si>
    <t xml:space="preserve">  PARTITION FOR ARTICHOKE_B TYPE W_4 C</t>
  </si>
  <si>
    <t>15050-03450000</t>
  </si>
  <si>
    <t xml:space="preserve">      EPE SHEET FOR B TYPE CARTON</t>
  </si>
  <si>
    <t>15050-05890000</t>
  </si>
  <si>
    <t xml:space="preserve">    EPE CUSHION FOR MC105-2-C CARTON</t>
  </si>
  <si>
    <t>15190-00052000</t>
  </si>
  <si>
    <t xml:space="preserve">       ESD SHIELDING BAG 0.075MM</t>
  </si>
  <si>
    <t>15060-20XB0000</t>
  </si>
  <si>
    <t xml:space="preserve">        Q20196 QSG TG X670E-PLUS</t>
  </si>
  <si>
    <t>14013-00024100</t>
  </si>
  <si>
    <t>SATA 6G CABLE 7P G/F 500 BLK HONGJIXIN/S</t>
  </si>
  <si>
    <t xml:space="preserve">  A0</t>
  </si>
  <si>
    <t>14013-00025000</t>
  </si>
  <si>
    <t>SATA 6G CABLE 7P G/F 500 BLK ASAP/L67SA1</t>
  </si>
  <si>
    <t>13090-00070400</t>
  </si>
  <si>
    <t xml:space="preserve"> RUBBER 9X9X1T 1IN1 JUN BWO JM-ASUS-004</t>
  </si>
  <si>
    <t xml:space="preserve">  A1</t>
  </si>
  <si>
    <t>13090-00141300</t>
  </si>
  <si>
    <t xml:space="preserve">      RUBBER 9X9X1T 1IN1 SHENGFENG</t>
  </si>
  <si>
    <t>13090-00070300</t>
  </si>
  <si>
    <t>RUBBER 9X9X1T 2IN1 SHENGFENG SFRUBBER201</t>
  </si>
  <si>
    <t xml:space="preserve">  A2</t>
  </si>
  <si>
    <t>13090-00070500</t>
  </si>
  <si>
    <t xml:space="preserve"> RUBBER 9X9X1T 2IN1 JUN BWO/JM-ASUS-005</t>
  </si>
  <si>
    <t>13020-01811500</t>
  </si>
  <si>
    <t xml:space="preserve"> M.2 SCREW(P+C)+SCREW HEX 2IN1 HARMONY</t>
  </si>
  <si>
    <t xml:space="preserve">  A3</t>
  </si>
  <si>
    <t>13020-01811900</t>
  </si>
  <si>
    <t xml:space="preserve">  M.2 SCREW(P+C)+SCREW HEX 2IN1 CUNYIN</t>
  </si>
  <si>
    <t>13020-01811600</t>
  </si>
  <si>
    <t xml:space="preserve">    M.2 SCREW(P+C)+SCREW HEX HARMONY</t>
  </si>
  <si>
    <t xml:space="preserve">  A4</t>
  </si>
  <si>
    <t>13020-01812000</t>
  </si>
  <si>
    <t xml:space="preserve">    M.2 SCREW(P+C)+SCREW HEX//CUNYIN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</si>
  <si>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</si>
  <si>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</si>
  <si>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</si>
  <si>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</si>
  <si>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</si>
  <si>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 xml:space="preserve">  ASUS WEBSTORAGE STICKER_BLACK//V1.0</t>
  </si>
  <si>
    <t>15100-13991200</t>
  </si>
  <si>
    <t xml:space="preserve">        TUF GAMING STICKER V5.0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</si>
  <si>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</si>
  <si>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</si>
  <si>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</si>
  <si>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</si>
  <si>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</si>
  <si>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</si>
  <si>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</si>
  <si>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</si>
  <si>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</si>
  <si>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</si>
  <si>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</si>
  <si>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</si>
  <si>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</si>
  <si>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</si>
  <si>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</si>
  <si>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</si>
  <si>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</si>
  <si>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</si>
  <si>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</si>
  <si>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</si>
  <si>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</si>
  <si>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</si>
  <si>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</si>
  <si>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</si>
  <si>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</si>
  <si>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</si>
  <si>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</si>
  <si>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</si>
  <si>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 xml:space="preserve">  B0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</si>
  <si>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</si>
  <si>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</si>
  <si>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</si>
  <si>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</si>
  <si>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</si>
  <si>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</si>
  <si>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</si>
  <si>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</si>
  <si>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</si>
  <si>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</si>
  <si>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</si>
  <si>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</si>
  <si>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</si>
  <si>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</si>
  <si>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</si>
  <si>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</si>
  <si>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</si>
  <si>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</si>
  <si>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</si>
  <si>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</si>
  <si>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</si>
  <si>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</si>
  <si>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</si>
  <si>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 xml:space="preserve">         MZ690H E1 QLATCH XIEYI</t>
  </si>
  <si>
    <t>13040-00270500</t>
  </si>
  <si>
    <t>MYLAR 2 7.5X3.2X0.325 JUN BWO/JM-ASUS-00</t>
  </si>
  <si>
    <t xml:space="preserve">  B5</t>
  </si>
  <si>
    <t>13040-01260000</t>
  </si>
  <si>
    <t xml:space="preserve">     MYLAR-2 7.5X3.2X0.325 SHENGFEN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</si>
  <si>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</si>
  <si>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</si>
  <si>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</si>
  <si>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</si>
  <si>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</si>
  <si>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</si>
  <si>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 RUBBER 9X9X5T JUN BWO/JM-ASUS-007</t>
  </si>
  <si>
    <t xml:space="preserve">  B7</t>
  </si>
  <si>
    <t>13090-00141400</t>
  </si>
  <si>
    <t xml:space="preserve">        RUBBER 9X9X5T SHENGFENG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</si>
  <si>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</si>
  <si>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</si>
  <si>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</si>
  <si>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</si>
  <si>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</si>
  <si>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</si>
  <si>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</si>
  <si>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</si>
  <si>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</si>
  <si>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</si>
  <si>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</si>
  <si>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</si>
  <si>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</si>
  <si>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FBRLA0004969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</si>
  <si>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</si>
  <si>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</si>
  <si>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</si>
  <si>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</si>
  <si>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</si>
  <si>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>59MB1BJB-MB0A02S</t>
  </si>
  <si>
    <t xml:space="preserve"> PCB SUBASSEMBLY TUF GAMING X670E-PLUS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</si>
  <si>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</si>
  <si>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</si>
  <si>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</si>
  <si>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</si>
  <si>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</si>
  <si>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</si>
  <si>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</si>
  <si>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</si>
  <si>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</si>
  <si>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</si>
  <si>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</si>
  <si>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 xml:space="preserve">    LOGIC SN74AUP1G08DRLR SOT-553 TI</t>
  </si>
  <si>
    <t>06004-00220000</t>
  </si>
  <si>
    <t xml:space="preserve">    LOGIC 74CBTLV3126DS SSOP16//NXP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</si>
  <si>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</si>
  <si>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</si>
  <si>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</si>
  <si>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</si>
  <si>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</si>
  <si>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</si>
  <si>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</si>
  <si>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</si>
  <si>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</si>
  <si>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LDO REG. EM5106VT DFN-10L EXCELLIANCE</t>
  </si>
  <si>
    <t xml:space="preserve">  MG3100</t>
  </si>
  <si>
    <t>06007-00500000</t>
  </si>
  <si>
    <t xml:space="preserve">  LDO REG. GS7163TD-RNIKO-SEM TDFN-10</t>
  </si>
  <si>
    <t>06007-00980100</t>
  </si>
  <si>
    <t xml:space="preserve"> LDO REG. UP0132QDDA//UPI WDFN-10L(3*3)</t>
  </si>
  <si>
    <t>06007-01250000</t>
  </si>
  <si>
    <t xml:space="preserve">  LDO REG. UP8805QMA5-00 UPI SOT23-5L</t>
  </si>
  <si>
    <t>06007-02040000</t>
  </si>
  <si>
    <t xml:space="preserve"> LDO REG. APL5325ABI-TRG ANPEC SOT23-5</t>
  </si>
  <si>
    <t>06014-01430000</t>
  </si>
  <si>
    <t xml:space="preserve">        MCU AURA32UA0 QFN32 ENE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</si>
  <si>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</si>
  <si>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</si>
  <si>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</si>
  <si>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</si>
  <si>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</si>
  <si>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 xml:space="preserve"> POWER SW. UP7549TMA5-25 SOT-23-5L//UPI</t>
  </si>
  <si>
    <t>06016-02980000</t>
  </si>
  <si>
    <t xml:space="preserve"> POWER SW. AP22818AKEWT-7 TSOT25 DIODES</t>
  </si>
  <si>
    <t>06018-03040100</t>
  </si>
  <si>
    <t>Circuito Integrado digital regulador de</t>
  </si>
  <si>
    <t>06021-00400000</t>
  </si>
  <si>
    <t xml:space="preserve"> AD DA CONVERTER NCT3933Y DFN-8 NUVOTON</t>
  </si>
  <si>
    <t>06024-00160000</t>
  </si>
  <si>
    <t xml:space="preserve">    CONTROLLER UP7501M8 UPI SOT23-8L</t>
  </si>
  <si>
    <t>06037-00200300</t>
  </si>
  <si>
    <t xml:space="preserve">       EC KB3724Q D LQFP-64//ENE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</si>
  <si>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</si>
  <si>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</si>
  <si>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</si>
  <si>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</si>
  <si>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</si>
  <si>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</si>
  <si>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</si>
  <si>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</si>
  <si>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</si>
  <si>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</si>
  <si>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</si>
  <si>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</si>
  <si>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</si>
  <si>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</si>
  <si>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</si>
  <si>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</si>
  <si>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</si>
  <si>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</si>
  <si>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</si>
  <si>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</si>
  <si>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</si>
  <si>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</si>
  <si>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</si>
  <si>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 xml:space="preserve"> BRIDGE AI1315 QFN48ASMEDIA USB TO SPI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</si>
  <si>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</si>
  <si>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</si>
  <si>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</si>
  <si>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</si>
  <si>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</si>
  <si>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 xml:space="preserve">     LAN RTL8125BG-CG QFN48 REALTEK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</si>
  <si>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</si>
  <si>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</si>
  <si>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</si>
  <si>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</si>
  <si>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</si>
  <si>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</si>
  <si>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</si>
  <si>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 xml:space="preserve"> REDRIVER IC PS7101-51 FCCSP-77//PHISON</t>
  </si>
  <si>
    <t>06116-00440200</t>
  </si>
  <si>
    <t>SUPER IO NCT6799D-R B LQFP-128//NUVOTON</t>
  </si>
  <si>
    <t>06010-00490000</t>
  </si>
  <si>
    <t xml:space="preserve">     OP AMP. LM358G-S08-R UTC SOP-8</t>
  </si>
  <si>
    <t>06G01000831L</t>
  </si>
  <si>
    <t xml:space="preserve">       OP AMP. LM358DR2G SO-8  ON</t>
  </si>
  <si>
    <t>06G010121012</t>
  </si>
  <si>
    <t xml:space="preserve">         OP AMP.AS358MTR-E1SO-8</t>
  </si>
  <si>
    <t>06010-00240000</t>
  </si>
  <si>
    <t xml:space="preserve">       OP AMP. GS324ASF SOP-14 GS</t>
  </si>
  <si>
    <t>06G010132010</t>
  </si>
  <si>
    <t xml:space="preserve"> OP AMP. LM324DR2G SO-14 ON-SEMI  T8453</t>
  </si>
  <si>
    <t>06G010205010</t>
  </si>
  <si>
    <t xml:space="preserve">    OP AMP. AS324MTR-E1 SOIC-14 AAC</t>
  </si>
  <si>
    <t>06G011034011</t>
  </si>
  <si>
    <t xml:space="preserve"> CLOCK Gen. ICS9112AM-16LFT//ICS SOIC-8</t>
  </si>
  <si>
    <t>06016-01080000</t>
  </si>
  <si>
    <t xml:space="preserve">  ANALOG SW. AZAW1210C AMAZING SC70-6</t>
  </si>
  <si>
    <t>06G016067020</t>
  </si>
  <si>
    <t xml:space="preserve"> ANALOG SW. SN74LVC1G3157DCKR//TI SC-70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</si>
  <si>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</si>
  <si>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</si>
  <si>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</si>
  <si>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</si>
  <si>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</si>
  <si>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</si>
  <si>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</si>
  <si>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</si>
  <si>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</si>
  <si>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POWER SW. NCT3521U SOT23-5//NUVOTON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</si>
  <si>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</si>
  <si>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</si>
  <si>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</si>
  <si>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</si>
  <si>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</si>
  <si>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</si>
  <si>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</si>
  <si>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</si>
  <si>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</si>
  <si>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</si>
  <si>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</si>
  <si>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 xml:space="preserve">   N-MOSFET NX7002BK NEXPERIA SOT-23</t>
  </si>
  <si>
    <t>07G005000B12</t>
  </si>
  <si>
    <t xml:space="preserve">     N-MOSFET 2N7002K SOT-23 PANJIT</t>
  </si>
  <si>
    <t>07005-00273600</t>
  </si>
  <si>
    <t xml:space="preserve"> N-MOSFET L2N7002SLT1GS-HS//LRC SOT-23</t>
  </si>
  <si>
    <t>07005-00273800</t>
  </si>
  <si>
    <t>DUAL N-MOSFET L2N7002SDW1T1GS-HS//LRC SO</t>
  </si>
  <si>
    <t>07005-00660500</t>
  </si>
  <si>
    <t xml:space="preserve">    N-MOSFET PJA138K//PANJIT SOT-23</t>
  </si>
  <si>
    <t>07G005032410</t>
  </si>
  <si>
    <t xml:space="preserve">    N-MOSFET BSS138 SOT-23 FAIRCHILD</t>
  </si>
  <si>
    <t>07005-00800000</t>
  </si>
  <si>
    <t xml:space="preserve"> P-MOSFET EMF44P02V EDFN33 EXCELLIANCE</t>
  </si>
  <si>
    <t>07005-04030000</t>
  </si>
  <si>
    <t xml:space="preserve">    P-MOSFET AP2335YT APEC PMPAK3X3</t>
  </si>
  <si>
    <t>07005-A0870000</t>
  </si>
  <si>
    <t xml:space="preserve">  P-MOSFET PE597BA NIKO-SEM PDFN 3X3P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</si>
  <si>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</si>
  <si>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</si>
  <si>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</si>
  <si>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</si>
  <si>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</si>
  <si>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</si>
  <si>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</si>
  <si>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 xml:space="preserve">     P-MOSFET AP3P021H APEC TO-252</t>
  </si>
  <si>
    <t>07005-04000000</t>
  </si>
  <si>
    <t xml:space="preserve">    P-MOSFET PD551BA NIKO-SEM TO-252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</si>
  <si>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</si>
  <si>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</si>
  <si>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</si>
  <si>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</si>
  <si>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</si>
  <si>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</si>
  <si>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</si>
  <si>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</si>
  <si>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</si>
  <si>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</si>
  <si>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</si>
  <si>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</si>
  <si>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</si>
  <si>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</si>
  <si>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</si>
  <si>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</si>
  <si>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</si>
  <si>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</si>
  <si>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</si>
  <si>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</si>
  <si>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</si>
  <si>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</si>
  <si>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</si>
  <si>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</si>
  <si>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</si>
  <si>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</si>
  <si>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</si>
  <si>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</si>
  <si>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</si>
  <si>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</si>
  <si>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</si>
  <si>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 xml:space="preserve">     XTAL 32.768KHZ SMD 12.5PF/20PP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</si>
  <si>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</si>
  <si>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</si>
  <si>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</si>
  <si>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</si>
  <si>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</si>
  <si>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</si>
  <si>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</si>
  <si>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</si>
  <si>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</si>
  <si>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</si>
  <si>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</si>
  <si>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</si>
  <si>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</si>
  <si>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</si>
  <si>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</si>
  <si>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</si>
  <si>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</si>
  <si>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</si>
  <si>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</si>
  <si>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</si>
  <si>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</si>
  <si>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</si>
  <si>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</si>
  <si>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</si>
  <si>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 xml:space="preserve">        VARISTOR 5.5V 100PF 0402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</si>
  <si>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</si>
  <si>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</si>
  <si>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</si>
  <si>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</si>
  <si>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</si>
  <si>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</si>
  <si>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</si>
  <si>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</si>
  <si>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</si>
  <si>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</si>
  <si>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</si>
  <si>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</si>
  <si>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</si>
  <si>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</si>
  <si>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</si>
  <si>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</si>
  <si>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</si>
  <si>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</si>
  <si>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</si>
  <si>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</si>
  <si>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</si>
  <si>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</si>
  <si>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</si>
  <si>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</si>
  <si>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</si>
  <si>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</si>
  <si>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</si>
  <si>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</si>
  <si>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</si>
  <si>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</si>
  <si>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 xml:space="preserve">     TRASIS.LMBT3906LT1G SOT-23 LRC</t>
  </si>
  <si>
    <t>07G003001120</t>
  </si>
  <si>
    <t xml:space="preserve">        TRASIS. PMBS3906 SOT-23</t>
  </si>
  <si>
    <t>07G003001211</t>
  </si>
  <si>
    <t xml:space="preserve">      TRASIS. MMBT3906-7-F SOT-23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</si>
  <si>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</si>
  <si>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</si>
  <si>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</si>
  <si>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</si>
  <si>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</si>
  <si>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</si>
  <si>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</si>
  <si>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</si>
  <si>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</si>
  <si>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</si>
  <si>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</si>
  <si>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</si>
  <si>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</si>
  <si>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</si>
  <si>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</si>
  <si>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</si>
  <si>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</si>
  <si>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</si>
  <si>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</si>
  <si>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</si>
  <si>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</si>
  <si>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 xml:space="preserve">    P-MOSFET AP3P050AG//APEC SOT-89</t>
  </si>
  <si>
    <t>07005-03980000</t>
  </si>
  <si>
    <t xml:space="preserve">   P-MOSFET PC561BA//NIKO-SEM SOT-89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</si>
  <si>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</si>
  <si>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</si>
  <si>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</si>
  <si>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</si>
  <si>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</si>
  <si>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 xml:space="preserve">   P-MOSFET AP2301EN-HF SOT-23S APEC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</si>
  <si>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</si>
  <si>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</si>
  <si>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</si>
  <si>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</si>
  <si>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</si>
  <si>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</si>
  <si>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</si>
  <si>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 xml:space="preserve">    N-MOSFET AP3N020YT APEC PMPAK3X3</t>
  </si>
  <si>
    <t>07005-A0550000</t>
  </si>
  <si>
    <t xml:space="preserve">  N-MOSFET PEA28BA NIKO-SEM PDFN 3X3P</t>
  </si>
  <si>
    <t>07G005C55010</t>
  </si>
  <si>
    <t>N-MOSFET EMB20N03V POWER PAK EXCELLIANCE</t>
  </si>
  <si>
    <t>07G015200612</t>
  </si>
  <si>
    <t xml:space="preserve"> LED YELLOW SMD LITEON/LTST-C193KSKT-5A</t>
  </si>
  <si>
    <t>07G015700294</t>
  </si>
  <si>
    <t>LED Yellow SMD  0603  EVERLIGHT/19-217UY</t>
  </si>
  <si>
    <t>07G015200630</t>
  </si>
  <si>
    <t xml:space="preserve">  LED RED SMD LITE-ON LTST-C193KRKT-5A</t>
  </si>
  <si>
    <t>07G015700410</t>
  </si>
  <si>
    <t>LED RED SMD  0603   EVERLIGHT 19-217 R6C</t>
  </si>
  <si>
    <t>07G015N00080</t>
  </si>
  <si>
    <t>LED RED SMD  0603   LIGITEK LG-192HRF-CT</t>
  </si>
  <si>
    <t>07G015200225</t>
  </si>
  <si>
    <t xml:space="preserve">   LED Y G SMD LITE-ON/LTST-C190KGKT</t>
  </si>
  <si>
    <t>07G015700285</t>
  </si>
  <si>
    <t>LED YELLOW/GREEN  0603  SMD EVERLIGHT/19</t>
  </si>
  <si>
    <t>07G015N00251</t>
  </si>
  <si>
    <t xml:space="preserve">  LED GREEN SMD LIGITEK/LG-192-8UG-CT</t>
  </si>
  <si>
    <t>07G01520098A</t>
  </si>
  <si>
    <t xml:space="preserve">    LED WHITE SMD LITEON/LTW-C193TS5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</si>
  <si>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</si>
  <si>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</si>
  <si>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</si>
  <si>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</si>
  <si>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</si>
  <si>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</si>
  <si>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</si>
  <si>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</si>
  <si>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</si>
  <si>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</si>
  <si>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</si>
  <si>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</si>
  <si>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</si>
  <si>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</si>
  <si>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</si>
  <si>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</si>
  <si>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</si>
  <si>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</si>
  <si>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</si>
  <si>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</si>
  <si>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</si>
  <si>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</si>
  <si>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</si>
  <si>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</si>
  <si>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</si>
  <si>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</si>
  <si>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</si>
  <si>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</si>
  <si>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</si>
  <si>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</si>
  <si>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 xml:space="preserve">     RES 10K OHM 1/10W (0603)1% A-S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</si>
  <si>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</si>
  <si>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</si>
  <si>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</si>
  <si>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</si>
  <si>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</si>
  <si>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</si>
  <si>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</si>
  <si>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</si>
  <si>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</si>
  <si>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</si>
  <si>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</si>
  <si>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</si>
  <si>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</si>
  <si>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</si>
  <si>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</si>
  <si>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</si>
  <si>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</si>
  <si>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</si>
  <si>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</si>
  <si>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</si>
  <si>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</si>
  <si>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</si>
  <si>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</si>
  <si>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</si>
  <si>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</si>
  <si>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</si>
  <si>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</si>
  <si>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</si>
  <si>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</si>
  <si>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 xml:space="preserve">     RES 13.3KOHM 1/10W(0603)1% A-S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</si>
  <si>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</si>
  <si>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</si>
  <si>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</si>
  <si>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</si>
  <si>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</si>
  <si>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</si>
  <si>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</si>
  <si>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</si>
  <si>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</si>
  <si>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</si>
  <si>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</si>
  <si>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</si>
  <si>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</si>
  <si>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</si>
  <si>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</si>
  <si>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</si>
  <si>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</si>
  <si>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 xml:space="preserve">       RES 10 OHM 1/16W (0402) 5%</t>
  </si>
  <si>
    <t>10G212100004020</t>
  </si>
  <si>
    <t xml:space="preserve">        RES 10 OHM 1 16W 0402 5%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</si>
  <si>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</si>
  <si>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</si>
  <si>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</si>
  <si>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</si>
  <si>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</si>
  <si>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</si>
  <si>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</si>
  <si>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</si>
  <si>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</si>
  <si>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</si>
  <si>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</si>
  <si>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</si>
  <si>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</si>
  <si>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</si>
  <si>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</si>
  <si>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</si>
  <si>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</si>
  <si>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</si>
  <si>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</si>
  <si>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</si>
  <si>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</si>
  <si>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</si>
  <si>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</si>
  <si>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</si>
  <si>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</si>
  <si>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</si>
  <si>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</si>
  <si>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</si>
  <si>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</si>
  <si>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</si>
  <si>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</si>
  <si>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</si>
  <si>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</si>
  <si>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</si>
  <si>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</si>
  <si>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</si>
  <si>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</si>
  <si>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</si>
  <si>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</si>
  <si>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</si>
  <si>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</si>
  <si>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</si>
  <si>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</si>
  <si>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</si>
  <si>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</si>
  <si>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</si>
  <si>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</si>
  <si>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</si>
  <si>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</si>
  <si>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</si>
  <si>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</si>
  <si>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 xml:space="preserve">      RES 12.1K OHM 1/16W(0402)1%</t>
  </si>
  <si>
    <t>10G212121214020</t>
  </si>
  <si>
    <t>10G212121214050</t>
  </si>
  <si>
    <t xml:space="preserve"> RES 12.1K OHM 1 16W  0402 1% UNI-OHM 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</si>
  <si>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</si>
  <si>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</si>
  <si>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</si>
  <si>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</si>
  <si>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</si>
  <si>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</si>
  <si>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</si>
  <si>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</si>
  <si>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</si>
  <si>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</si>
  <si>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</si>
  <si>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</si>
  <si>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</si>
  <si>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</si>
  <si>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</si>
  <si>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 xml:space="preserve"> RES 13K OHM 1 16W 0402 1% RALEC RTT02</t>
  </si>
  <si>
    <t>10G212130214050</t>
  </si>
  <si>
    <t xml:space="preserve"> RES 13K OHM 1 16W 0402 1% UNI-OHM 040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</si>
  <si>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</si>
  <si>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</si>
  <si>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</si>
  <si>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</si>
  <si>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</si>
  <si>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</si>
  <si>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</si>
  <si>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</si>
  <si>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</si>
  <si>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</si>
  <si>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</si>
  <si>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</si>
  <si>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</si>
  <si>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</si>
  <si>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</si>
  <si>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</si>
  <si>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</si>
  <si>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</si>
  <si>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</si>
  <si>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 xml:space="preserve">      RES 1.8K OHM 1/16W (0402)1%</t>
  </si>
  <si>
    <t>10G212180114020</t>
  </si>
  <si>
    <t xml:space="preserve">       RES 1.8K OHM 1 16W 0402 1%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</si>
  <si>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</si>
  <si>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</si>
  <si>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</si>
  <si>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</si>
  <si>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</si>
  <si>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</si>
  <si>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</si>
  <si>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</si>
  <si>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</si>
  <si>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</si>
  <si>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</si>
  <si>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</si>
  <si>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</si>
  <si>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</si>
  <si>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</si>
  <si>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</si>
  <si>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</si>
  <si>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</si>
  <si>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</si>
  <si>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</si>
  <si>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</si>
  <si>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</si>
  <si>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</si>
  <si>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</si>
  <si>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</si>
  <si>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</si>
  <si>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</si>
  <si>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</si>
  <si>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</si>
  <si>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</si>
  <si>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</si>
  <si>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</si>
  <si>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</si>
  <si>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</si>
  <si>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</si>
  <si>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</si>
  <si>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</si>
  <si>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</si>
  <si>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</si>
  <si>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</si>
  <si>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</si>
  <si>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</si>
  <si>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</si>
  <si>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</si>
  <si>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</si>
  <si>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</si>
  <si>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</si>
  <si>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</si>
  <si>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</si>
  <si>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</si>
  <si>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</si>
  <si>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</si>
  <si>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</si>
  <si>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 xml:space="preserve">  C0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</si>
  <si>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</si>
  <si>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</si>
  <si>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</si>
  <si>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</si>
  <si>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</si>
  <si>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    RES 220K OHM 1/16W (0402) 1%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</si>
  <si>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</si>
  <si>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</si>
  <si>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</si>
  <si>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</si>
  <si>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</si>
  <si>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</si>
  <si>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</si>
  <si>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</si>
  <si>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</si>
  <si>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</si>
  <si>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</si>
  <si>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</si>
  <si>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</si>
  <si>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</si>
  <si>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</si>
  <si>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</si>
  <si>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</si>
  <si>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</si>
  <si>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</si>
  <si>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</si>
  <si>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</si>
  <si>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</si>
  <si>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</si>
  <si>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</si>
  <si>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</si>
  <si>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</si>
  <si>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</si>
  <si>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</si>
  <si>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</si>
  <si>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</si>
  <si>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</si>
  <si>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</si>
  <si>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   RES 2.49K OHM 1/16W (0402) 1%</t>
  </si>
  <si>
    <t xml:space="preserve">  C6</t>
  </si>
  <si>
    <t>10G212249114020</t>
  </si>
  <si>
    <t xml:space="preserve"> RES 2.49K OHM 1 16W 0402 1% RALEC RTT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</si>
  <si>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</si>
  <si>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</si>
  <si>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</si>
  <si>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</si>
  <si>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</si>
  <si>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</si>
  <si>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</si>
  <si>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</si>
  <si>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</si>
  <si>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</si>
  <si>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</si>
  <si>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</si>
  <si>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</si>
  <si>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</si>
  <si>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</si>
  <si>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</si>
  <si>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</si>
  <si>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</si>
  <si>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</si>
  <si>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</si>
  <si>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</si>
  <si>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</si>
  <si>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</si>
  <si>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</si>
  <si>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</si>
  <si>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 xml:space="preserve">  D0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</si>
  <si>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</si>
  <si>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</si>
  <si>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</si>
  <si>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</si>
  <si>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</si>
  <si>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</si>
  <si>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</si>
  <si>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</si>
  <si>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</si>
  <si>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</si>
  <si>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</si>
  <si>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</si>
  <si>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    RES 2.2 OHM 1/16W (0402) 5%</t>
  </si>
  <si>
    <t xml:space="preserve">  D2</t>
  </si>
  <si>
    <t>10G2122R2004020</t>
  </si>
  <si>
    <t>RES 2.2 OHM 1/16W  0402  5% RALEC/RTT022</t>
  </si>
  <si>
    <t>10G2122R2004030</t>
  </si>
  <si>
    <t xml:space="preserve">       RES 2.2 OHM 1/16W (0402)5%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</si>
  <si>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</si>
  <si>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</si>
  <si>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</si>
  <si>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</si>
  <si>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</si>
  <si>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</si>
  <si>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</si>
  <si>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</si>
  <si>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</si>
  <si>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</si>
  <si>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</si>
  <si>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</si>
  <si>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</si>
  <si>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</si>
  <si>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</si>
  <si>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</si>
  <si>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</si>
  <si>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</si>
  <si>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</si>
  <si>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</si>
  <si>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</si>
  <si>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</si>
  <si>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</si>
  <si>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</si>
  <si>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</si>
  <si>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</si>
  <si>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</si>
  <si>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</si>
  <si>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</si>
  <si>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</si>
  <si>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</si>
  <si>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</si>
  <si>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</si>
  <si>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</si>
  <si>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</si>
  <si>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</si>
  <si>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</si>
  <si>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</si>
  <si>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</si>
  <si>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</si>
  <si>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</si>
  <si>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</si>
  <si>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</si>
  <si>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</si>
  <si>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</si>
  <si>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</si>
  <si>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</si>
  <si>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</si>
  <si>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</si>
  <si>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</si>
  <si>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</si>
  <si>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</si>
  <si>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</si>
  <si>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</si>
  <si>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 xml:space="preserve">  E0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</si>
  <si>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</si>
  <si>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</si>
  <si>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</si>
  <si>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</si>
  <si>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</si>
  <si>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</si>
  <si>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</si>
  <si>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</si>
  <si>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</si>
  <si>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</si>
  <si>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</si>
  <si>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</si>
  <si>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</si>
  <si>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</si>
  <si>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</si>
  <si>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</si>
  <si>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</si>
  <si>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</si>
  <si>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</si>
  <si>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</si>
  <si>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</si>
  <si>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</si>
  <si>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</si>
  <si>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</si>
  <si>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</si>
  <si>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</si>
  <si>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      RES 39 OHM 1/16W(0402)1%</t>
  </si>
  <si>
    <t xml:space="preserve">  E4</t>
  </si>
  <si>
    <t>10G21239R014020</t>
  </si>
  <si>
    <t xml:space="preserve">       RES 39 OHM 1/16W (0402) 1%</t>
  </si>
  <si>
    <t>10G21239R014050</t>
  </si>
  <si>
    <t>RES 39 OHM 1/16W  0402  1% UNI-OHM/0402W</t>
  </si>
  <si>
    <t>10G212402214010</t>
  </si>
  <si>
    <t xml:space="preserve">     RES 40.2K OHM 1/16W (0402) 1%</t>
  </si>
  <si>
    <t xml:space="preserve">  E5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</si>
  <si>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</si>
  <si>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</si>
  <si>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</si>
  <si>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</si>
  <si>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</si>
  <si>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</si>
  <si>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</si>
  <si>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</si>
  <si>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</si>
  <si>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</si>
  <si>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</si>
  <si>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</si>
  <si>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</si>
  <si>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</si>
  <si>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</si>
  <si>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</si>
  <si>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</si>
  <si>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</si>
  <si>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</si>
  <si>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</si>
  <si>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</si>
  <si>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</si>
  <si>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</si>
  <si>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</si>
  <si>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</si>
  <si>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</si>
  <si>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</si>
  <si>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</si>
  <si>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</si>
  <si>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</si>
  <si>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</si>
  <si>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</si>
  <si>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</si>
  <si>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 xml:space="preserve">      RES 5.36K OHM 1/16W(0402) 1%</t>
  </si>
  <si>
    <t xml:space="preserve">  F0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</si>
  <si>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</si>
  <si>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</si>
  <si>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</si>
  <si>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</si>
  <si>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</si>
  <si>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</si>
  <si>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   RES 53.6K OHM 1/16W (0402) 1%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</si>
  <si>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</si>
  <si>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</si>
  <si>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</si>
  <si>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</si>
  <si>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</si>
  <si>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    RES 649 OHM 1/16W (0402) 1%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</si>
  <si>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</si>
  <si>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</si>
  <si>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</si>
  <si>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</si>
  <si>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</si>
  <si>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</si>
  <si>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</si>
  <si>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</si>
  <si>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</si>
  <si>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</si>
  <si>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</si>
  <si>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</si>
  <si>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</si>
  <si>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    RES 68K OHM 1/16W (0402) 1%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</si>
  <si>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</si>
  <si>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</si>
  <si>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</si>
  <si>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</si>
  <si>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</si>
  <si>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</si>
  <si>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     RES 681 OHM 1/16W(0402)1%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</si>
  <si>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</si>
  <si>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</si>
  <si>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</si>
  <si>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</si>
  <si>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</si>
  <si>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</si>
  <si>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</si>
  <si>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 xml:space="preserve">  F6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</si>
  <si>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</si>
  <si>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</si>
  <si>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</si>
  <si>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</si>
  <si>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</si>
  <si>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</si>
  <si>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</si>
  <si>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</si>
  <si>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</si>
  <si>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</si>
  <si>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</si>
  <si>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</si>
  <si>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    RES 8.2K OHM 1/16W (0402) 5%</t>
  </si>
  <si>
    <t xml:space="preserve">  F8</t>
  </si>
  <si>
    <t>10G212822004020</t>
  </si>
  <si>
    <t xml:space="preserve">    RES 8.2K OHM 1 16W 0402 5% RALEC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</si>
  <si>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</si>
  <si>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</si>
  <si>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</si>
  <si>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</si>
  <si>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</si>
  <si>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</si>
  <si>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</si>
  <si>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</si>
  <si>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</si>
  <si>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</si>
  <si>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</si>
  <si>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 xml:space="preserve">  G0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</si>
  <si>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</si>
  <si>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</si>
  <si>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</si>
  <si>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</si>
  <si>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</si>
  <si>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 xml:space="preserve">    RES 9.76K OHM 1/16W (0402) 1prc</t>
  </si>
  <si>
    <t xml:space="preserve">  G1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</si>
  <si>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</si>
  <si>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</si>
  <si>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</si>
  <si>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</si>
  <si>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</si>
  <si>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</si>
  <si>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</si>
  <si>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</si>
  <si>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</si>
  <si>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</si>
  <si>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</si>
  <si>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</si>
  <si>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</si>
  <si>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</si>
  <si>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</si>
  <si>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</si>
  <si>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</si>
  <si>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</si>
  <si>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</si>
  <si>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</si>
  <si>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</si>
  <si>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</si>
  <si>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</si>
  <si>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     RES 10K OHM 1/10W(0603)1%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</si>
  <si>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</si>
  <si>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</si>
  <si>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</si>
  <si>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</si>
  <si>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</si>
  <si>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</si>
  <si>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</si>
  <si>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</si>
  <si>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</si>
  <si>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</si>
  <si>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</si>
  <si>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</si>
  <si>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</si>
  <si>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</si>
  <si>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 xml:space="preserve">  G7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</si>
  <si>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</si>
  <si>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</si>
  <si>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</si>
  <si>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</si>
  <si>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</si>
  <si>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</si>
  <si>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</si>
  <si>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</si>
  <si>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</si>
  <si>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</si>
  <si>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</si>
  <si>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</si>
  <si>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</si>
  <si>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</si>
  <si>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</si>
  <si>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</si>
  <si>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</si>
  <si>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</si>
  <si>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</si>
  <si>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      RES 1 OHM 1/10W(0603)5%</t>
  </si>
  <si>
    <t xml:space="preserve">  H0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</si>
  <si>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</si>
  <si>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</si>
  <si>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</si>
  <si>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</si>
  <si>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</si>
  <si>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     RES 1 OHM 1/10W (0603)1prc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</si>
  <si>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</si>
  <si>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</si>
  <si>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</si>
  <si>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</si>
  <si>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</si>
  <si>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</si>
  <si>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 xml:space="preserve">  H2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</si>
  <si>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</si>
  <si>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</si>
  <si>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</si>
  <si>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</si>
  <si>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</si>
  <si>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</si>
  <si>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 xml:space="preserve">  H3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</si>
  <si>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</si>
  <si>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</si>
  <si>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</si>
  <si>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</si>
  <si>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</si>
  <si>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    RES 200K OHM 1/10W(0603) 1%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</si>
  <si>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</si>
  <si>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</si>
  <si>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</si>
  <si>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</si>
  <si>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</si>
  <si>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</si>
  <si>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</si>
  <si>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</si>
  <si>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</si>
  <si>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</si>
  <si>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</si>
  <si>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</si>
  <si>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</si>
  <si>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 xml:space="preserve">  H6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</si>
  <si>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</si>
  <si>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</si>
  <si>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</si>
  <si>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</si>
  <si>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</si>
  <si>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</si>
  <si>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</si>
  <si>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</si>
  <si>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</si>
  <si>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</si>
  <si>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</si>
  <si>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</si>
  <si>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</si>
  <si>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 xml:space="preserve">  H8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</si>
  <si>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</si>
  <si>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</si>
  <si>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</si>
  <si>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</si>
  <si>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</si>
  <si>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</si>
  <si>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</si>
  <si>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</si>
  <si>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</si>
  <si>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</si>
  <si>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</si>
  <si>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</si>
  <si>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</si>
  <si>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 xml:space="preserve">  I0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</si>
  <si>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</si>
  <si>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</si>
  <si>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</si>
  <si>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</si>
  <si>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</si>
  <si>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</si>
  <si>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</si>
  <si>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</si>
  <si>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</si>
  <si>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</si>
  <si>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</si>
  <si>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</si>
  <si>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</si>
  <si>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</si>
  <si>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</si>
  <si>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</si>
  <si>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</si>
  <si>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</si>
  <si>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</si>
  <si>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</si>
  <si>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</si>
  <si>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</si>
  <si>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</si>
  <si>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</si>
  <si>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</si>
  <si>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</si>
  <si>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</si>
  <si>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</si>
  <si>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</si>
  <si>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</si>
  <si>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</si>
  <si>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</si>
  <si>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</si>
  <si>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</si>
  <si>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</si>
  <si>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</si>
  <si>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</si>
  <si>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</si>
  <si>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</si>
  <si>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</si>
  <si>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</si>
  <si>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</si>
  <si>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</si>
  <si>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</si>
  <si>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</si>
  <si>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</si>
  <si>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</si>
  <si>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</si>
  <si>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</si>
  <si>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</si>
  <si>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</si>
  <si>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</si>
  <si>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</si>
  <si>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</si>
  <si>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</si>
  <si>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</si>
  <si>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</si>
  <si>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</si>
  <si>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</si>
  <si>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</si>
  <si>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</si>
  <si>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</si>
  <si>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</si>
  <si>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</si>
  <si>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</si>
  <si>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</si>
  <si>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</si>
  <si>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</si>
  <si>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</si>
  <si>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</si>
  <si>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</si>
  <si>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 xml:space="preserve">  J0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</si>
  <si>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</si>
  <si>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</si>
  <si>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</si>
  <si>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</si>
  <si>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</si>
  <si>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</si>
  <si>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</si>
  <si>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</si>
  <si>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</si>
  <si>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</si>
  <si>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</si>
  <si>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</si>
  <si>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      RES 0 OHM 1/8W(0805)JUMP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</si>
  <si>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</si>
  <si>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</si>
  <si>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</si>
  <si>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</si>
  <si>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</si>
  <si>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</si>
  <si>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</si>
  <si>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</si>
  <si>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</si>
  <si>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</si>
  <si>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</si>
  <si>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</si>
  <si>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</si>
  <si>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</si>
  <si>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</si>
  <si>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</si>
  <si>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</si>
  <si>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</si>
  <si>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</si>
  <si>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</si>
  <si>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RES 0 OHM 1 4W 1206 JUMP TA-I RM12JTN0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</si>
  <si>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</si>
  <si>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</si>
  <si>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</si>
  <si>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</si>
  <si>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</si>
  <si>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</si>
  <si>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</si>
  <si>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</si>
  <si>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</si>
  <si>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</si>
  <si>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</si>
  <si>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</si>
  <si>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</si>
  <si>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</si>
  <si>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</si>
  <si>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</si>
  <si>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</si>
  <si>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</si>
  <si>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</si>
  <si>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</si>
  <si>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</si>
  <si>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</si>
  <si>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</si>
  <si>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 xml:space="preserve">        RES A 1K OHM 0603 5%4R8P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</si>
  <si>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</si>
  <si>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</si>
  <si>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</si>
  <si>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</si>
  <si>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</si>
  <si>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</si>
  <si>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</si>
  <si>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</si>
  <si>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</si>
  <si>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</si>
  <si>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 xml:space="preserve">  K0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</si>
  <si>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</si>
  <si>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</si>
  <si>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</si>
  <si>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</si>
  <si>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</si>
  <si>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</si>
  <si>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 xml:space="preserve">  K1</t>
  </si>
  <si>
    <t>10G253330004010</t>
  </si>
  <si>
    <t xml:space="preserve">        RES A 33 OHM 0603 5%4R8P</t>
  </si>
  <si>
    <t>10G253330004050</t>
  </si>
  <si>
    <t>RES A 33 OHM 0603 5% 4R8P  UNI-OHM 4D03W</t>
  </si>
  <si>
    <t>10302-00492000</t>
  </si>
  <si>
    <t>RES A 8.2K OHM  0603   5% 4R8P RALEC RTA</t>
  </si>
  <si>
    <t xml:space="preserve">  K2</t>
  </si>
  <si>
    <t>10G253822004010</t>
  </si>
  <si>
    <t xml:space="preserve">       RES A 8.2K OHM 0603 5%4R8P</t>
  </si>
  <si>
    <t>10G253822004050</t>
  </si>
  <si>
    <t>11202-0027D000</t>
  </si>
  <si>
    <t>MLCC 100NF 16V  0201  X5R 10prc  SAMSUNG</t>
  </si>
  <si>
    <t xml:space="preserve">  K3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</si>
  <si>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</si>
  <si>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</si>
  <si>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</si>
  <si>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</si>
  <si>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</si>
  <si>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</si>
  <si>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</si>
  <si>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</si>
  <si>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 xml:space="preserve">  K4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</si>
  <si>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</si>
  <si>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</si>
  <si>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</si>
  <si>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</si>
  <si>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</si>
  <si>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 xml:space="preserve">     MLCC 0.01UF 16V  0201  X5R 10%</t>
  </si>
  <si>
    <t>11202-0065Q000</t>
  </si>
  <si>
    <t>MLCC 0.01UF/16V (0201) X5R 10%//VIIYONG/</t>
  </si>
  <si>
    <t>11202-01447000</t>
  </si>
  <si>
    <t>MLCC 100PF 50V  0201  NP0 5%  WALSIN 020</t>
  </si>
  <si>
    <t xml:space="preserve">  K5</t>
  </si>
  <si>
    <t>11202-0144F000</t>
  </si>
  <si>
    <t xml:space="preserve">      MLCC 100PF 50V  0201  NP0 5%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</si>
  <si>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</si>
  <si>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</si>
  <si>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</si>
  <si>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</si>
  <si>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</si>
  <si>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</si>
  <si>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 xml:space="preserve">  K6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</si>
  <si>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</si>
  <si>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</si>
  <si>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</si>
  <si>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</si>
  <si>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</si>
  <si>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</si>
  <si>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</si>
  <si>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</si>
  <si>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 xml:space="preserve">  K7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</si>
  <si>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</si>
  <si>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</si>
  <si>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</si>
  <si>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</si>
  <si>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</si>
  <si>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</si>
  <si>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</si>
  <si>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</si>
  <si>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 xml:space="preserve">  K8</t>
  </si>
  <si>
    <t>11G232033004030</t>
  </si>
  <si>
    <t xml:space="preserve">       MLCC 33PF/50V (0402)NPO 5%</t>
  </si>
  <si>
    <t>11G232033004070</t>
  </si>
  <si>
    <t>11G232033004150</t>
  </si>
  <si>
    <t xml:space="preserve">      MLCC 33PF/50V (0402) NPO 5%</t>
  </si>
  <si>
    <t>11G232033004390</t>
  </si>
  <si>
    <t>11203-0042Q000</t>
  </si>
  <si>
    <t xml:space="preserve">     MLCC 100PF/50V (0402) NP0 W05</t>
  </si>
  <si>
    <t xml:space="preserve">  K9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</si>
  <si>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</si>
  <si>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</si>
  <si>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</si>
  <si>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</si>
  <si>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</si>
  <si>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 xml:space="preserve">  L0</t>
  </si>
  <si>
    <t>11G232018004070</t>
  </si>
  <si>
    <t xml:space="preserve">      MLCC 18PF/50V (0402) NPO 5%</t>
  </si>
  <si>
    <t>11G232018004150</t>
  </si>
  <si>
    <t xml:space="preserve">       MLCC 18PF/50V (0402)NPO 5%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</si>
  <si>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</si>
  <si>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</si>
  <si>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</si>
  <si>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</si>
  <si>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</si>
  <si>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</si>
  <si>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</si>
  <si>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</si>
  <si>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</si>
  <si>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</si>
  <si>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</si>
  <si>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</si>
  <si>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</si>
  <si>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</si>
  <si>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</si>
  <si>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</si>
  <si>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</si>
  <si>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</si>
  <si>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</si>
  <si>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</si>
  <si>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</si>
  <si>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</si>
  <si>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</si>
  <si>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</si>
  <si>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</si>
  <si>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</si>
  <si>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</si>
  <si>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</si>
  <si>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</si>
  <si>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</si>
  <si>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</si>
  <si>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</si>
  <si>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</si>
  <si>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</si>
  <si>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</si>
  <si>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</si>
  <si>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</si>
  <si>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</si>
  <si>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</si>
  <si>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</si>
  <si>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</si>
  <si>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</si>
  <si>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</si>
  <si>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</si>
  <si>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</si>
  <si>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</si>
  <si>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</si>
  <si>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</si>
  <si>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</si>
  <si>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</si>
  <si>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</si>
  <si>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</si>
  <si>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</si>
  <si>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</si>
  <si>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</si>
  <si>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</si>
  <si>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</si>
  <si>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</si>
  <si>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</si>
  <si>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</si>
  <si>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</si>
  <si>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</si>
  <si>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</si>
  <si>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</si>
  <si>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</si>
  <si>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</si>
  <si>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</si>
  <si>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</si>
  <si>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</si>
  <si>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</si>
  <si>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</si>
  <si>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</si>
  <si>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</si>
  <si>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</si>
  <si>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</si>
  <si>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</si>
  <si>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</si>
  <si>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</si>
  <si>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</si>
  <si>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</si>
  <si>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</si>
  <si>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</si>
  <si>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</si>
  <si>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 xml:space="preserve">  M0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</si>
  <si>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</si>
  <si>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</si>
  <si>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</si>
  <si>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</si>
  <si>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</si>
  <si>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</si>
  <si>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</si>
  <si>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</si>
  <si>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 xml:space="preserve">  M1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</si>
  <si>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</si>
  <si>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</si>
  <si>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</si>
  <si>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</si>
  <si>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</si>
  <si>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</si>
  <si>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</si>
  <si>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</si>
  <si>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</si>
  <si>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</si>
  <si>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</si>
  <si>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</si>
  <si>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</si>
  <si>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</si>
  <si>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</si>
  <si>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</si>
  <si>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</si>
  <si>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</si>
  <si>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</si>
  <si>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</si>
  <si>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</si>
  <si>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</si>
  <si>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</si>
  <si>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</si>
  <si>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</si>
  <si>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</si>
  <si>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</si>
  <si>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</si>
  <si>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</si>
  <si>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</si>
  <si>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</si>
  <si>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</si>
  <si>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</si>
  <si>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</si>
  <si>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</si>
  <si>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</si>
  <si>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</si>
  <si>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</si>
  <si>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</si>
  <si>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</si>
  <si>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</si>
  <si>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</si>
  <si>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</si>
  <si>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</si>
  <si>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</si>
  <si>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</si>
  <si>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</si>
  <si>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</si>
  <si>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</si>
  <si>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</si>
  <si>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</si>
  <si>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</si>
  <si>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</si>
  <si>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</si>
  <si>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</si>
  <si>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</si>
  <si>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</si>
  <si>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   MLCC 0.047UF/16V (0402)X7R 10%</t>
  </si>
  <si>
    <t xml:space="preserve">  M8</t>
  </si>
  <si>
    <t>11G232147311150</t>
  </si>
  <si>
    <t xml:space="preserve">     MLCC 0.047UF/16V(0402)X7R 10%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</si>
  <si>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</si>
  <si>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</si>
  <si>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</si>
  <si>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</si>
  <si>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</si>
  <si>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</si>
  <si>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</si>
  <si>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</si>
  <si>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</si>
  <si>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</si>
  <si>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</si>
  <si>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 xml:space="preserve">  MLCC 680PF 50V 0402 X7R 10%TAIYO UMK</t>
  </si>
  <si>
    <t>11G232168114390</t>
  </si>
  <si>
    <t xml:space="preserve"> MLCC 680PF 50V 0402 X7R 10% DARFON C10</t>
  </si>
  <si>
    <t>11203-0232Q000</t>
  </si>
  <si>
    <t>MLCC 0.1UF 16V  0402  X5R W05  VIIYONG V</t>
  </si>
  <si>
    <t xml:space="preserve">  N0</t>
  </si>
  <si>
    <t>11G232210411070</t>
  </si>
  <si>
    <t>MLCC 0.1UF/16V  0402  X5R W05 WALSIN/040</t>
  </si>
  <si>
    <t>11G232210411150</t>
  </si>
  <si>
    <t xml:space="preserve">     MLCC 0.1UF/16V (0402) X5R W05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</si>
  <si>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</si>
  <si>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</si>
  <si>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</si>
  <si>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</si>
  <si>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</si>
  <si>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</si>
  <si>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</si>
  <si>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</si>
  <si>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</si>
  <si>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</si>
  <si>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</si>
  <si>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</si>
  <si>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</si>
  <si>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</si>
  <si>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 xml:space="preserve">  N2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</si>
  <si>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</si>
  <si>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</si>
  <si>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</si>
  <si>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</si>
  <si>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</si>
  <si>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</si>
  <si>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</si>
  <si>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</si>
  <si>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</si>
  <si>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</si>
  <si>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 xml:space="preserve">  N3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</si>
  <si>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</si>
  <si>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</si>
  <si>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</si>
  <si>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</si>
  <si>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</si>
  <si>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</si>
  <si>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</si>
  <si>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</si>
  <si>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 xml:space="preserve">  N4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</si>
  <si>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</si>
  <si>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</si>
  <si>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</si>
  <si>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</si>
  <si>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</si>
  <si>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</si>
  <si>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</si>
  <si>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 xml:space="preserve">  N5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</si>
  <si>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</si>
  <si>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</si>
  <si>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</si>
  <si>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</si>
  <si>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</si>
  <si>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</si>
  <si>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</si>
  <si>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</si>
  <si>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 xml:space="preserve">  N6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</si>
  <si>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</si>
  <si>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</si>
  <si>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</si>
  <si>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</si>
  <si>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</si>
  <si>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</si>
  <si>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 xml:space="preserve">  N7</t>
  </si>
  <si>
    <t>11G232247415150</t>
  </si>
  <si>
    <t xml:space="preserve">     MLCC 0.47UF/6.3V(0402) X5R 10%</t>
  </si>
  <si>
    <t>11G232247415320</t>
  </si>
  <si>
    <t xml:space="preserve">     MLCC 0.47UF/6.3V (0402)X5R 10%</t>
  </si>
  <si>
    <t>11G232247415360</t>
  </si>
  <si>
    <t>11G232247415390</t>
  </si>
  <si>
    <t>11204-00807000</t>
  </si>
  <si>
    <t>MLCC 470PF/16V (0603) NP0 W1 WALSIN/0603</t>
  </si>
  <si>
    <t xml:space="preserve">  N8</t>
  </si>
  <si>
    <t>11G233047101390</t>
  </si>
  <si>
    <t>MLCC 470PF 16V  0603 NPO 5%  DARFON C160</t>
  </si>
  <si>
    <t>11G233110311070</t>
  </si>
  <si>
    <t>MLCC 0.01UF 16V  0603  X7R 10%  WALSIN 0</t>
  </si>
  <si>
    <t xml:space="preserve">  N9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</si>
  <si>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</si>
  <si>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</si>
  <si>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</si>
  <si>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</si>
  <si>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</si>
  <si>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</si>
  <si>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 xml:space="preserve">  O0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</si>
  <si>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</si>
  <si>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</si>
  <si>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</si>
  <si>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</si>
  <si>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</si>
  <si>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</si>
  <si>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</si>
  <si>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</si>
  <si>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</si>
  <si>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</si>
  <si>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</si>
  <si>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</si>
  <si>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</si>
  <si>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</si>
  <si>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</si>
  <si>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</si>
  <si>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</si>
  <si>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    MLCC 0.22UF/16V(0603)X7R 10%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</si>
  <si>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</si>
  <si>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</si>
  <si>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</si>
  <si>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</si>
  <si>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</si>
  <si>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</si>
  <si>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    MLCC 4700PF/50V(0603)X7R W07</t>
  </si>
  <si>
    <t xml:space="preserve">  O3</t>
  </si>
  <si>
    <t>11G233147214150</t>
  </si>
  <si>
    <t xml:space="preserve">      MLCC 4700PF/50V(0603)X7R W1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</si>
  <si>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</si>
  <si>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</si>
  <si>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</si>
  <si>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</si>
  <si>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</si>
  <si>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</si>
  <si>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</si>
  <si>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</si>
  <si>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</si>
  <si>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</si>
  <si>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</si>
  <si>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</si>
  <si>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</si>
  <si>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</si>
  <si>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</si>
  <si>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</si>
  <si>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</si>
  <si>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</si>
  <si>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</si>
  <si>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</si>
  <si>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</si>
  <si>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</si>
  <si>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</si>
  <si>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</si>
  <si>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</si>
  <si>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</si>
  <si>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</si>
  <si>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</si>
  <si>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</si>
  <si>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</si>
  <si>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</si>
  <si>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</si>
  <si>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</si>
  <si>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</si>
  <si>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</si>
  <si>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</si>
  <si>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</si>
  <si>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</si>
  <si>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</si>
  <si>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</si>
  <si>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</si>
  <si>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</si>
  <si>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</si>
  <si>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</si>
  <si>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</si>
  <si>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</si>
  <si>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</si>
  <si>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</si>
  <si>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</si>
  <si>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</si>
  <si>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 xml:space="preserve">  P0</t>
  </si>
  <si>
    <t>11G235222625320</t>
  </si>
  <si>
    <t xml:space="preserve"> MLCC 22UF 6.3V 0805 X5R 20% MURATA GR</t>
  </si>
  <si>
    <t>11G235222625360</t>
  </si>
  <si>
    <t xml:space="preserve"> MLCC 22UF 6.3V 0805 X5R 20% TAIYO JMK2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</si>
  <si>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</si>
  <si>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</si>
  <si>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</si>
  <si>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</si>
  <si>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</si>
  <si>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</si>
  <si>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</si>
  <si>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</si>
  <si>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</si>
  <si>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</si>
  <si>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</si>
  <si>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 xml:space="preserve">      MLCC 47UF/4V (0805) X5R 20%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</si>
  <si>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</si>
  <si>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</si>
  <si>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</si>
  <si>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</si>
  <si>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</si>
  <si>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</si>
  <si>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</si>
  <si>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</si>
  <si>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</si>
  <si>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</si>
  <si>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</si>
  <si>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</si>
  <si>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</si>
  <si>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</si>
  <si>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</si>
  <si>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</si>
  <si>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</si>
  <si>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</si>
  <si>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</si>
  <si>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</si>
  <si>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</si>
  <si>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 xml:space="preserve">  P7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</si>
  <si>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</si>
  <si>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</si>
  <si>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</si>
  <si>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</si>
  <si>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</si>
  <si>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    FRONT HD 2X10P G/F 0.8 KEY-A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</si>
  <si>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</si>
  <si>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</si>
  <si>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</si>
  <si>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</si>
  <si>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</si>
  <si>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</si>
  <si>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</si>
  <si>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</si>
  <si>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</si>
  <si>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</si>
  <si>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</si>
  <si>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 xml:space="preserve">     NUT M2x4.5 H-9.2 I/H2.5 T-HOLE</t>
  </si>
  <si>
    <t xml:space="preserve">  Q0</t>
  </si>
  <si>
    <t>13020-01378000</t>
  </si>
  <si>
    <t xml:space="preserve">     NUT M2x4.5 Hx9.2 I/H2.5 T-HOLE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</si>
  <si>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</si>
  <si>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</si>
  <si>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</si>
  <si>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</si>
  <si>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</si>
  <si>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</si>
  <si>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</si>
  <si>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</si>
  <si>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   NUT M2X4.75 H=2.0 THOUNGH-HOLE</t>
  </si>
  <si>
    <t xml:space="preserve">  Q2</t>
  </si>
  <si>
    <t>13020-01575600</t>
  </si>
  <si>
    <t>13020-01575700</t>
  </si>
  <si>
    <t>13020-01575800</t>
  </si>
  <si>
    <t>08001-19593000</t>
  </si>
  <si>
    <t xml:space="preserve">  TUFGAMINGX670E-PLUSR1.00CVICTORY9."</t>
  </si>
  <si>
    <t xml:space="preserve">  Q3</t>
  </si>
  <si>
    <t>08001-19593100</t>
  </si>
  <si>
    <t xml:space="preserve">  TUFGAMINGX670E-PLUSR1.00CTRUSTECH9"</t>
  </si>
  <si>
    <t>08001-19593200</t>
  </si>
  <si>
    <t xml:space="preserve">  TUFGAMINGX670E-PLUSR1.00CGECS9.6*1"</t>
  </si>
  <si>
    <t>08001-19593300</t>
  </si>
  <si>
    <t xml:space="preserve">  TUFGAMINGX670E-PLUSR1.00CDF9.6*12,"</t>
  </si>
  <si>
    <t>12002-00142600</t>
  </si>
  <si>
    <t>DDR5 U-DIMM 288P G/F O/L W/B D-G/U SMT//</t>
  </si>
  <si>
    <t xml:space="preserve">  Q4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</si>
  <si>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</si>
  <si>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</si>
  <si>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</si>
  <si>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</si>
  <si>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</si>
  <si>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</si>
  <si>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</si>
  <si>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</si>
  <si>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</si>
  <si>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</si>
  <si>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</si>
  <si>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</si>
  <si>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</si>
  <si>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</si>
  <si>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</si>
  <si>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</si>
  <si>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</si>
  <si>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</si>
  <si>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</si>
  <si>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</si>
  <si>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</si>
  <si>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</si>
  <si>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</si>
  <si>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</si>
  <si>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</si>
  <si>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</si>
  <si>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</si>
  <si>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</si>
  <si>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</si>
  <si>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</si>
  <si>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</si>
  <si>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</si>
  <si>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</si>
  <si>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 xml:space="preserve">  R0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</si>
  <si>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</si>
  <si>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</si>
  <si>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</si>
  <si>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</si>
  <si>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</si>
  <si>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</si>
  <si>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</si>
  <si>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</si>
  <si>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</si>
  <si>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</si>
  <si>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</si>
  <si>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</si>
  <si>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</si>
  <si>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</si>
  <si>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</si>
  <si>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</si>
  <si>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 xml:space="preserve">  R6</t>
  </si>
  <si>
    <t>12003-00250400</t>
  </si>
  <si>
    <t xml:space="preserve">     SLOT PCIE X4 66P G/F N/EJ DIP</t>
  </si>
  <si>
    <t>12003-00390000</t>
  </si>
  <si>
    <t>SLOT PCIE4.0 X4 64P G/F DIP//LOTES/APCI0</t>
  </si>
  <si>
    <t>12006-00010700</t>
  </si>
  <si>
    <t>HD 2X3P G F 2.54 K3 BLACK S T  LONG SHOU</t>
  </si>
  <si>
    <t xml:space="preserve">  R8</t>
  </si>
  <si>
    <t>12G06100006C</t>
  </si>
  <si>
    <t>HEADER 2X3P S T 2.54mm K3 K4 PINREX 210-</t>
  </si>
  <si>
    <t>12006-00025700</t>
  </si>
  <si>
    <t>HEADER 2X5P G F 2.54 K8 BLK C  LONG SHOU</t>
  </si>
  <si>
    <t xml:space="preserve">  R9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</si>
  <si>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</si>
  <si>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</si>
  <si>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</si>
  <si>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</si>
  <si>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</si>
  <si>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</si>
  <si>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</si>
  <si>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</si>
  <si>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 xml:space="preserve">  S0</t>
  </si>
  <si>
    <t>12006-00151300</t>
  </si>
  <si>
    <t>HEADER 1X4P G F C P 2.54 WHT  PINREX 28S</t>
  </si>
  <si>
    <t>12006-00151800</t>
  </si>
  <si>
    <t>HEADER 1X4P G/F C/P 2.54 K3WHT HR/A25411</t>
  </si>
  <si>
    <t xml:space="preserve">  S1</t>
  </si>
  <si>
    <t>12006-00152100</t>
  </si>
  <si>
    <t>HEADER 1X4P G/F C/P 2.54 K3WHT PINREX/28</t>
  </si>
  <si>
    <t>12006-00161100</t>
  </si>
  <si>
    <t>HEADER 1X2P G F 2.54 BLK C S T  HORNG TO</t>
  </si>
  <si>
    <t xml:space="preserve">  S2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</si>
  <si>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</si>
  <si>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</si>
  <si>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</si>
  <si>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</si>
  <si>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</si>
  <si>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</si>
  <si>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 xml:space="preserve">  S3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</si>
  <si>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</si>
  <si>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</si>
  <si>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</si>
  <si>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</si>
  <si>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</si>
  <si>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   HEADER 2X7P G/F 2.0 K11BLK S/T</t>
  </si>
  <si>
    <t xml:space="preserve">  S4</t>
  </si>
  <si>
    <t>12006-00322400</t>
  </si>
  <si>
    <t>12006-00322500</t>
  </si>
  <si>
    <t xml:space="preserve">       HD2X7PG/F2.0K1,2,3,4,14BLK</t>
  </si>
  <si>
    <t xml:space="preserve">  S5</t>
  </si>
  <si>
    <t>12006-00322600</t>
  </si>
  <si>
    <t>12006-00322700</t>
  </si>
  <si>
    <t>12007-00016000</t>
  </si>
  <si>
    <t>BOX HD 2X10P G F 2.0 K20 BLK U  LY BT200</t>
  </si>
  <si>
    <t xml:space="preserve">  S6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</si>
  <si>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</si>
  <si>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</si>
  <si>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</si>
  <si>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</si>
  <si>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</si>
  <si>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</si>
  <si>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 xml:space="preserve">  S7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</si>
  <si>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</si>
  <si>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</si>
  <si>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</si>
  <si>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</si>
  <si>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</si>
  <si>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</si>
  <si>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 xml:space="preserve">  S8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</si>
  <si>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</si>
  <si>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</si>
  <si>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</si>
  <si>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</si>
  <si>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</si>
  <si>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</si>
  <si>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 xml:space="preserve">  S9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</si>
  <si>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</si>
  <si>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</si>
  <si>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</si>
  <si>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</si>
  <si>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</si>
  <si>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</si>
  <si>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 xml:space="preserve">  U0</t>
  </si>
  <si>
    <t>12008-00015700</t>
  </si>
  <si>
    <t>12008-00015900</t>
  </si>
  <si>
    <t>12009-00640200</t>
  </si>
  <si>
    <t>TACT SWITCH 4P 4.3H BLK R/A DIP L SH//HU</t>
  </si>
  <si>
    <t xml:space="preserve">  U1</t>
  </si>
  <si>
    <t>12009-00640400</t>
  </si>
  <si>
    <t>TACT SWITCH 4P 4.3H BLK R/A DIP L SH//DI</t>
  </si>
  <si>
    <t>12013-00120100</t>
  </si>
  <si>
    <t>USB 3.1 2X9P G F DUAL R A DIP  LOTES AUS</t>
  </si>
  <si>
    <t xml:space="preserve">  U2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</si>
  <si>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</si>
  <si>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</si>
  <si>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</si>
  <si>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</si>
  <si>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</si>
  <si>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</si>
  <si>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 xml:space="preserve">  U3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</si>
  <si>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</si>
  <si>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</si>
  <si>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</si>
  <si>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</si>
  <si>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</si>
  <si>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</si>
  <si>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 xml:space="preserve">  U4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</si>
  <si>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</si>
  <si>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</si>
  <si>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</si>
  <si>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</si>
  <si>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</si>
  <si>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</si>
  <si>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 xml:space="preserve">  U6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</si>
  <si>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</si>
  <si>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</si>
  <si>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</si>
  <si>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</si>
  <si>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</si>
  <si>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</si>
  <si>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 xml:space="preserve">  U7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</si>
  <si>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</si>
  <si>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</si>
  <si>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</si>
  <si>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</si>
  <si>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</si>
  <si>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</si>
  <si>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 xml:space="preserve">  U8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</si>
  <si>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</si>
  <si>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</si>
  <si>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</si>
  <si>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</si>
  <si>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</si>
  <si>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</si>
  <si>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 xml:space="preserve">  U9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</si>
  <si>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</si>
  <si>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</si>
  <si>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</si>
  <si>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</si>
  <si>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</si>
  <si>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</si>
  <si>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 xml:space="preserve">  T0</t>
  </si>
  <si>
    <t>12022-00060100</t>
  </si>
  <si>
    <t xml:space="preserve">     COMBO DP HDMI 39P G/F R/A DIP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</si>
  <si>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</si>
  <si>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</si>
  <si>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</si>
  <si>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</si>
  <si>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</si>
  <si>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</si>
  <si>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</si>
  <si>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>LBLSFISASUS01-GR-A</t>
  </si>
  <si>
    <t xml:space="preserve">      SFIS LABEL 25X04MM-RECORDED</t>
  </si>
  <si>
    <t xml:space="preserve">  T1</t>
  </si>
  <si>
    <t>15L-00000101-01</t>
  </si>
  <si>
    <t xml:space="preserve">           SFIS Label 25X04mm</t>
  </si>
  <si>
    <t>LBLSFISASUS01-GR-B</t>
  </si>
  <si>
    <t xml:space="preserve">      SFIS LABEL 40X04MM-RECORDED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</si>
  <si>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</si>
  <si>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</si>
  <si>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</si>
  <si>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</si>
  <si>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</si>
  <si>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</si>
  <si>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</si>
  <si>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</si>
  <si>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</si>
  <si>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</si>
  <si>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T2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</si>
  <si>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</si>
  <si>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</si>
  <si>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</si>
  <si>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</si>
  <si>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</si>
  <si>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</si>
  <si>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</si>
  <si>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</si>
  <si>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</si>
  <si>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</si>
  <si>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</si>
  <si>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</si>
  <si>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</si>
  <si>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</si>
  <si>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 xml:space="preserve">  T3</t>
  </si>
  <si>
    <t>G2492-0000-06</t>
  </si>
  <si>
    <t xml:space="preserve">  ALPHA TELECORE HF850 SACX0307 0.8 mm</t>
  </si>
  <si>
    <t>X670-0821-A03-A</t>
  </si>
  <si>
    <t xml:space="preserve">              BIOS VERSION</t>
  </si>
  <si>
    <t>05006-00031700</t>
  </si>
  <si>
    <t>FLASH W25Q256JWEIQ 1.7-1.95V WINBOND 256</t>
  </si>
  <si>
    <t>X670-MBEC-A</t>
  </si>
  <si>
    <t xml:space="preserve">               BIOS MBEC</t>
  </si>
  <si>
    <t>05006-00102000</t>
  </si>
  <si>
    <t>FLASH GD25Q20ETIGR//GIGADEVICE 2MBIT SOP</t>
  </si>
  <si>
    <t>X670-MBEC-B</t>
  </si>
  <si>
    <t>05006-00100000</t>
  </si>
  <si>
    <t xml:space="preserve"> FLASH WINBOND W25X20CLSNIG//2M SOIC-8</t>
  </si>
  <si>
    <t>X670-MBEC-C</t>
  </si>
  <si>
    <t>05006-00101600</t>
  </si>
  <si>
    <t xml:space="preserve"> FLASH MX25V2033FM1I//MXIC 2MBIT SOP-8</t>
  </si>
  <si>
    <t>X670-MBEC-D</t>
  </si>
  <si>
    <t>05006-00102100</t>
  </si>
  <si>
    <t xml:space="preserve">  FLASH XM25QH20BJIGT//XMC 2MBIT SOP-8</t>
  </si>
  <si>
    <t>X670-FLBK-BUTON-A</t>
  </si>
  <si>
    <t xml:space="preserve">            BIOS FLBK BUTON</t>
  </si>
  <si>
    <t>05002-00060400</t>
  </si>
  <si>
    <t>EEPROM BR24G02FJ-3GTE2ROHM 2KBIT SOP-J8</t>
  </si>
  <si>
    <t>X670-FLBK-BUTON-B</t>
  </si>
  <si>
    <t>05002-00060000</t>
  </si>
  <si>
    <t>EEPROM AT24C02C-SSHM-T SOIC-8ATMEL 2K(25</t>
  </si>
  <si>
    <t>X670-FLBK-BUTON-C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</si>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</sst>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4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0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38" fillId="13" borderId="0" xfId="22" applyFont="1" applyAlignment="1">
      <alignment horizontal="center"/>
    </xf>
    <xf numFmtId="0" fontId="73" fillId="0" borderId="0" xfId="0" applyFont="1"/>
    <xf numFmtId="49" fontId="35" fillId="36" borderId="11" xfId="0" applyNumberFormat="1" applyFont="1" applyFill="1" applyBorder="1" applyAlignment="1">
      <alignment horizontal="left"/>
    </xf>
    <xf numFmtId="49" fontId="35" fillId="36" borderId="0" xfId="0" applyNumberFormat="1" applyFont="1" applyFill="1"/>
    <xf numFmtId="0" fontId="34" fillId="38" borderId="0" xfId="0" applyFont="1" applyFill="1" applyAlignment="1">
      <alignment horizontal="left"/>
    </xf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1" sqref="A21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4.4">
      <c r="A4" s="81" t="s">
        <v>146</v>
      </c>
      <c r="B4" s="32">
        <v>1000</v>
      </c>
    </row>
    <row r="5" spans="1:2" ht="14.4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L941"/>
  <sheetViews>
    <sheetView showGridLines="0" tabSelected="1" zoomScaleNormal="100" zoomScaleSheetLayoutView="99" workbookViewId="0">
      <pane xSplit="7" ySplit="5" topLeftCell="BF6" activePane="bottomRight" state="frozen"/>
      <selection pane="topRight" activeCell="H1" sqref="H1"/>
      <selection pane="bottomLeft" activeCell="A6" sqref="A6"/>
      <selection pane="bottomRight" activeCell="BH949" sqref="BH949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1" customWidth="1"/>
    <col min="7" max="7" width="41" style="71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hidden="1" customWidth="1" outlineLevel="1"/>
    <col min="32" max="32" width="1.6640625" style="13" customWidth="1" collapsed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34.6640625" style="17" bestFit="1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32.21875" style="17" customWidth="1" collapsed="1"/>
    <col min="64" max="64" width="13.88671875" style="18" customWidth="1"/>
    <col min="65" max="16384" width="9.109375" style="44"/>
  </cols>
  <sheetData>
    <row r="1" spans="1:64">
      <c r="A1" s="4"/>
      <c r="B1" s="4"/>
      <c r="C1" s="4"/>
      <c r="D1" s="4"/>
      <c r="E1" s="4"/>
      <c r="F1" s="67" t="s">
        <v>296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4">
      <c r="A2" s="8"/>
      <c r="B2" s="8"/>
      <c r="C2" s="85" t="s">
        <v>104</v>
      </c>
      <c r="D2" s="85"/>
      <c r="E2" s="85"/>
      <c r="F2" s="68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4" ht="13.2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69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B3" s="89" t="s">
        <v>5807</v>
      </c>
      <c r="BD3" s="16"/>
      <c r="BE3" s="16"/>
      <c r="BF3" s="16"/>
      <c r="BG3" s="16"/>
      <c r="BH3" s="16"/>
      <c r="BI3" s="16"/>
      <c r="BJ3" s="16"/>
      <c r="BK3" s="33" t="s">
        <v>5806</v>
      </c>
    </row>
    <row r="4" spans="1:64" ht="14.4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4" ht="9.9" customHeight="1">
      <c r="A5" s="27"/>
      <c r="B5" s="27"/>
      <c r="C5" s="27"/>
      <c r="D5" s="27"/>
      <c r="E5" s="27"/>
      <c r="F5" s="70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</row>
    <row r="6" spans="1:64" hidden="1">
      <c r="A6" s="43">
        <v>6</v>
      </c>
      <c r="B6" s="35" t="s">
        <v>147</v>
      </c>
      <c r="C6" s="35" t="s">
        <v>146</v>
      </c>
      <c r="D6" s="35">
        <v>1</v>
      </c>
      <c r="E6" s="35">
        <v>10</v>
      </c>
      <c r="F6" s="64" t="s">
        <v>148</v>
      </c>
      <c r="G6" s="73" t="s">
        <v>149</v>
      </c>
      <c r="H6" s="35"/>
      <c r="I6" s="35" t="s">
        <v>54</v>
      </c>
      <c r="J6" s="35">
        <v>0</v>
      </c>
      <c r="K6" s="35" t="s">
        <v>150</v>
      </c>
      <c r="L6" s="35" t="s">
        <v>53</v>
      </c>
      <c r="M6" s="35">
        <v>1</v>
      </c>
      <c r="N6" s="35">
        <v>1</v>
      </c>
      <c r="O6" s="35">
        <v>1</v>
      </c>
      <c r="P6" s="35"/>
      <c r="Q6" s="35"/>
      <c r="R6" s="35" t="s">
        <v>73</v>
      </c>
      <c r="S6" s="35" t="s">
        <v>73</v>
      </c>
      <c r="T6" s="36">
        <v>36892</v>
      </c>
      <c r="U6" s="36">
        <v>2958465</v>
      </c>
      <c r="V6" s="35" t="s">
        <v>151</v>
      </c>
      <c r="W6" s="35" t="s">
        <v>145</v>
      </c>
      <c r="X6" s="35"/>
      <c r="Y6" s="35" t="s">
        <v>143</v>
      </c>
      <c r="Z6" s="35">
        <v>7589153</v>
      </c>
      <c r="AA6" s="35">
        <v>2</v>
      </c>
      <c r="AB6" s="35">
        <v>1</v>
      </c>
      <c r="AC6" s="35" t="s">
        <v>144</v>
      </c>
      <c r="AE6" s="51">
        <f>M6/O6</f>
        <v>1</v>
      </c>
      <c r="AG6" s="6" t="str">
        <f>C6</f>
        <v>90MB1BJ0-C1BAY0</v>
      </c>
      <c r="AH6" s="6" t="str">
        <f>IF($D6&lt;=AH$4,"",IF(AND($D5=AH$4,$D6&gt;AH$4),$F5,AH5))</f>
        <v/>
      </c>
      <c r="AI6" s="6" t="str">
        <f>IF($D6&lt;=AI$4,"",IF(AND($D5=AI$4,$D6&gt;AI$4),$F5,AI5))</f>
        <v/>
      </c>
      <c r="AJ6" s="6" t="str">
        <f>IF($D6&lt;=AJ$4,"",IF(AND($D5=AJ$4,$D6&gt;AJ$4),$F5,AJ5))</f>
        <v/>
      </c>
      <c r="AK6" s="6" t="str">
        <f>IF($D6&lt;=AK$4,"",IF(AND($D5=AK$4,$D6&gt;AK$4),$F5,AK5))</f>
        <v/>
      </c>
      <c r="AL6" s="6" t="str">
        <f>IF($D6&lt;=AL$4,"",IF(AND($D5=AL$4,$D6&gt;AL$4),$F5,AL5))</f>
        <v/>
      </c>
      <c r="AM6" s="6" t="str">
        <f>IF($D6&lt;=AM$4,"",IF(AND($D5=AM$4,$D6&gt;AM$4),$F5,AM5))</f>
        <v/>
      </c>
      <c r="AN6" s="6" t="str">
        <f>IF($D6&lt;=AN$4,"",IF(AND($D5=AN$4,$D6&gt;AN$4),$F5,AN5))</f>
        <v/>
      </c>
      <c r="AO6" s="6" t="str">
        <f>CONCATENATE(AG6," | ",AH6," | ",AI6," | ",AJ6," | ",AK6," | ",AL6," | ",AM6," | ",AN6)</f>
        <v xml:space="preserve">90MB1BJ0-C1BAY0 |  |  |  |  |  |  | </v>
      </c>
      <c r="AP6" s="6">
        <f>IF(TRIM(H6)="",100,J6)</f>
        <v>100</v>
      </c>
      <c r="AQ6" s="4"/>
      <c r="AR6" s="6" t="b">
        <f>NOT(TRIM(W6)&lt;&gt;"F")</f>
        <v>1</v>
      </c>
      <c r="AS6" s="6" t="str">
        <f>$B6&amp;" | "&amp;$AO6&amp;" | "&amp;IF(TRIM(H6)="","uniq"&amp;ROW(),TRIM(H6))</f>
        <v>461E | 90MB1BJ0-C1BAY0 |  |  |  |  |  |  |  | uniq6</v>
      </c>
      <c r="AT6" s="63">
        <f>IF(NOT(AR6),IF(TRIM($H6)="","Assembly","Phantom Alt"),VLOOKUP(F6,ZPCS04!B:G,6,0))</f>
        <v>216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1.9999999900000001</v>
      </c>
      <c r="AX6" s="7"/>
      <c r="AY6" s="6" t="b">
        <f>SUMIF(AS:AS,AS6,AP:AP)=100</f>
        <v>1</v>
      </c>
      <c r="AZ6" s="6" t="b">
        <f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>C6&amp;" | "&amp;F6</f>
        <v>90MB1BJ0-C1BAY0 | 15220-10620100</v>
      </c>
      <c r="BE6" s="55" t="str">
        <f ca="1">C6&amp;" | "&amp;OFFSET($AF6,0,8-COUNTBLANK($AG6:$AN6))</f>
        <v>90MB1BJ0-C1BAY0 | 90MB1BJ0-C1BAY0</v>
      </c>
      <c r="BF6" s="57">
        <f ca="1">IFERROR(VLOOKUP($BE6,$BD$5:$BF5,3,0)*$AE6,VLOOKUP($C6,Demanda!$A:$B,2,0)*$AE6)*IF(AT6="Phantom Alt",$BC6,TRUE)</f>
        <v>1000</v>
      </c>
      <c r="BG6" s="57">
        <f ca="1">BF6*(AP6/100)</f>
        <v>1000</v>
      </c>
      <c r="BH6" s="57">
        <f>SUMIF(Invoice!A:A,F6,Invoice!B:B)</f>
        <v>1000</v>
      </c>
      <c r="BI6" s="57">
        <f ca="1">SUMIF(AS:AS,AS6,BG:BG)</f>
        <v>1000</v>
      </c>
      <c r="BJ6" s="57">
        <f ca="1">MIN((BI6-SUMIF($AS$5:AS5,AS6,$BJ$5:BJ5)),MAX(0,BH6-SUMIF($F$5:F5,F6,$BJ$5:BJ5)))</f>
        <v>1000</v>
      </c>
      <c r="BK6" s="57">
        <f ca="1">(-SUMIF(AS:AS,AS6,BG:BG)+SUMIF(AS:AS,AS6,BJ:BJ))*(AP6=100)*AR6</f>
        <v>0</v>
      </c>
      <c r="BL6" s="57">
        <f ca="1">MAX(0,SUMIF(Invoice!A:A,F6,Invoice!B:B)-SUMIF(F:F,F6,BJ:BJ))*(COUNTIF(F:F,F6)=COUNTIF($F$5:F6,F6))</f>
        <v>0</v>
      </c>
    </row>
    <row r="7" spans="1:64" hidden="1">
      <c r="A7" s="43">
        <v>7</v>
      </c>
      <c r="B7" s="35" t="s">
        <v>147</v>
      </c>
      <c r="C7" s="35" t="s">
        <v>146</v>
      </c>
      <c r="D7" s="35">
        <v>1</v>
      </c>
      <c r="E7" s="35">
        <v>20</v>
      </c>
      <c r="F7" s="64" t="s">
        <v>152</v>
      </c>
      <c r="G7" s="73" t="s">
        <v>153</v>
      </c>
      <c r="H7" s="35"/>
      <c r="I7" s="35" t="s">
        <v>54</v>
      </c>
      <c r="J7" s="35">
        <v>0</v>
      </c>
      <c r="K7" s="35" t="s">
        <v>150</v>
      </c>
      <c r="L7" s="35" t="s">
        <v>53</v>
      </c>
      <c r="M7" s="35">
        <v>1</v>
      </c>
      <c r="N7" s="35">
        <v>1</v>
      </c>
      <c r="O7" s="35">
        <v>1</v>
      </c>
      <c r="P7" s="35"/>
      <c r="Q7" s="35"/>
      <c r="R7" s="35" t="s">
        <v>73</v>
      </c>
      <c r="S7" s="35" t="s">
        <v>73</v>
      </c>
      <c r="T7" s="36">
        <v>36892</v>
      </c>
      <c r="U7" s="36">
        <v>2958465</v>
      </c>
      <c r="V7" s="35" t="s">
        <v>151</v>
      </c>
      <c r="W7" s="35" t="s">
        <v>145</v>
      </c>
      <c r="X7" s="35"/>
      <c r="Y7" s="35" t="s">
        <v>143</v>
      </c>
      <c r="Z7" s="35">
        <v>7589153</v>
      </c>
      <c r="AA7" s="35">
        <v>4</v>
      </c>
      <c r="AB7" s="35">
        <v>2</v>
      </c>
      <c r="AC7" s="35"/>
      <c r="AE7" s="51">
        <f>M7/O7</f>
        <v>1</v>
      </c>
      <c r="AG7" s="6" t="str">
        <f>C7</f>
        <v>90MB1BJ0-C1BAY0</v>
      </c>
      <c r="AH7" s="6" t="str">
        <f>IF($D7&lt;=AH$4,"",IF(AND($D6=AH$4,$D7&gt;AH$4),$F6,AH6))</f>
        <v/>
      </c>
      <c r="AI7" s="6" t="str">
        <f>IF($D7&lt;=AI$4,"",IF(AND($D6=AI$4,$D7&gt;AI$4),$F6,AI6))</f>
        <v/>
      </c>
      <c r="AJ7" s="6" t="str">
        <f>IF($D7&lt;=AJ$4,"",IF(AND($D6=AJ$4,$D7&gt;AJ$4),$F6,AJ6))</f>
        <v/>
      </c>
      <c r="AK7" s="6" t="str">
        <f>IF($D7&lt;=AK$4,"",IF(AND($D6=AK$4,$D7&gt;AK$4),$F6,AK6))</f>
        <v/>
      </c>
      <c r="AL7" s="6" t="str">
        <f>IF($D7&lt;=AL$4,"",IF(AND($D6=AL$4,$D7&gt;AL$4),$F6,AL6))</f>
        <v/>
      </c>
      <c r="AM7" s="6" t="str">
        <f>IF($D7&lt;=AM$4,"",IF(AND($D6=AM$4,$D7&gt;AM$4),$F6,AM6))</f>
        <v/>
      </c>
      <c r="AN7" s="6" t="str">
        <f>IF($D7&lt;=AN$4,"",IF(AND($D6=AN$4,$D7&gt;AN$4),$F6,AN6))</f>
        <v/>
      </c>
      <c r="AO7" s="6" t="str">
        <f>CONCATENATE(AG7," | ",AH7," | ",AI7," | ",AJ7," | ",AK7," | ",AL7," | ",AM7," | ",AN7)</f>
        <v xml:space="preserve">90MB1BJ0-C1BAY0 |  |  |  |  |  |  | </v>
      </c>
      <c r="AP7" s="6">
        <f>IF(TRIM(H7)="",100,J7)</f>
        <v>100</v>
      </c>
      <c r="AQ7" s="4"/>
      <c r="AR7" s="6" t="b">
        <f>NOT(TRIM(W7)&lt;&gt;"F")</f>
        <v>1</v>
      </c>
      <c r="AS7" s="6" t="str">
        <f>$B7&amp;" | "&amp;$AO7&amp;" | "&amp;IF(TRIM(H7)="","uniq"&amp;ROW(),TRIM(H7))</f>
        <v>461E | 90MB1BJ0-C1BAY0 |  |  |  |  |  |  |  | uniq7</v>
      </c>
      <c r="AT7" s="63">
        <f>IF(NOT(AR7),IF(TRIM($H7)="","Assembly","Phantom Alt"),VLOOKUP(F7,ZPCS04!B:G,6,0))</f>
        <v>206</v>
      </c>
      <c r="AU7" s="7"/>
      <c r="AV7" s="38">
        <f ca="1">IF(TRIM($W7)="F",OFFSET($A$5,MATCH($AS7,$AS$5:$AS7,0)-1,0),$A7)</f>
        <v>7</v>
      </c>
      <c r="AW7" s="38">
        <f ca="1">IFERROR(OFFSET(ZPCS04!$A$1,MATCH(F7,ZPCS04!B:B,0)-1,0),100)</f>
        <v>1.9999999900000001</v>
      </c>
      <c r="AX7" s="7"/>
      <c r="AY7" s="6" t="b">
        <f>SUMIF(AS:AS,AS7,AP:AP)=100</f>
        <v>1</v>
      </c>
      <c r="AZ7" s="6" t="b">
        <f>SUMIF(AS:AS,AS7,AE:AE)/COUNTIF(AS:AS,AS7)=AE7</f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>C7&amp;" | "&amp;F7</f>
        <v>90MB1BJ0-C1BAY0 | 15091-67520000</v>
      </c>
      <c r="BE7" s="55" t="str">
        <f ca="1">C7&amp;" | "&amp;OFFSET($AF7,0,8-COUNTBLANK($AG7:$AN7))</f>
        <v>90MB1BJ0-C1BAY0 | 90MB1BJ0-C1BAY0</v>
      </c>
      <c r="BF7" s="57">
        <f ca="1">IFERROR(VLOOKUP($BE7,$BD$5:$BF6,3,0)*$AE7,VLOOKUP($C7,Demanda!$A:$B,2,0)*$AE7)*IF(AT7="Phantom Alt",$BC7,TRUE)</f>
        <v>1000</v>
      </c>
      <c r="BG7" s="57">
        <f ca="1">BF7*(AP7/100)</f>
        <v>1000</v>
      </c>
      <c r="BH7" s="57">
        <f>SUMIF(Invoice!A:A,F7,Invoice!B:B)</f>
        <v>1000</v>
      </c>
      <c r="BI7" s="57">
        <f ca="1">SUMIF(AS:AS,AS7,BG:BG)</f>
        <v>1000</v>
      </c>
      <c r="BJ7" s="57">
        <f ca="1">MIN((BI7-SUMIF($AS$5:AS6,AS7,$BJ$5:BJ6)),MAX(0,BH7-SUMIF($F$5:F6,F7,$BJ$5:BJ6)))</f>
        <v>1000</v>
      </c>
      <c r="BK7" s="57">
        <f ca="1">(-SUMIF(AS:AS,AS7,BG:BG)+SUMIF(AS:AS,AS7,BJ:BJ))*(AP7=100)*AR7</f>
        <v>0</v>
      </c>
      <c r="BL7" s="57">
        <f ca="1">MAX(0,SUMIF(Invoice!A:A,F7,Invoice!B:B)-SUMIF(F:F,F7,BJ:BJ))*(COUNTIF(F:F,F7)=COUNTIF($F$5:F7,F7))</f>
        <v>0</v>
      </c>
    </row>
    <row r="8" spans="1:64" hidden="1">
      <c r="A8" s="43">
        <v>8</v>
      </c>
      <c r="B8" s="35" t="s">
        <v>147</v>
      </c>
      <c r="C8" s="35" t="s">
        <v>146</v>
      </c>
      <c r="D8" s="35">
        <v>1</v>
      </c>
      <c r="E8" s="35">
        <v>30</v>
      </c>
      <c r="F8" s="64" t="s">
        <v>154</v>
      </c>
      <c r="G8" s="73" t="s">
        <v>155</v>
      </c>
      <c r="H8" s="35"/>
      <c r="I8" s="35" t="s">
        <v>54</v>
      </c>
      <c r="J8" s="35">
        <v>0</v>
      </c>
      <c r="K8" s="35" t="s">
        <v>150</v>
      </c>
      <c r="L8" s="35" t="s">
        <v>53</v>
      </c>
      <c r="M8" s="35">
        <v>1</v>
      </c>
      <c r="N8" s="35">
        <v>1</v>
      </c>
      <c r="O8" s="35">
        <v>1</v>
      </c>
      <c r="P8" s="35"/>
      <c r="Q8" s="35"/>
      <c r="R8" s="35" t="s">
        <v>73</v>
      </c>
      <c r="S8" s="35" t="s">
        <v>73</v>
      </c>
      <c r="T8" s="36">
        <v>36892</v>
      </c>
      <c r="U8" s="36">
        <v>2958465</v>
      </c>
      <c r="V8" s="35" t="s">
        <v>151</v>
      </c>
      <c r="W8" s="35" t="s">
        <v>145</v>
      </c>
      <c r="X8" s="35"/>
      <c r="Y8" s="35" t="s">
        <v>143</v>
      </c>
      <c r="Z8" s="35">
        <v>7589153</v>
      </c>
      <c r="AA8" s="35">
        <v>6</v>
      </c>
      <c r="AB8" s="35">
        <v>3</v>
      </c>
      <c r="AC8" s="35"/>
      <c r="AE8" s="51">
        <f>M8/O8</f>
        <v>1</v>
      </c>
      <c r="AG8" s="6" t="str">
        <f>C8</f>
        <v>90MB1BJ0-C1BAY0</v>
      </c>
      <c r="AH8" s="6" t="str">
        <f>IF($D8&lt;=AH$4,"",IF(AND($D7=AH$4,$D8&gt;AH$4),$F7,AH7))</f>
        <v/>
      </c>
      <c r="AI8" s="6" t="str">
        <f>IF($D8&lt;=AI$4,"",IF(AND($D7=AI$4,$D8&gt;AI$4),$F7,AI7))</f>
        <v/>
      </c>
      <c r="AJ8" s="6" t="str">
        <f>IF($D8&lt;=AJ$4,"",IF(AND($D7=AJ$4,$D8&gt;AJ$4),$F7,AJ7))</f>
        <v/>
      </c>
      <c r="AK8" s="6" t="str">
        <f>IF($D8&lt;=AK$4,"",IF(AND($D7=AK$4,$D8&gt;AK$4),$F7,AK7))</f>
        <v/>
      </c>
      <c r="AL8" s="6" t="str">
        <f>IF($D8&lt;=AL$4,"",IF(AND($D7=AL$4,$D8&gt;AL$4),$F7,AL7))</f>
        <v/>
      </c>
      <c r="AM8" s="6" t="str">
        <f>IF($D8&lt;=AM$4,"",IF(AND($D7=AM$4,$D8&gt;AM$4),$F7,AM7))</f>
        <v/>
      </c>
      <c r="AN8" s="6" t="str">
        <f>IF($D8&lt;=AN$4,"",IF(AND($D7=AN$4,$D8&gt;AN$4),$F7,AN7))</f>
        <v/>
      </c>
      <c r="AO8" s="6" t="str">
        <f>CONCATENATE(AG8," | ",AH8," | ",AI8," | ",AJ8," | ",AK8," | ",AL8," | ",AM8," | ",AN8)</f>
        <v xml:space="preserve">90MB1BJ0-C1BAY0 |  |  |  |  |  |  | </v>
      </c>
      <c r="AP8" s="6">
        <f>IF(TRIM(H8)="",100,J8)</f>
        <v>100</v>
      </c>
      <c r="AQ8" s="4"/>
      <c r="AR8" s="6" t="b">
        <f>NOT(TRIM(W8)&lt;&gt;"F")</f>
        <v>1</v>
      </c>
      <c r="AS8" s="6" t="str">
        <f>$B8&amp;" | "&amp;$AO8&amp;" | "&amp;IF(TRIM(H8)="","uniq"&amp;ROW(),TRIM(H8))</f>
        <v>461E | 90MB1BJ0-C1BAY0 |  |  |  |  |  |  |  | uniq8</v>
      </c>
      <c r="AT8" s="63">
        <f>IF(NOT(AR8),IF(TRIM($H8)="","Assembly","Phantom Alt"),VLOOKUP(F8,ZPCS04!B:G,6,0))</f>
        <v>182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1.9999999900000001</v>
      </c>
      <c r="AX8" s="7"/>
      <c r="AY8" s="6" t="b">
        <f>SUMIF(AS:AS,AS8,AP:AP)=100</f>
        <v>1</v>
      </c>
      <c r="AZ8" s="6" t="b">
        <f>SUMIF(AS:AS,AS8,AE:AE)/COUNTIF(AS:AS,AS8)=AE8</f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>C8&amp;" | "&amp;F8</f>
        <v>90MB1BJ0-C1BAY0 | 15000-1333X000</v>
      </c>
      <c r="BE8" s="55" t="str">
        <f ca="1">C8&amp;" | "&amp;OFFSET($AF8,0,8-COUNTBLANK($AG8:$AN8))</f>
        <v>90MB1BJ0-C1BAY0 | 90MB1BJ0-C1BAY0</v>
      </c>
      <c r="BF8" s="57">
        <f ca="1">IFERROR(VLOOKUP($BE8,$BD$5:$BF7,3,0)*$AE8,VLOOKUP($C8,Demanda!$A:$B,2,0)*$AE8)*IF(AT8="Phantom Alt",$BC8,TRUE)</f>
        <v>1000</v>
      </c>
      <c r="BG8" s="57">
        <f ca="1">BF8*(AP8/100)</f>
        <v>1000</v>
      </c>
      <c r="BH8" s="57">
        <f>SUMIF(Invoice!A:A,F8,Invoice!B:B)</f>
        <v>1000</v>
      </c>
      <c r="BI8" s="57">
        <f ca="1">SUMIF(AS:AS,AS8,BG:BG)</f>
        <v>1000</v>
      </c>
      <c r="BJ8" s="57">
        <f ca="1">MIN((BI8-SUMIF($AS$5:AS7,AS8,$BJ$5:BJ7)),MAX(0,BH8-SUMIF($F$5:F7,F8,$BJ$5:BJ7)))</f>
        <v>1000</v>
      </c>
      <c r="BK8" s="57">
        <f ca="1">(-SUMIF(AS:AS,AS8,BG:BG)+SUMIF(AS:AS,AS8,BJ:BJ))*(AP8=100)*AR8</f>
        <v>0</v>
      </c>
      <c r="BL8" s="57">
        <f ca="1">MAX(0,SUMIF(Invoice!A:A,F8,Invoice!B:B)-SUMIF(F:F,F8,BJ:BJ))*(COUNTIF(F:F,F8)=COUNTIF($F$5:F8,F8))</f>
        <v>0</v>
      </c>
    </row>
    <row r="9" spans="1:64">
      <c r="A9" s="43">
        <v>9</v>
      </c>
      <c r="B9" s="35" t="s">
        <v>147</v>
      </c>
      <c r="C9" s="35" t="s">
        <v>146</v>
      </c>
      <c r="D9" s="35">
        <v>1</v>
      </c>
      <c r="E9" s="35">
        <v>40</v>
      </c>
      <c r="F9" s="64" t="s">
        <v>156</v>
      </c>
      <c r="G9" s="73" t="s">
        <v>157</v>
      </c>
      <c r="H9" s="35"/>
      <c r="I9" s="35" t="s">
        <v>54</v>
      </c>
      <c r="J9" s="35">
        <v>0</v>
      </c>
      <c r="K9" s="35" t="s">
        <v>150</v>
      </c>
      <c r="L9" s="35" t="s">
        <v>53</v>
      </c>
      <c r="M9" s="35">
        <v>0.25</v>
      </c>
      <c r="N9" s="35">
        <v>1</v>
      </c>
      <c r="O9" s="35">
        <v>1</v>
      </c>
      <c r="P9" s="35"/>
      <c r="Q9" s="35"/>
      <c r="R9" s="35" t="s">
        <v>73</v>
      </c>
      <c r="S9" s="35" t="s">
        <v>73</v>
      </c>
      <c r="T9" s="36">
        <v>36892</v>
      </c>
      <c r="U9" s="36">
        <v>2958465</v>
      </c>
      <c r="V9" s="35" t="s">
        <v>151</v>
      </c>
      <c r="W9" s="35" t="s">
        <v>145</v>
      </c>
      <c r="X9" s="35"/>
      <c r="Y9" s="35" t="s">
        <v>143</v>
      </c>
      <c r="Z9" s="35">
        <v>7589153</v>
      </c>
      <c r="AA9" s="35">
        <v>8</v>
      </c>
      <c r="AB9" s="35">
        <v>4</v>
      </c>
      <c r="AC9" s="35"/>
      <c r="AE9" s="51">
        <f>M9/O9</f>
        <v>0.25</v>
      </c>
      <c r="AG9" s="6" t="str">
        <f>C9</f>
        <v>90MB1BJ0-C1BAY0</v>
      </c>
      <c r="AH9" s="6" t="str">
        <f>IF($D9&lt;=AH$4,"",IF(AND($D8=AH$4,$D9&gt;AH$4),$F8,AH8))</f>
        <v/>
      </c>
      <c r="AI9" s="6" t="str">
        <f>IF($D9&lt;=AI$4,"",IF(AND($D8=AI$4,$D9&gt;AI$4),$F8,AI8))</f>
        <v/>
      </c>
      <c r="AJ9" s="6" t="str">
        <f>IF($D9&lt;=AJ$4,"",IF(AND($D8=AJ$4,$D9&gt;AJ$4),$F8,AJ8))</f>
        <v/>
      </c>
      <c r="AK9" s="6" t="str">
        <f>IF($D9&lt;=AK$4,"",IF(AND($D8=AK$4,$D9&gt;AK$4),$F8,AK8))</f>
        <v/>
      </c>
      <c r="AL9" s="6" t="str">
        <f>IF($D9&lt;=AL$4,"",IF(AND($D8=AL$4,$D9&gt;AL$4),$F8,AL8))</f>
        <v/>
      </c>
      <c r="AM9" s="6" t="str">
        <f>IF($D9&lt;=AM$4,"",IF(AND($D8=AM$4,$D9&gt;AM$4),$F8,AM8))</f>
        <v/>
      </c>
      <c r="AN9" s="6" t="str">
        <f>IF($D9&lt;=AN$4,"",IF(AND($D8=AN$4,$D9&gt;AN$4),$F8,AN8))</f>
        <v/>
      </c>
      <c r="AO9" s="6" t="str">
        <f>CONCATENATE(AG9," | ",AH9," | ",AI9," | ",AJ9," | ",AK9," | ",AL9," | ",AM9," | ",AN9)</f>
        <v xml:space="preserve">90MB1BJ0-C1BAY0 |  |  |  |  |  |  | </v>
      </c>
      <c r="AP9" s="6">
        <f>IF(TRIM(H9)="",100,J9)</f>
        <v>100</v>
      </c>
      <c r="AQ9" s="4"/>
      <c r="AR9" s="6" t="b">
        <f>NOT(TRIM(W9)&lt;&gt;"F")</f>
        <v>1</v>
      </c>
      <c r="AS9" s="6" t="str">
        <f>$B9&amp;" | "&amp;$AO9&amp;" | "&amp;IF(TRIM(H9)="","uniq"&amp;ROW(),TRIM(H9))</f>
        <v>461E | 90MB1BJ0-C1BAY0 |  |  |  |  |  |  |  | uniq9</v>
      </c>
      <c r="AT9" s="63">
        <f>IF(NOT(AR9),IF(TRIM($H9)="","Assembly","Phantom Alt"),VLOOKUP(F9,ZPCS04!B:G,6,0))</f>
        <v>183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2</v>
      </c>
      <c r="AX9" s="7"/>
      <c r="AY9" s="6" t="b">
        <f>SUMIF(AS:AS,AS9,AP:AP)=100</f>
        <v>1</v>
      </c>
      <c r="AZ9" s="6" t="b">
        <f>SUMIF(AS:AS,AS9,AE:AE)/COUNTIF(AS:AS,AS9)=AE9</f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>C9&amp;" | "&amp;F9</f>
        <v>90MB1BJ0-C1BAY0 | 15030-07622000</v>
      </c>
      <c r="BE9" s="55" t="str">
        <f ca="1">C9&amp;" | "&amp;OFFSET($AF9,0,8-COUNTBLANK($AG9:$AN9))</f>
        <v>90MB1BJ0-C1BAY0 | 90MB1BJ0-C1BAY0</v>
      </c>
      <c r="BF9" s="57">
        <f ca="1">IFERROR(VLOOKUP($BE9,$BD$5:$BF8,3,0)*$AE9,VLOOKUP($C9,Demanda!$A:$B,2,0)*$AE9)*IF(AT9="Phantom Alt",$BC9,TRUE)</f>
        <v>250</v>
      </c>
      <c r="BG9" s="57">
        <f ca="1">BF9*(AP9/100)</f>
        <v>250</v>
      </c>
      <c r="BH9" s="57">
        <f>SUMIF(Invoice!A:A,F9,Invoice!B:B)</f>
        <v>0</v>
      </c>
      <c r="BI9" s="57">
        <f ca="1">SUMIF(AS:AS,AS9,BG:BG)</f>
        <v>250</v>
      </c>
      <c r="BJ9" s="57">
        <f ca="1">MIN((BI9-SUMIF($AS$5:AS8,AS9,$BJ$5:BJ8)),MAX(0,BH9-SUMIF($F$5:F8,F9,$BJ$5:BJ8)))</f>
        <v>0</v>
      </c>
      <c r="BK9" s="57">
        <f ca="1">(-SUMIF(AS:AS,AS9,BG:BG)+SUMIF(AS:AS,AS9,BJ:BJ))*(AP9=100)*AR9</f>
        <v>-250</v>
      </c>
      <c r="BL9" s="57">
        <f ca="1">MAX(0,SUMIF(Invoice!A:A,F9,Invoice!B:B)-SUMIF(F:F,F9,BJ:BJ))*(COUNTIF(F:F,F9)=COUNTIF($F$5:F9,F9))</f>
        <v>0</v>
      </c>
    </row>
    <row r="10" spans="1:64" hidden="1">
      <c r="A10" s="43">
        <v>10</v>
      </c>
      <c r="B10" s="35" t="s">
        <v>147</v>
      </c>
      <c r="C10" s="35" t="s">
        <v>146</v>
      </c>
      <c r="D10" s="35">
        <v>1</v>
      </c>
      <c r="E10" s="35">
        <v>50</v>
      </c>
      <c r="F10" s="64" t="s">
        <v>158</v>
      </c>
      <c r="G10" s="73" t="s">
        <v>159</v>
      </c>
      <c r="H10" s="35"/>
      <c r="I10" s="35" t="s">
        <v>54</v>
      </c>
      <c r="J10" s="35">
        <v>0</v>
      </c>
      <c r="K10" s="35" t="s">
        <v>150</v>
      </c>
      <c r="L10" s="35" t="s">
        <v>53</v>
      </c>
      <c r="M10" s="35">
        <v>1</v>
      </c>
      <c r="N10" s="35">
        <v>1</v>
      </c>
      <c r="O10" s="35">
        <v>1</v>
      </c>
      <c r="P10" s="35"/>
      <c r="Q10" s="35"/>
      <c r="R10" s="35" t="s">
        <v>73</v>
      </c>
      <c r="S10" s="35" t="s">
        <v>73</v>
      </c>
      <c r="T10" s="36">
        <v>36892</v>
      </c>
      <c r="U10" s="36">
        <v>2958465</v>
      </c>
      <c r="V10" s="35" t="s">
        <v>151</v>
      </c>
      <c r="W10" s="35" t="s">
        <v>145</v>
      </c>
      <c r="X10" s="35"/>
      <c r="Y10" s="35" t="s">
        <v>143</v>
      </c>
      <c r="Z10" s="35">
        <v>7589153</v>
      </c>
      <c r="AA10" s="35">
        <v>10</v>
      </c>
      <c r="AB10" s="35">
        <v>5</v>
      </c>
      <c r="AC10" s="35"/>
      <c r="AE10" s="51">
        <f>M10/O10</f>
        <v>1</v>
      </c>
      <c r="AG10" s="6" t="str">
        <f>C10</f>
        <v>90MB1BJ0-C1BAY0</v>
      </c>
      <c r="AH10" s="6" t="str">
        <f>IF($D10&lt;=AH$4,"",IF(AND($D9=AH$4,$D10&gt;AH$4),$F9,AH9))</f>
        <v/>
      </c>
      <c r="AI10" s="6" t="str">
        <f>IF($D10&lt;=AI$4,"",IF(AND($D9=AI$4,$D10&gt;AI$4),$F9,AI9))</f>
        <v/>
      </c>
      <c r="AJ10" s="6" t="str">
        <f>IF($D10&lt;=AJ$4,"",IF(AND($D9=AJ$4,$D10&gt;AJ$4),$F9,AJ9))</f>
        <v/>
      </c>
      <c r="AK10" s="6" t="str">
        <f>IF($D10&lt;=AK$4,"",IF(AND($D9=AK$4,$D10&gt;AK$4),$F9,AK9))</f>
        <v/>
      </c>
      <c r="AL10" s="6" t="str">
        <f>IF($D10&lt;=AL$4,"",IF(AND($D9=AL$4,$D10&gt;AL$4),$F9,AL9))</f>
        <v/>
      </c>
      <c r="AM10" s="6" t="str">
        <f>IF($D10&lt;=AM$4,"",IF(AND($D9=AM$4,$D10&gt;AM$4),$F9,AM9))</f>
        <v/>
      </c>
      <c r="AN10" s="6" t="str">
        <f>IF($D10&lt;=AN$4,"",IF(AND($D9=AN$4,$D10&gt;AN$4),$F9,AN9))</f>
        <v/>
      </c>
      <c r="AO10" s="6" t="str">
        <f>CONCATENATE(AG10," | ",AH10," | ",AI10," | ",AJ10," | ",AK10," | ",AL10," | ",AM10," | ",AN10)</f>
        <v xml:space="preserve">90MB1BJ0-C1BAY0 |  |  |  |  |  |  | </v>
      </c>
      <c r="AP10" s="6">
        <f>IF(TRIM(H10)="",100,J10)</f>
        <v>100</v>
      </c>
      <c r="AQ10" s="4"/>
      <c r="AR10" s="6" t="b">
        <f>NOT(TRIM(W10)&lt;&gt;"F")</f>
        <v>1</v>
      </c>
      <c r="AS10" s="6" t="str">
        <f>$B10&amp;" | "&amp;$AO10&amp;" | "&amp;IF(TRIM(H10)="","uniq"&amp;ROW(),TRIM(H10))</f>
        <v>461E | 90MB1BJ0-C1BAY0 |  |  |  |  |  |  |  | uniq10</v>
      </c>
      <c r="AT10" s="63">
        <f>IF(NOT(AR10),IF(TRIM($H10)="","Assembly","Phantom Alt"),VLOOKUP(F10,ZPCS04!B:G,6,0))</f>
        <v>226</v>
      </c>
      <c r="AU10" s="7"/>
      <c r="AV10" s="38">
        <f ca="1">IF(TRIM($W10)="F",OFFSET($A$5,MATCH($AS10,$AS$5:$AS10,0)-1,0),$A10)</f>
        <v>10</v>
      </c>
      <c r="AW10" s="38">
        <f ca="1">IFERROR(OFFSET(ZPCS04!$A$1,MATCH(F10,ZPCS04!B:B,0)-1,0),100)</f>
        <v>1.9999999900000001</v>
      </c>
      <c r="AX10" s="7"/>
      <c r="AY10" s="6" t="b">
        <f>SUMIF(AS:AS,AS10,AP:AP)=100</f>
        <v>1</v>
      </c>
      <c r="AZ10" s="6" t="b">
        <f>SUMIF(AS:AS,AS10,AE:AE)/COUNTIF(AS:AS,AS10)=AE10</f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>C10&amp;" | "&amp;F10</f>
        <v>90MB1BJ0-C1BAY0 | 15240-09080000</v>
      </c>
      <c r="BE10" s="55" t="str">
        <f ca="1">C10&amp;" | "&amp;OFFSET($AF10,0,8-COUNTBLANK($AG10:$AN10))</f>
        <v>90MB1BJ0-C1BAY0 | 90MB1BJ0-C1BAY0</v>
      </c>
      <c r="BF10" s="57">
        <f ca="1">IFERROR(VLOOKUP($BE10,$BD$5:$BF9,3,0)*$AE10,VLOOKUP($C10,Demanda!$A:$B,2,0)*$AE10)*IF(AT10="Phantom Alt",$BC10,TRUE)</f>
        <v>1000</v>
      </c>
      <c r="BG10" s="57">
        <f ca="1">BF10*(AP10/100)</f>
        <v>1000</v>
      </c>
      <c r="BH10" s="57">
        <f>SUMIF(Invoice!A:A,F10,Invoice!B:B)</f>
        <v>1000</v>
      </c>
      <c r="BI10" s="57">
        <f ca="1">SUMIF(AS:AS,AS10,BG:BG)</f>
        <v>1000</v>
      </c>
      <c r="BJ10" s="57">
        <f ca="1">MIN((BI10-SUMIF($AS$5:AS9,AS10,$BJ$5:BJ9)),MAX(0,BH10-SUMIF($F$5:F9,F10,$BJ$5:BJ9)))</f>
        <v>1000</v>
      </c>
      <c r="BK10" s="57">
        <f ca="1">(-SUMIF(AS:AS,AS10,BG:BG)+SUMIF(AS:AS,AS10,BJ:BJ))*(AP10=100)*AR10</f>
        <v>0</v>
      </c>
      <c r="BL10" s="57">
        <f ca="1">MAX(0,SUMIF(Invoice!A:A,F10,Invoice!B:B)-SUMIF(F:F,F10,BJ:BJ))*(COUNTIF(F:F,F10)=COUNTIF($F$5:F10,F10))</f>
        <v>0</v>
      </c>
    </row>
    <row r="11" spans="1:64" hidden="1">
      <c r="A11" s="43">
        <v>11</v>
      </c>
      <c r="B11" s="35" t="s">
        <v>147</v>
      </c>
      <c r="C11" s="35" t="s">
        <v>146</v>
      </c>
      <c r="D11" s="35">
        <v>1</v>
      </c>
      <c r="E11" s="35">
        <v>60</v>
      </c>
      <c r="F11" s="64" t="s">
        <v>160</v>
      </c>
      <c r="G11" s="73" t="s">
        <v>161</v>
      </c>
      <c r="H11" s="35"/>
      <c r="I11" s="35" t="s">
        <v>54</v>
      </c>
      <c r="J11" s="35">
        <v>0</v>
      </c>
      <c r="K11" s="35" t="s">
        <v>150</v>
      </c>
      <c r="L11" s="35" t="s">
        <v>53</v>
      </c>
      <c r="M11" s="35">
        <v>0.25</v>
      </c>
      <c r="N11" s="35">
        <v>1</v>
      </c>
      <c r="O11" s="35">
        <v>1</v>
      </c>
      <c r="P11" s="35"/>
      <c r="Q11" s="35"/>
      <c r="R11" s="35" t="s">
        <v>73</v>
      </c>
      <c r="S11" s="35" t="s">
        <v>73</v>
      </c>
      <c r="T11" s="36">
        <v>36892</v>
      </c>
      <c r="U11" s="36">
        <v>2958465</v>
      </c>
      <c r="V11" s="35" t="s">
        <v>151</v>
      </c>
      <c r="W11" s="35" t="s">
        <v>145</v>
      </c>
      <c r="X11" s="35"/>
      <c r="Y11" s="35" t="s">
        <v>143</v>
      </c>
      <c r="Z11" s="35">
        <v>7589153</v>
      </c>
      <c r="AA11" s="35">
        <v>12</v>
      </c>
      <c r="AB11" s="35">
        <v>6</v>
      </c>
      <c r="AC11" s="35"/>
      <c r="AE11" s="51">
        <f>M11/O11</f>
        <v>0.25</v>
      </c>
      <c r="AG11" s="6" t="str">
        <f>C11</f>
        <v>90MB1BJ0-C1BAY0</v>
      </c>
      <c r="AH11" s="6" t="str">
        <f>IF($D11&lt;=AH$4,"",IF(AND($D10=AH$4,$D11&gt;AH$4),$F10,AH10))</f>
        <v/>
      </c>
      <c r="AI11" s="6" t="str">
        <f>IF($D11&lt;=AI$4,"",IF(AND($D10=AI$4,$D11&gt;AI$4),$F10,AI10))</f>
        <v/>
      </c>
      <c r="AJ11" s="6" t="str">
        <f>IF($D11&lt;=AJ$4,"",IF(AND($D10=AJ$4,$D11&gt;AJ$4),$F10,AJ10))</f>
        <v/>
      </c>
      <c r="AK11" s="6" t="str">
        <f>IF($D11&lt;=AK$4,"",IF(AND($D10=AK$4,$D11&gt;AK$4),$F10,AK10))</f>
        <v/>
      </c>
      <c r="AL11" s="6" t="str">
        <f>IF($D11&lt;=AL$4,"",IF(AND($D10=AL$4,$D11&gt;AL$4),$F10,AL10))</f>
        <v/>
      </c>
      <c r="AM11" s="6" t="str">
        <f>IF($D11&lt;=AM$4,"",IF(AND($D10=AM$4,$D11&gt;AM$4),$F10,AM10))</f>
        <v/>
      </c>
      <c r="AN11" s="6" t="str">
        <f>IF($D11&lt;=AN$4,"",IF(AND($D10=AN$4,$D11&gt;AN$4),$F10,AN10))</f>
        <v/>
      </c>
      <c r="AO11" s="6" t="str">
        <f>CONCATENATE(AG11," | ",AH11," | ",AI11," | ",AJ11," | ",AK11," | ",AL11," | ",AM11," | ",AN11)</f>
        <v xml:space="preserve">90MB1BJ0-C1BAY0 |  |  |  |  |  |  | </v>
      </c>
      <c r="AP11" s="6">
        <f>IF(TRIM(H11)="",100,J11)</f>
        <v>100</v>
      </c>
      <c r="AQ11" s="4"/>
      <c r="AR11" s="6" t="b">
        <f>NOT(TRIM(W11)&lt;&gt;"F")</f>
        <v>1</v>
      </c>
      <c r="AS11" s="6" t="str">
        <f>$B11&amp;" | "&amp;$AO11&amp;" | "&amp;IF(TRIM(H11)="","uniq"&amp;ROW(),TRIM(H11))</f>
        <v>461E | 90MB1BJ0-C1BAY0 |  |  |  |  |  |  |  | uniq11</v>
      </c>
      <c r="AT11" s="63">
        <f>IF(NOT(AR11),IF(TRIM($H11)="","Assembly","Phantom Alt"),VLOOKUP(F11,ZPCS04!B:G,6,0))</f>
        <v>186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1.99999999745</v>
      </c>
      <c r="AX11" s="7"/>
      <c r="AY11" s="6" t="b">
        <f>SUMIF(AS:AS,AS11,AP:AP)=100</f>
        <v>1</v>
      </c>
      <c r="AZ11" s="6" t="b">
        <f>SUMIF(AS:AS,AS11,AE:AE)/COUNTIF(AS:AS,AS11)=AE11</f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>C11&amp;" | "&amp;F11</f>
        <v>90MB1BJ0-C1BAY0 | 15050-03450000</v>
      </c>
      <c r="BE11" s="55" t="str">
        <f ca="1">C11&amp;" | "&amp;OFFSET($AF11,0,8-COUNTBLANK($AG11:$AN11))</f>
        <v>90MB1BJ0-C1BAY0 | 90MB1BJ0-C1BAY0</v>
      </c>
      <c r="BF11" s="57">
        <f ca="1">IFERROR(VLOOKUP($BE11,$BD$5:$BF10,3,0)*$AE11,VLOOKUP($C11,Demanda!$A:$B,2,0)*$AE11)*IF(AT11="Phantom Alt",$BC11,TRUE)</f>
        <v>250</v>
      </c>
      <c r="BG11" s="57">
        <f ca="1">BF11*(AP11/100)</f>
        <v>250</v>
      </c>
      <c r="BH11" s="57">
        <f>SUMIF(Invoice!A:A,F11,Invoice!B:B)</f>
        <v>255</v>
      </c>
      <c r="BI11" s="57">
        <f ca="1">SUMIF(AS:AS,AS11,BG:BG)</f>
        <v>250</v>
      </c>
      <c r="BJ11" s="57">
        <f ca="1">MIN((BI11-SUMIF($AS$5:AS10,AS11,$BJ$5:BJ10)),MAX(0,BH11-SUMIF($F$5:F10,F11,$BJ$5:BJ10)))</f>
        <v>250</v>
      </c>
      <c r="BK11" s="57">
        <f ca="1">(-SUMIF(AS:AS,AS11,BG:BG)+SUMIF(AS:AS,AS11,BJ:BJ))*(AP11=100)*AR11</f>
        <v>0</v>
      </c>
      <c r="BL11" s="57">
        <f ca="1">MAX(0,SUMIF(Invoice!A:A,F11,Invoice!B:B)-SUMIF(F:F,F11,BJ:BJ))*(COUNTIF(F:F,F11)=COUNTIF($F$5:F11,F11))</f>
        <v>5</v>
      </c>
    </row>
    <row r="12" spans="1:64" hidden="1">
      <c r="A12" s="43">
        <v>12</v>
      </c>
      <c r="B12" s="35" t="s">
        <v>147</v>
      </c>
      <c r="C12" s="35" t="s">
        <v>146</v>
      </c>
      <c r="D12" s="35">
        <v>1</v>
      </c>
      <c r="E12" s="35">
        <v>70</v>
      </c>
      <c r="F12" s="64" t="s">
        <v>162</v>
      </c>
      <c r="G12" s="73" t="s">
        <v>163</v>
      </c>
      <c r="H12" s="35"/>
      <c r="I12" s="35" t="s">
        <v>54</v>
      </c>
      <c r="J12" s="35">
        <v>0</v>
      </c>
      <c r="K12" s="35" t="s">
        <v>150</v>
      </c>
      <c r="L12" s="35" t="s">
        <v>53</v>
      </c>
      <c r="M12" s="35">
        <v>0.25</v>
      </c>
      <c r="N12" s="35">
        <v>1</v>
      </c>
      <c r="O12" s="35">
        <v>1</v>
      </c>
      <c r="P12" s="35"/>
      <c r="Q12" s="35"/>
      <c r="R12" s="35" t="s">
        <v>73</v>
      </c>
      <c r="S12" s="35" t="s">
        <v>73</v>
      </c>
      <c r="T12" s="36">
        <v>36892</v>
      </c>
      <c r="U12" s="36">
        <v>2958465</v>
      </c>
      <c r="V12" s="35" t="s">
        <v>151</v>
      </c>
      <c r="W12" s="35" t="s">
        <v>145</v>
      </c>
      <c r="X12" s="35"/>
      <c r="Y12" s="35" t="s">
        <v>143</v>
      </c>
      <c r="Z12" s="35">
        <v>7589153</v>
      </c>
      <c r="AA12" s="35">
        <v>14</v>
      </c>
      <c r="AB12" s="35">
        <v>7</v>
      </c>
      <c r="AC12" s="35"/>
      <c r="AE12" s="51">
        <f>M12/O12</f>
        <v>0.25</v>
      </c>
      <c r="AG12" s="6" t="str">
        <f>C12</f>
        <v>90MB1BJ0-C1BAY0</v>
      </c>
      <c r="AH12" s="6" t="str">
        <f>IF($D12&lt;=AH$4,"",IF(AND($D11=AH$4,$D12&gt;AH$4),$F11,AH11))</f>
        <v/>
      </c>
      <c r="AI12" s="6" t="str">
        <f>IF($D12&lt;=AI$4,"",IF(AND($D11=AI$4,$D12&gt;AI$4),$F11,AI11))</f>
        <v/>
      </c>
      <c r="AJ12" s="6" t="str">
        <f>IF($D12&lt;=AJ$4,"",IF(AND($D11=AJ$4,$D12&gt;AJ$4),$F11,AJ11))</f>
        <v/>
      </c>
      <c r="AK12" s="6" t="str">
        <f>IF($D12&lt;=AK$4,"",IF(AND($D11=AK$4,$D12&gt;AK$4),$F11,AK11))</f>
        <v/>
      </c>
      <c r="AL12" s="6" t="str">
        <f>IF($D12&lt;=AL$4,"",IF(AND($D11=AL$4,$D12&gt;AL$4),$F11,AL11))</f>
        <v/>
      </c>
      <c r="AM12" s="6" t="str">
        <f>IF($D12&lt;=AM$4,"",IF(AND($D11=AM$4,$D12&gt;AM$4),$F11,AM11))</f>
        <v/>
      </c>
      <c r="AN12" s="6" t="str">
        <f>IF($D12&lt;=AN$4,"",IF(AND($D11=AN$4,$D12&gt;AN$4),$F11,AN11))</f>
        <v/>
      </c>
      <c r="AO12" s="6" t="str">
        <f>CONCATENATE(AG12," | ",AH12," | ",AI12," | ",AJ12," | ",AK12," | ",AL12," | ",AM12," | ",AN12)</f>
        <v xml:space="preserve">90MB1BJ0-C1BAY0 |  |  |  |  |  |  | </v>
      </c>
      <c r="AP12" s="6">
        <f>IF(TRIM(H12)="",100,J12)</f>
        <v>100</v>
      </c>
      <c r="AQ12" s="4"/>
      <c r="AR12" s="6" t="b">
        <f>NOT(TRIM(W12)&lt;&gt;"F")</f>
        <v>1</v>
      </c>
      <c r="AS12" s="6" t="str">
        <f>$B12&amp;" | "&amp;$AO12&amp;" | "&amp;IF(TRIM(H12)="","uniq"&amp;ROW(),TRIM(H12))</f>
        <v>461E | 90MB1BJ0-C1BAY0 |  |  |  |  |  |  |  | uniq12</v>
      </c>
      <c r="AT12" s="63">
        <f>IF(NOT(AR12),IF(TRIM($H12)="","Assembly","Phantom Alt"),VLOOKUP(F12,ZPCS04!B:G,6,0))</f>
        <v>187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1.99999999745</v>
      </c>
      <c r="AX12" s="7"/>
      <c r="AY12" s="6" t="b">
        <f>SUMIF(AS:AS,AS12,AP:AP)=100</f>
        <v>1</v>
      </c>
      <c r="AZ12" s="6" t="b">
        <f>SUMIF(AS:AS,AS12,AE:AE)/COUNTIF(AS:AS,AS12)=AE12</f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>C12&amp;" | "&amp;F12</f>
        <v>90MB1BJ0-C1BAY0 | 15050-05890000</v>
      </c>
      <c r="BE12" s="55" t="str">
        <f ca="1">C12&amp;" | "&amp;OFFSET($AF12,0,8-COUNTBLANK($AG12:$AN12))</f>
        <v>90MB1BJ0-C1BAY0 | 90MB1BJ0-C1BAY0</v>
      </c>
      <c r="BF12" s="57">
        <f ca="1">IFERROR(VLOOKUP($BE12,$BD$5:$BF11,3,0)*$AE12,VLOOKUP($C12,Demanda!$A:$B,2,0)*$AE12)*IF(AT12="Phantom Alt",$BC12,TRUE)</f>
        <v>250</v>
      </c>
      <c r="BG12" s="57">
        <f ca="1">BF12*(AP12/100)</f>
        <v>250</v>
      </c>
      <c r="BH12" s="57">
        <f>SUMIF(Invoice!A:A,F12,Invoice!B:B)</f>
        <v>255</v>
      </c>
      <c r="BI12" s="57">
        <f ca="1">SUMIF(AS:AS,AS12,BG:BG)</f>
        <v>250</v>
      </c>
      <c r="BJ12" s="57">
        <f ca="1">MIN((BI12-SUMIF($AS$5:AS11,AS12,$BJ$5:BJ11)),MAX(0,BH12-SUMIF($F$5:F11,F12,$BJ$5:BJ11)))</f>
        <v>250</v>
      </c>
      <c r="BK12" s="57">
        <f ca="1">(-SUMIF(AS:AS,AS12,BG:BG)+SUMIF(AS:AS,AS12,BJ:BJ))*(AP12=100)*AR12</f>
        <v>0</v>
      </c>
      <c r="BL12" s="57">
        <f ca="1">MAX(0,SUMIF(Invoice!A:A,F12,Invoice!B:B)-SUMIF(F:F,F12,BJ:BJ))*(COUNTIF(F:F,F12)=COUNTIF($F$5:F12,F12))</f>
        <v>5</v>
      </c>
    </row>
    <row r="13" spans="1:64" hidden="1">
      <c r="A13" s="43">
        <v>13</v>
      </c>
      <c r="B13" s="35" t="s">
        <v>147</v>
      </c>
      <c r="C13" s="35" t="s">
        <v>146</v>
      </c>
      <c r="D13" s="35">
        <v>1</v>
      </c>
      <c r="E13" s="35">
        <v>80</v>
      </c>
      <c r="F13" s="64" t="s">
        <v>164</v>
      </c>
      <c r="G13" s="73" t="s">
        <v>165</v>
      </c>
      <c r="H13" s="35"/>
      <c r="I13" s="35" t="s">
        <v>54</v>
      </c>
      <c r="J13" s="35">
        <v>0</v>
      </c>
      <c r="K13" s="35" t="s">
        <v>150</v>
      </c>
      <c r="L13" s="35" t="s">
        <v>53</v>
      </c>
      <c r="M13" s="35">
        <v>1</v>
      </c>
      <c r="N13" s="35">
        <v>1</v>
      </c>
      <c r="O13" s="35">
        <v>1</v>
      </c>
      <c r="P13" s="35"/>
      <c r="Q13" s="35"/>
      <c r="R13" s="35" t="s">
        <v>73</v>
      </c>
      <c r="S13" s="35" t="s">
        <v>73</v>
      </c>
      <c r="T13" s="36">
        <v>36892</v>
      </c>
      <c r="U13" s="36">
        <v>2958465</v>
      </c>
      <c r="V13" s="35" t="s">
        <v>151</v>
      </c>
      <c r="W13" s="35" t="s">
        <v>145</v>
      </c>
      <c r="X13" s="35"/>
      <c r="Y13" s="35" t="s">
        <v>143</v>
      </c>
      <c r="Z13" s="35">
        <v>7589153</v>
      </c>
      <c r="AA13" s="35">
        <v>16</v>
      </c>
      <c r="AB13" s="35">
        <v>8</v>
      </c>
      <c r="AC13" s="35"/>
      <c r="AE13" s="51">
        <f>M13/O13</f>
        <v>1</v>
      </c>
      <c r="AG13" s="6" t="str">
        <f>C13</f>
        <v>90MB1BJ0-C1BAY0</v>
      </c>
      <c r="AH13" s="6" t="str">
        <f>IF($D13&lt;=AH$4,"",IF(AND($D12=AH$4,$D13&gt;AH$4),$F12,AH12))</f>
        <v/>
      </c>
      <c r="AI13" s="6" t="str">
        <f>IF($D13&lt;=AI$4,"",IF(AND($D12=AI$4,$D13&gt;AI$4),$F12,AI12))</f>
        <v/>
      </c>
      <c r="AJ13" s="6" t="str">
        <f>IF($D13&lt;=AJ$4,"",IF(AND($D12=AJ$4,$D13&gt;AJ$4),$F12,AJ12))</f>
        <v/>
      </c>
      <c r="AK13" s="6" t="str">
        <f>IF($D13&lt;=AK$4,"",IF(AND($D12=AK$4,$D13&gt;AK$4),$F12,AK12))</f>
        <v/>
      </c>
      <c r="AL13" s="6" t="str">
        <f>IF($D13&lt;=AL$4,"",IF(AND($D12=AL$4,$D13&gt;AL$4),$F12,AL12))</f>
        <v/>
      </c>
      <c r="AM13" s="6" t="str">
        <f>IF($D13&lt;=AM$4,"",IF(AND($D12=AM$4,$D13&gt;AM$4),$F12,AM12))</f>
        <v/>
      </c>
      <c r="AN13" s="6" t="str">
        <f>IF($D13&lt;=AN$4,"",IF(AND($D12=AN$4,$D13&gt;AN$4),$F12,AN12))</f>
        <v/>
      </c>
      <c r="AO13" s="6" t="str">
        <f>CONCATENATE(AG13," | ",AH13," | ",AI13," | ",AJ13," | ",AK13," | ",AL13," | ",AM13," | ",AN13)</f>
        <v xml:space="preserve">90MB1BJ0-C1BAY0 |  |  |  |  |  |  | </v>
      </c>
      <c r="AP13" s="6">
        <f>IF(TRIM(H13)="",100,J13)</f>
        <v>100</v>
      </c>
      <c r="AQ13" s="4"/>
      <c r="AR13" s="6" t="b">
        <f>NOT(TRIM(W13)&lt;&gt;"F")</f>
        <v>1</v>
      </c>
      <c r="AS13" s="6" t="str">
        <f>$B13&amp;" | "&amp;$AO13&amp;" | "&amp;IF(TRIM(H13)="","uniq"&amp;ROW(),TRIM(H13))</f>
        <v>461E | 90MB1BJ0-C1BAY0 |  |  |  |  |  |  |  | uniq13</v>
      </c>
      <c r="AT13" s="63">
        <f>IF(NOT(AR13),IF(TRIM($H13)="","Assembly","Phantom Alt"),VLOOKUP(F13,ZPCS04!B:G,6,0))</f>
        <v>214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1.999999989</v>
      </c>
      <c r="AX13" s="7"/>
      <c r="AY13" s="6" t="b">
        <f>SUMIF(AS:AS,AS13,AP:AP)=100</f>
        <v>1</v>
      </c>
      <c r="AZ13" s="6" t="b">
        <f>SUMIF(AS:AS,AS13,AE:AE)/COUNTIF(AS:AS,AS13)=AE13</f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>C13&amp;" | "&amp;F13</f>
        <v>90MB1BJ0-C1BAY0 | 15190-00052000</v>
      </c>
      <c r="BE13" s="55" t="str">
        <f ca="1">C13&amp;" | "&amp;OFFSET($AF13,0,8-COUNTBLANK($AG13:$AN13))</f>
        <v>90MB1BJ0-C1BAY0 | 90MB1BJ0-C1BAY0</v>
      </c>
      <c r="BF13" s="57">
        <f ca="1">IFERROR(VLOOKUP($BE13,$BD$5:$BF12,3,0)*$AE13,VLOOKUP($C13,Demanda!$A:$B,2,0)*$AE13)*IF(AT13="Phantom Alt",$BC13,TRUE)</f>
        <v>1000</v>
      </c>
      <c r="BG13" s="57">
        <f ca="1">BF13*(AP13/100)</f>
        <v>1000</v>
      </c>
      <c r="BH13" s="57">
        <f>SUMIF(Invoice!A:A,F13,Invoice!B:B)</f>
        <v>1100</v>
      </c>
      <c r="BI13" s="57">
        <f ca="1">SUMIF(AS:AS,AS13,BG:BG)</f>
        <v>1000</v>
      </c>
      <c r="BJ13" s="57">
        <f ca="1">MIN((BI13-SUMIF($AS$5:AS12,AS13,$BJ$5:BJ12)),MAX(0,BH13-SUMIF($F$5:F12,F13,$BJ$5:BJ12)))</f>
        <v>1000</v>
      </c>
      <c r="BK13" s="57">
        <f ca="1">(-SUMIF(AS:AS,AS13,BG:BG)+SUMIF(AS:AS,AS13,BJ:BJ))*(AP13=100)*AR13</f>
        <v>0</v>
      </c>
      <c r="BL13" s="57">
        <f ca="1">MAX(0,SUMIF(Invoice!A:A,F13,Invoice!B:B)-SUMIF(F:F,F13,BJ:BJ))*(COUNTIF(F:F,F13)=COUNTIF($F$5:F13,F13))</f>
        <v>100</v>
      </c>
    </row>
    <row r="14" spans="1:64" hidden="1">
      <c r="A14" s="43">
        <v>14</v>
      </c>
      <c r="B14" s="35" t="s">
        <v>147</v>
      </c>
      <c r="C14" s="35" t="s">
        <v>146</v>
      </c>
      <c r="D14" s="35">
        <v>1</v>
      </c>
      <c r="E14" s="35">
        <v>90</v>
      </c>
      <c r="F14" s="64" t="s">
        <v>166</v>
      </c>
      <c r="G14" s="73" t="s">
        <v>167</v>
      </c>
      <c r="H14" s="35"/>
      <c r="I14" s="35" t="s">
        <v>54</v>
      </c>
      <c r="J14" s="35">
        <v>0</v>
      </c>
      <c r="K14" s="35" t="s">
        <v>150</v>
      </c>
      <c r="L14" s="35" t="s">
        <v>53</v>
      </c>
      <c r="M14" s="35">
        <v>1</v>
      </c>
      <c r="N14" s="35">
        <v>1</v>
      </c>
      <c r="O14" s="35">
        <v>1</v>
      </c>
      <c r="P14" s="35"/>
      <c r="Q14" s="35"/>
      <c r="R14" s="35" t="s">
        <v>73</v>
      </c>
      <c r="S14" s="35" t="s">
        <v>73</v>
      </c>
      <c r="T14" s="36">
        <v>36892</v>
      </c>
      <c r="U14" s="36">
        <v>2958465</v>
      </c>
      <c r="V14" s="35" t="s">
        <v>151</v>
      </c>
      <c r="W14" s="35" t="s">
        <v>145</v>
      </c>
      <c r="X14" s="35"/>
      <c r="Y14" s="35" t="s">
        <v>143</v>
      </c>
      <c r="Z14" s="35">
        <v>7589153</v>
      </c>
      <c r="AA14" s="35">
        <v>18</v>
      </c>
      <c r="AB14" s="35">
        <v>9</v>
      </c>
      <c r="AC14" s="35"/>
      <c r="AE14" s="51">
        <f>M14/O14</f>
        <v>1</v>
      </c>
      <c r="AG14" s="6" t="str">
        <f>C14</f>
        <v>90MB1BJ0-C1BAY0</v>
      </c>
      <c r="AH14" s="6" t="str">
        <f>IF($D14&lt;=AH$4,"",IF(AND($D13=AH$4,$D14&gt;AH$4),$F13,AH13))</f>
        <v/>
      </c>
      <c r="AI14" s="6" t="str">
        <f>IF($D14&lt;=AI$4,"",IF(AND($D13=AI$4,$D14&gt;AI$4),$F13,AI13))</f>
        <v/>
      </c>
      <c r="AJ14" s="6" t="str">
        <f>IF($D14&lt;=AJ$4,"",IF(AND($D13=AJ$4,$D14&gt;AJ$4),$F13,AJ13))</f>
        <v/>
      </c>
      <c r="AK14" s="6" t="str">
        <f>IF($D14&lt;=AK$4,"",IF(AND($D13=AK$4,$D14&gt;AK$4),$F13,AK13))</f>
        <v/>
      </c>
      <c r="AL14" s="6" t="str">
        <f>IF($D14&lt;=AL$4,"",IF(AND($D13=AL$4,$D14&gt;AL$4),$F13,AL13))</f>
        <v/>
      </c>
      <c r="AM14" s="6" t="str">
        <f>IF($D14&lt;=AM$4,"",IF(AND($D13=AM$4,$D14&gt;AM$4),$F13,AM13))</f>
        <v/>
      </c>
      <c r="AN14" s="6" t="str">
        <f>IF($D14&lt;=AN$4,"",IF(AND($D13=AN$4,$D14&gt;AN$4),$F13,AN13))</f>
        <v/>
      </c>
      <c r="AO14" s="6" t="str">
        <f>CONCATENATE(AG14," | ",AH14," | ",AI14," | ",AJ14," | ",AK14," | ",AL14," | ",AM14," | ",AN14)</f>
        <v xml:space="preserve">90MB1BJ0-C1BAY0 |  |  |  |  |  |  | </v>
      </c>
      <c r="AP14" s="6">
        <f>IF(TRIM(H14)="",100,J14)</f>
        <v>100</v>
      </c>
      <c r="AQ14" s="4"/>
      <c r="AR14" s="6" t="b">
        <f>NOT(TRIM(W14)&lt;&gt;"F")</f>
        <v>1</v>
      </c>
      <c r="AS14" s="6" t="str">
        <f>$B14&amp;" | "&amp;$AO14&amp;" | "&amp;IF(TRIM(H14)="","uniq"&amp;ROW(),TRIM(H14))</f>
        <v>461E | 90MB1BJ0-C1BAY0 |  |  |  |  |  |  |  | uniq14</v>
      </c>
      <c r="AT14" s="63">
        <f>IF(NOT(AR14),IF(TRIM($H14)="","Assembly","Phantom Alt"),VLOOKUP(F14,ZPCS04!B:G,6,0))</f>
        <v>202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1.9999999900000001</v>
      </c>
      <c r="AX14" s="7"/>
      <c r="AY14" s="6" t="b">
        <f>SUMIF(AS:AS,AS14,AP:AP)=100</f>
        <v>1</v>
      </c>
      <c r="AZ14" s="6" t="b">
        <f>SUMIF(AS:AS,AS14,AE:AE)/COUNTIF(AS:AS,AS14)=AE14</f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>C14&amp;" | "&amp;F14</f>
        <v>90MB1BJ0-C1BAY0 | 15060-20XB0000</v>
      </c>
      <c r="BE14" s="55" t="str">
        <f ca="1">C14&amp;" | "&amp;OFFSET($AF14,0,8-COUNTBLANK($AG14:$AN14))</f>
        <v>90MB1BJ0-C1BAY0 | 90MB1BJ0-C1BAY0</v>
      </c>
      <c r="BF14" s="57">
        <f ca="1">IFERROR(VLOOKUP($BE14,$BD$5:$BF13,3,0)*$AE14,VLOOKUP($C14,Demanda!$A:$B,2,0)*$AE14)*IF(AT14="Phantom Alt",$BC14,TRUE)</f>
        <v>1000</v>
      </c>
      <c r="BG14" s="57">
        <f ca="1">BF14*(AP14/100)</f>
        <v>1000</v>
      </c>
      <c r="BH14" s="57">
        <f>SUMIF(Invoice!A:A,F14,Invoice!B:B)</f>
        <v>1000</v>
      </c>
      <c r="BI14" s="57">
        <f ca="1">SUMIF(AS:AS,AS14,BG:BG)</f>
        <v>1000</v>
      </c>
      <c r="BJ14" s="57">
        <f ca="1">MIN((BI14-SUMIF($AS$5:AS13,AS14,$BJ$5:BJ13)),MAX(0,BH14-SUMIF($F$5:F13,F14,$BJ$5:BJ13)))</f>
        <v>1000</v>
      </c>
      <c r="BK14" s="57">
        <f ca="1">(-SUMIF(AS:AS,AS14,BG:BG)+SUMIF(AS:AS,AS14,BJ:BJ))*(AP14=100)*AR14</f>
        <v>0</v>
      </c>
      <c r="BL14" s="57">
        <f ca="1">MAX(0,SUMIF(Invoice!A:A,F14,Invoice!B:B)-SUMIF(F:F,F14,BJ:BJ))*(COUNTIF(F:F,F14)=COUNTIF($F$5:F14,F14))</f>
        <v>0</v>
      </c>
    </row>
    <row r="15" spans="1:64" hidden="1">
      <c r="A15" s="43">
        <v>16</v>
      </c>
      <c r="B15" s="35" t="s">
        <v>147</v>
      </c>
      <c r="C15" s="35" t="s">
        <v>146</v>
      </c>
      <c r="D15" s="35">
        <v>1</v>
      </c>
      <c r="E15" s="35">
        <v>100</v>
      </c>
      <c r="F15" s="64" t="s">
        <v>171</v>
      </c>
      <c r="G15" s="73" t="s">
        <v>172</v>
      </c>
      <c r="H15" s="35" t="s">
        <v>170</v>
      </c>
      <c r="I15" s="35" t="s">
        <v>54</v>
      </c>
      <c r="J15" s="35">
        <v>100</v>
      </c>
      <c r="K15" s="35" t="s">
        <v>150</v>
      </c>
      <c r="L15" s="35" t="s">
        <v>53</v>
      </c>
      <c r="M15" s="35">
        <v>1</v>
      </c>
      <c r="N15" s="35">
        <v>1</v>
      </c>
      <c r="O15" s="35">
        <v>1</v>
      </c>
      <c r="P15" s="35">
        <v>2</v>
      </c>
      <c r="Q15" s="35">
        <v>1</v>
      </c>
      <c r="R15" s="35" t="s">
        <v>73</v>
      </c>
      <c r="S15" s="35" t="s">
        <v>73</v>
      </c>
      <c r="T15" s="36">
        <v>36892</v>
      </c>
      <c r="U15" s="36">
        <v>2958465</v>
      </c>
      <c r="V15" s="35" t="s">
        <v>151</v>
      </c>
      <c r="W15" s="35" t="s">
        <v>145</v>
      </c>
      <c r="X15" s="35"/>
      <c r="Y15" s="35" t="s">
        <v>143</v>
      </c>
      <c r="Z15" s="35">
        <v>7589153</v>
      </c>
      <c r="AA15" s="35">
        <v>20</v>
      </c>
      <c r="AB15" s="35">
        <v>10</v>
      </c>
      <c r="AC15" s="35"/>
      <c r="AE15" s="51">
        <f>M15/O15</f>
        <v>1</v>
      </c>
      <c r="AG15" s="6" t="str">
        <f>C15</f>
        <v>90MB1BJ0-C1BAY0</v>
      </c>
      <c r="AH15" s="6" t="str">
        <f>IF($D15&lt;=AH$4,"",IF(AND($D14=AH$4,$D15&gt;AH$4),$F14,AH14))</f>
        <v/>
      </c>
      <c r="AI15" s="6" t="str">
        <f>IF($D15&lt;=AI$4,"",IF(AND($D14=AI$4,$D15&gt;AI$4),$F14,AI14))</f>
        <v/>
      </c>
      <c r="AJ15" s="6" t="str">
        <f>IF($D15&lt;=AJ$4,"",IF(AND($D14=AJ$4,$D15&gt;AJ$4),$F14,AJ14))</f>
        <v/>
      </c>
      <c r="AK15" s="6" t="str">
        <f>IF($D15&lt;=AK$4,"",IF(AND($D14=AK$4,$D15&gt;AK$4),$F14,AK14))</f>
        <v/>
      </c>
      <c r="AL15" s="6" t="str">
        <f>IF($D15&lt;=AL$4,"",IF(AND($D14=AL$4,$D15&gt;AL$4),$F14,AL14))</f>
        <v/>
      </c>
      <c r="AM15" s="6" t="str">
        <f>IF($D15&lt;=AM$4,"",IF(AND($D14=AM$4,$D15&gt;AM$4),$F14,AM14))</f>
        <v/>
      </c>
      <c r="AN15" s="6" t="str">
        <f>IF($D15&lt;=AN$4,"",IF(AND($D14=AN$4,$D15&gt;AN$4),$F14,AN14))</f>
        <v/>
      </c>
      <c r="AO15" s="6" t="str">
        <f>CONCATENATE(AG15," | ",AH15," | ",AI15," | ",AJ15," | ",AK15," | ",AL15," | ",AM15," | ",AN15)</f>
        <v xml:space="preserve">90MB1BJ0-C1BAY0 |  |  |  |  |  |  | </v>
      </c>
      <c r="AP15" s="6">
        <f>IF(TRIM(H15)="",100,J15)</f>
        <v>100</v>
      </c>
      <c r="AQ15" s="4"/>
      <c r="AR15" s="6" t="b">
        <f>NOT(TRIM(W15)&lt;&gt;"F")</f>
        <v>1</v>
      </c>
      <c r="AS15" s="6" t="str">
        <f>$B15&amp;" | "&amp;$AO15&amp;" | "&amp;IF(TRIM(H15)="","uniq"&amp;ROW(),TRIM(H15))</f>
        <v>461E | 90MB1BJ0-C1BAY0 |  |  |  |  |  |  |  | A0</v>
      </c>
      <c r="AT15" s="63">
        <f>IF(NOT(AR15),IF(TRIM($H15)="","Assembly","Phantom Alt"),VLOOKUP(F15,ZPCS04!B:G,6,0))</f>
        <v>1114</v>
      </c>
      <c r="AU15" s="7"/>
      <c r="AV15" s="38">
        <f ca="1">IF(TRIM($W15)="F",OFFSET($A$5,MATCH($AS15,$AS$5:$AS15,0)-1,0),$A15)</f>
        <v>16</v>
      </c>
      <c r="AW15" s="38">
        <f ca="1">IFERROR(OFFSET(ZPCS04!$A$1,MATCH(F15,ZPCS04!B:B,0)-1,0),100)</f>
        <v>1.9999999879999999</v>
      </c>
      <c r="AX15" s="7"/>
      <c r="AY15" s="6" t="b">
        <f>SUMIF(AS:AS,AS15,AP:AP)=100</f>
        <v>1</v>
      </c>
      <c r="AZ15" s="6" t="b">
        <f>SUMIF(AS:AS,AS15,AE:AE)/COUNTIF(AS:AS,AS15)=AE15</f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>C15&amp;" | "&amp;F15</f>
        <v>90MB1BJ0-C1BAY0 | 14013-00025000</v>
      </c>
      <c r="BE15" s="55" t="str">
        <f ca="1">C15&amp;" | "&amp;OFFSET($AF15,0,8-COUNTBLANK($AG15:$AN15))</f>
        <v>90MB1BJ0-C1BAY0 | 90MB1BJ0-C1BAY0</v>
      </c>
      <c r="BF15" s="57">
        <f ca="1">IFERROR(VLOOKUP($BE15,$BD$5:$BF14,3,0)*$AE15,VLOOKUP($C15,Demanda!$A:$B,2,0)*$AE15)*IF(AT15="Phantom Alt",$BC15,TRUE)</f>
        <v>1000</v>
      </c>
      <c r="BG15" s="57">
        <f ca="1">BF15*(AP15/100)</f>
        <v>1000</v>
      </c>
      <c r="BH15" s="57">
        <f>SUMIF(Invoice!A:A,F15,Invoice!B:B)</f>
        <v>1200</v>
      </c>
      <c r="BI15" s="57">
        <f ca="1">SUMIF(AS:AS,AS15,BG:BG)</f>
        <v>1000</v>
      </c>
      <c r="BJ15" s="57">
        <f ca="1">MIN((BI15-SUMIF($AS$5:AS14,AS15,$BJ$5:BJ14)),MAX(0,BH15-SUMIF($F$5:F14,F15,$BJ$5:BJ14)))</f>
        <v>1000</v>
      </c>
      <c r="BK15" s="57">
        <f ca="1">(-SUMIF(AS:AS,AS15,BG:BG)+SUMIF(AS:AS,AS15,BJ:BJ))*(AP15=100)*AR15</f>
        <v>0</v>
      </c>
      <c r="BL15" s="57">
        <f ca="1">MAX(0,SUMIF(Invoice!A:A,F15,Invoice!B:B)-SUMIF(F:F,F15,BJ:BJ))*(COUNTIF(F:F,F15)=COUNTIF($F$5:F15,F15))</f>
        <v>200</v>
      </c>
    </row>
    <row r="16" spans="1:64" hidden="1">
      <c r="A16" s="43">
        <v>15</v>
      </c>
      <c r="B16" s="35" t="s">
        <v>147</v>
      </c>
      <c r="C16" s="35" t="s">
        <v>146</v>
      </c>
      <c r="D16" s="35">
        <v>1</v>
      </c>
      <c r="E16" s="35">
        <v>100</v>
      </c>
      <c r="F16" s="64" t="s">
        <v>168</v>
      </c>
      <c r="G16" s="73" t="s">
        <v>169</v>
      </c>
      <c r="H16" s="35" t="s">
        <v>170</v>
      </c>
      <c r="I16" s="35" t="s">
        <v>55</v>
      </c>
      <c r="J16" s="35">
        <v>0</v>
      </c>
      <c r="K16" s="35" t="s">
        <v>150</v>
      </c>
      <c r="L16" s="35" t="s">
        <v>53</v>
      </c>
      <c r="M16" s="35">
        <v>1</v>
      </c>
      <c r="N16" s="35"/>
      <c r="O16" s="35">
        <v>1</v>
      </c>
      <c r="P16" s="35">
        <v>2</v>
      </c>
      <c r="Q16" s="35">
        <v>2</v>
      </c>
      <c r="R16" s="35" t="s">
        <v>73</v>
      </c>
      <c r="S16" s="35" t="s">
        <v>73</v>
      </c>
      <c r="T16" s="36">
        <v>36892</v>
      </c>
      <c r="U16" s="36">
        <v>2958465</v>
      </c>
      <c r="V16" s="35" t="s">
        <v>151</v>
      </c>
      <c r="W16" s="35" t="s">
        <v>145</v>
      </c>
      <c r="X16" s="35"/>
      <c r="Y16" s="35" t="s">
        <v>143</v>
      </c>
      <c r="Z16" s="35">
        <v>7589153</v>
      </c>
      <c r="AA16" s="35">
        <v>22</v>
      </c>
      <c r="AB16" s="35">
        <v>11</v>
      </c>
      <c r="AC16" s="35"/>
      <c r="AE16" s="51">
        <f>M16/O16</f>
        <v>1</v>
      </c>
      <c r="AG16" s="6" t="str">
        <f>C16</f>
        <v>90MB1BJ0-C1BAY0</v>
      </c>
      <c r="AH16" s="6" t="str">
        <f>IF($D16&lt;=AH$4,"",IF(AND($D15=AH$4,$D16&gt;AH$4),$F15,AH15))</f>
        <v/>
      </c>
      <c r="AI16" s="6" t="str">
        <f>IF($D16&lt;=AI$4,"",IF(AND($D15=AI$4,$D16&gt;AI$4),$F15,AI15))</f>
        <v/>
      </c>
      <c r="AJ16" s="6" t="str">
        <f>IF($D16&lt;=AJ$4,"",IF(AND($D15=AJ$4,$D16&gt;AJ$4),$F15,AJ15))</f>
        <v/>
      </c>
      <c r="AK16" s="6" t="str">
        <f>IF($D16&lt;=AK$4,"",IF(AND($D15=AK$4,$D16&gt;AK$4),$F15,AK15))</f>
        <v/>
      </c>
      <c r="AL16" s="6" t="str">
        <f>IF($D16&lt;=AL$4,"",IF(AND($D15=AL$4,$D16&gt;AL$4),$F15,AL15))</f>
        <v/>
      </c>
      <c r="AM16" s="6" t="str">
        <f>IF($D16&lt;=AM$4,"",IF(AND($D15=AM$4,$D16&gt;AM$4),$F15,AM15))</f>
        <v/>
      </c>
      <c r="AN16" s="6" t="str">
        <f>IF($D16&lt;=AN$4,"",IF(AND($D15=AN$4,$D16&gt;AN$4),$F15,AN15))</f>
        <v/>
      </c>
      <c r="AO16" s="6" t="str">
        <f>CONCATENATE(AG16," | ",AH16," | ",AI16," | ",AJ16," | ",AK16," | ",AL16," | ",AM16," | ",AN16)</f>
        <v xml:space="preserve">90MB1BJ0-C1BAY0 |  |  |  |  |  |  | </v>
      </c>
      <c r="AP16" s="6">
        <f>IF(TRIM(H16)="",100,J16)</f>
        <v>0</v>
      </c>
      <c r="AQ16" s="4"/>
      <c r="AR16" s="6" t="b">
        <f>NOT(TRIM(W16)&lt;&gt;"F")</f>
        <v>1</v>
      </c>
      <c r="AS16" s="6" t="str">
        <f>$B16&amp;" | "&amp;$AO16&amp;" | "&amp;IF(TRIM(H16)="","uniq"&amp;ROW(),TRIM(H16))</f>
        <v>461E | 90MB1BJ0-C1BAY0 |  |  |  |  |  |  |  | A0</v>
      </c>
      <c r="AT16" s="63">
        <f>IF(NOT(AR16),IF(TRIM($H16)="","Assembly","Phantom Alt"),VLOOKUP(F16,ZPCS04!B:G,6,0))</f>
        <v>1114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2</v>
      </c>
      <c r="AX16" s="7"/>
      <c r="AY16" s="6" t="b">
        <f>SUMIF(AS:AS,AS16,AP:AP)=100</f>
        <v>1</v>
      </c>
      <c r="AZ16" s="6" t="b">
        <f>SUMIF(AS:AS,AS16,AE:AE)/COUNTIF(AS:AS,AS16)=AE16</f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>C16&amp;" | "&amp;F16</f>
        <v>90MB1BJ0-C1BAY0 | 14013-00024100</v>
      </c>
      <c r="BE16" s="55" t="str">
        <f ca="1">C16&amp;" | "&amp;OFFSET($AF16,0,8-COUNTBLANK($AG16:$AN16))</f>
        <v>90MB1BJ0-C1BAY0 | 90MB1BJ0-C1BAY0</v>
      </c>
      <c r="BF16" s="57">
        <f ca="1">IFERROR(VLOOKUP($BE16,$BD$5:$BF15,3,0)*$AE16,VLOOKUP($C16,Demanda!$A:$B,2,0)*$AE16)*IF(AT16="Phantom Alt",$BC16,TRUE)</f>
        <v>1000</v>
      </c>
      <c r="BG16" s="57">
        <f ca="1">BF16*(AP16/100)</f>
        <v>0</v>
      </c>
      <c r="BH16" s="57">
        <f>SUMIF(Invoice!A:A,F16,Invoice!B:B)</f>
        <v>0</v>
      </c>
      <c r="BI16" s="57">
        <f ca="1">SUMIF(AS:AS,AS16,BG:BG)</f>
        <v>1000</v>
      </c>
      <c r="BJ16" s="57">
        <f ca="1">MIN((BI16-SUMIF($AS$5:AS15,AS16,$BJ$5:BJ15)),MAX(0,BH16-SUMIF($F$5:F15,F16,$BJ$5:BJ15)))</f>
        <v>0</v>
      </c>
      <c r="BK16" s="57">
        <f ca="1">(-SUMIF(AS:AS,AS16,BG:BG)+SUMIF(AS:AS,AS16,BJ:BJ))*(AP16=100)*AR16</f>
        <v>0</v>
      </c>
      <c r="BL16" s="57">
        <f ca="1">MAX(0,SUMIF(Invoice!A:A,F16,Invoice!B:B)-SUMIF(F:F,F16,BJ:BJ))*(COUNTIF(F:F,F16)=COUNTIF($F$5:F16,F16))</f>
        <v>0</v>
      </c>
    </row>
    <row r="17" spans="1:64" hidden="1">
      <c r="A17" s="43">
        <v>18</v>
      </c>
      <c r="B17" s="35" t="s">
        <v>147</v>
      </c>
      <c r="C17" s="35" t="s">
        <v>146</v>
      </c>
      <c r="D17" s="35">
        <v>1</v>
      </c>
      <c r="E17" s="35">
        <v>110</v>
      </c>
      <c r="F17" s="64" t="s">
        <v>176</v>
      </c>
      <c r="G17" s="73" t="s">
        <v>177</v>
      </c>
      <c r="H17" s="35" t="s">
        <v>175</v>
      </c>
      <c r="I17" s="35" t="s">
        <v>54</v>
      </c>
      <c r="J17" s="35">
        <v>100</v>
      </c>
      <c r="K17" s="35" t="s">
        <v>150</v>
      </c>
      <c r="L17" s="35" t="s">
        <v>53</v>
      </c>
      <c r="M17" s="35">
        <v>1</v>
      </c>
      <c r="N17" s="35">
        <v>1</v>
      </c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36892</v>
      </c>
      <c r="U17" s="36">
        <v>2958465</v>
      </c>
      <c r="V17" s="35" t="s">
        <v>151</v>
      </c>
      <c r="W17" s="35" t="s">
        <v>145</v>
      </c>
      <c r="X17" s="35"/>
      <c r="Y17" s="35" t="s">
        <v>143</v>
      </c>
      <c r="Z17" s="35">
        <v>7589153</v>
      </c>
      <c r="AA17" s="35">
        <v>24</v>
      </c>
      <c r="AB17" s="35">
        <v>12</v>
      </c>
      <c r="AC17" s="35"/>
      <c r="AE17" s="51">
        <f>M17/O17</f>
        <v>1</v>
      </c>
      <c r="AG17" s="6" t="str">
        <f>C17</f>
        <v>90MB1BJ0-C1BAY0</v>
      </c>
      <c r="AH17" s="6" t="str">
        <f>IF($D17&lt;=AH$4,"",IF(AND($D16=AH$4,$D17&gt;AH$4),$F16,AH16))</f>
        <v/>
      </c>
      <c r="AI17" s="6" t="str">
        <f>IF($D17&lt;=AI$4,"",IF(AND($D16=AI$4,$D17&gt;AI$4),$F16,AI16))</f>
        <v/>
      </c>
      <c r="AJ17" s="6" t="str">
        <f>IF($D17&lt;=AJ$4,"",IF(AND($D16=AJ$4,$D17&gt;AJ$4),$F16,AJ16))</f>
        <v/>
      </c>
      <c r="AK17" s="6" t="str">
        <f>IF($D17&lt;=AK$4,"",IF(AND($D16=AK$4,$D17&gt;AK$4),$F16,AK16))</f>
        <v/>
      </c>
      <c r="AL17" s="6" t="str">
        <f>IF($D17&lt;=AL$4,"",IF(AND($D16=AL$4,$D17&gt;AL$4),$F16,AL16))</f>
        <v/>
      </c>
      <c r="AM17" s="6" t="str">
        <f>IF($D17&lt;=AM$4,"",IF(AND($D16=AM$4,$D17&gt;AM$4),$F16,AM16))</f>
        <v/>
      </c>
      <c r="AN17" s="6" t="str">
        <f>IF($D17&lt;=AN$4,"",IF(AND($D16=AN$4,$D17&gt;AN$4),$F16,AN16))</f>
        <v/>
      </c>
      <c r="AO17" s="6" t="str">
        <f>CONCATENATE(AG17," | ",AH17," | ",AI17," | ",AJ17," | ",AK17," | ",AL17," | ",AM17," | ",AN17)</f>
        <v xml:space="preserve">90MB1BJ0-C1BAY0 |  |  |  |  |  |  | </v>
      </c>
      <c r="AP17" s="6">
        <f>IF(TRIM(H17)="",100,J17)</f>
        <v>100</v>
      </c>
      <c r="AQ17" s="4"/>
      <c r="AR17" s="6" t="b">
        <f>NOT(TRIM(W17)&lt;&gt;"F")</f>
        <v>1</v>
      </c>
      <c r="AS17" s="6" t="str">
        <f>$B17&amp;" | "&amp;$AO17&amp;" | "&amp;IF(TRIM(H17)="","uniq"&amp;ROW(),TRIM(H17))</f>
        <v>461E | 90MB1BJ0-C1BAY0 |  |  |  |  |  |  |  | A1</v>
      </c>
      <c r="AT17" s="63">
        <f>IF(NOT(AR17),IF(TRIM($H17)="","Assembly","Phantom Alt"),VLOOKUP(F17,ZPCS04!B:G,6,0))</f>
        <v>321</v>
      </c>
      <c r="AU17" s="7"/>
      <c r="AV17" s="38">
        <f ca="1">IF(TRIM($W17)="F",OFFSET($A$5,MATCH($AS17,$AS$5:$AS17,0)-1,0),$A17)</f>
        <v>18</v>
      </c>
      <c r="AW17" s="38">
        <f ca="1">IFERROR(OFFSET(ZPCS04!$A$1,MATCH(F17,ZPCS04!B:B,0)-1,0),100)</f>
        <v>1.9999999900000001</v>
      </c>
      <c r="AX17" s="7"/>
      <c r="AY17" s="6" t="b">
        <f>SUMIF(AS:AS,AS17,AP:AP)=100</f>
        <v>1</v>
      </c>
      <c r="AZ17" s="6" t="b">
        <f>SUMIF(AS:AS,AS17,AE:AE)/COUNTIF(AS:AS,AS17)=AE17</f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>C17&amp;" | "&amp;F17</f>
        <v>90MB1BJ0-C1BAY0 | 13090-00141300</v>
      </c>
      <c r="BE17" s="55" t="str">
        <f ca="1">C17&amp;" | "&amp;OFFSET($AF17,0,8-COUNTBLANK($AG17:$AN17))</f>
        <v>90MB1BJ0-C1BAY0 | 90MB1BJ0-C1BAY0</v>
      </c>
      <c r="BF17" s="57">
        <f ca="1">IFERROR(VLOOKUP($BE17,$BD$5:$BF16,3,0)*$AE17,VLOOKUP($C17,Demanda!$A:$B,2,0)*$AE17)*IF(AT17="Phantom Alt",$BC17,TRUE)</f>
        <v>1000</v>
      </c>
      <c r="BG17" s="57">
        <f ca="1">BF17*(AP17/100)</f>
        <v>1000</v>
      </c>
      <c r="BH17" s="57">
        <f>SUMIF(Invoice!A:A,F17,Invoice!B:B)</f>
        <v>1000</v>
      </c>
      <c r="BI17" s="57">
        <f ca="1">SUMIF(AS:AS,AS17,BG:BG)</f>
        <v>1000</v>
      </c>
      <c r="BJ17" s="57">
        <f ca="1">MIN((BI17-SUMIF($AS$5:AS16,AS17,$BJ$5:BJ16)),MAX(0,BH17-SUMIF($F$5:F16,F17,$BJ$5:BJ16)))</f>
        <v>1000</v>
      </c>
      <c r="BK17" s="57">
        <f ca="1">(-SUMIF(AS:AS,AS17,BG:BG)+SUMIF(AS:AS,AS17,BJ:BJ))*(AP17=100)*AR17</f>
        <v>0</v>
      </c>
      <c r="BL17" s="57">
        <f ca="1">MAX(0,SUMIF(Invoice!A:A,F17,Invoice!B:B)-SUMIF(F:F,F17,BJ:BJ))*(COUNTIF(F:F,F17)=COUNTIF($F$5:F17,F17))</f>
        <v>0</v>
      </c>
    </row>
    <row r="18" spans="1:64" hidden="1">
      <c r="A18" s="43">
        <v>17</v>
      </c>
      <c r="B18" s="35" t="s">
        <v>147</v>
      </c>
      <c r="C18" s="35" t="s">
        <v>146</v>
      </c>
      <c r="D18" s="35">
        <v>1</v>
      </c>
      <c r="E18" s="35">
        <v>110</v>
      </c>
      <c r="F18" s="64" t="s">
        <v>173</v>
      </c>
      <c r="G18" s="73" t="s">
        <v>174</v>
      </c>
      <c r="H18" s="35" t="s">
        <v>175</v>
      </c>
      <c r="I18" s="35" t="s">
        <v>55</v>
      </c>
      <c r="J18" s="35">
        <v>0</v>
      </c>
      <c r="K18" s="35" t="s">
        <v>150</v>
      </c>
      <c r="L18" s="35" t="s">
        <v>53</v>
      </c>
      <c r="M18" s="35">
        <v>1</v>
      </c>
      <c r="N18" s="35"/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36892</v>
      </c>
      <c r="U18" s="36">
        <v>2958465</v>
      </c>
      <c r="V18" s="35" t="s">
        <v>151</v>
      </c>
      <c r="W18" s="35" t="s">
        <v>145</v>
      </c>
      <c r="X18" s="35"/>
      <c r="Y18" s="35" t="s">
        <v>143</v>
      </c>
      <c r="Z18" s="35">
        <v>7589153</v>
      </c>
      <c r="AA18" s="35">
        <v>26</v>
      </c>
      <c r="AB18" s="35">
        <v>13</v>
      </c>
      <c r="AC18" s="35"/>
      <c r="AE18" s="51">
        <f>M18/O18</f>
        <v>1</v>
      </c>
      <c r="AG18" s="6" t="str">
        <f>C18</f>
        <v>90MB1BJ0-C1BAY0</v>
      </c>
      <c r="AH18" s="6" t="str">
        <f>IF($D18&lt;=AH$4,"",IF(AND($D17=AH$4,$D18&gt;AH$4),$F17,AH17))</f>
        <v/>
      </c>
      <c r="AI18" s="6" t="str">
        <f>IF($D18&lt;=AI$4,"",IF(AND($D17=AI$4,$D18&gt;AI$4),$F17,AI17))</f>
        <v/>
      </c>
      <c r="AJ18" s="6" t="str">
        <f>IF($D18&lt;=AJ$4,"",IF(AND($D17=AJ$4,$D18&gt;AJ$4),$F17,AJ17))</f>
        <v/>
      </c>
      <c r="AK18" s="6" t="str">
        <f>IF($D18&lt;=AK$4,"",IF(AND($D17=AK$4,$D18&gt;AK$4),$F17,AK17))</f>
        <v/>
      </c>
      <c r="AL18" s="6" t="str">
        <f>IF($D18&lt;=AL$4,"",IF(AND($D17=AL$4,$D18&gt;AL$4),$F17,AL17))</f>
        <v/>
      </c>
      <c r="AM18" s="6" t="str">
        <f>IF($D18&lt;=AM$4,"",IF(AND($D17=AM$4,$D18&gt;AM$4),$F17,AM17))</f>
        <v/>
      </c>
      <c r="AN18" s="6" t="str">
        <f>IF($D18&lt;=AN$4,"",IF(AND($D17=AN$4,$D18&gt;AN$4),$F17,AN17))</f>
        <v/>
      </c>
      <c r="AO18" s="6" t="str">
        <f>CONCATENATE(AG18," | ",AH18," | ",AI18," | ",AJ18," | ",AK18," | ",AL18," | ",AM18," | ",AN18)</f>
        <v xml:space="preserve">90MB1BJ0-C1BAY0 |  |  |  |  |  |  | </v>
      </c>
      <c r="AP18" s="6">
        <f>IF(TRIM(H18)="",100,J18)</f>
        <v>0</v>
      </c>
      <c r="AQ18" s="4"/>
      <c r="AR18" s="6" t="b">
        <f>NOT(TRIM(W18)&lt;&gt;"F")</f>
        <v>1</v>
      </c>
      <c r="AS18" s="6" t="str">
        <f>$B18&amp;" | "&amp;$AO18&amp;" | "&amp;IF(TRIM(H18)="","uniq"&amp;ROW(),TRIM(H18))</f>
        <v>461E | 90MB1BJ0-C1BAY0 |  |  |  |  |  |  |  | A1</v>
      </c>
      <c r="AT18" s="63">
        <f>IF(NOT(AR18),IF(TRIM($H18)="","Assembly","Phantom Alt"),VLOOKUP(F18,ZPCS04!B:G,6,0))</f>
        <v>321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2</v>
      </c>
      <c r="AX18" s="7"/>
      <c r="AY18" s="6" t="b">
        <f>SUMIF(AS:AS,AS18,AP:AP)=100</f>
        <v>1</v>
      </c>
      <c r="AZ18" s="6" t="b">
        <f>SUMIF(AS:AS,AS18,AE:AE)/COUNTIF(AS:AS,AS18)=AE18</f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>C18&amp;" | "&amp;F18</f>
        <v>90MB1BJ0-C1BAY0 | 13090-00070400</v>
      </c>
      <c r="BE18" s="55" t="str">
        <f ca="1">C18&amp;" | "&amp;OFFSET($AF18,0,8-COUNTBLANK($AG18:$AN18))</f>
        <v>90MB1BJ0-C1BAY0 | 90MB1BJ0-C1BAY0</v>
      </c>
      <c r="BF18" s="57">
        <f ca="1">IFERROR(VLOOKUP($BE18,$BD$5:$BF17,3,0)*$AE18,VLOOKUP($C18,Demanda!$A:$B,2,0)*$AE18)*IF(AT18="Phantom Alt",$BC18,TRUE)</f>
        <v>1000</v>
      </c>
      <c r="BG18" s="57">
        <f ca="1">BF18*(AP18/100)</f>
        <v>0</v>
      </c>
      <c r="BH18" s="57">
        <f>SUMIF(Invoice!A:A,F18,Invoice!B:B)</f>
        <v>0</v>
      </c>
      <c r="BI18" s="57">
        <f ca="1">SUMIF(AS:AS,AS18,BG:BG)</f>
        <v>1000</v>
      </c>
      <c r="BJ18" s="57">
        <f ca="1">MIN((BI18-SUMIF($AS$5:AS17,AS18,$BJ$5:BJ17)),MAX(0,BH18-SUMIF($F$5:F17,F18,$BJ$5:BJ17)))</f>
        <v>0</v>
      </c>
      <c r="BK18" s="57">
        <f ca="1">(-SUMIF(AS:AS,AS18,BG:BG)+SUMIF(AS:AS,AS18,BJ:BJ))*(AP18=100)*AR18</f>
        <v>0</v>
      </c>
      <c r="BL18" s="57">
        <f ca="1">MAX(0,SUMIF(Invoice!A:A,F18,Invoice!B:B)-SUMIF(F:F,F18,BJ:BJ))*(COUNTIF(F:F,F18)=COUNTIF($F$5:F18,F18))</f>
        <v>0</v>
      </c>
    </row>
    <row r="19" spans="1:64" hidden="1">
      <c r="A19" s="43">
        <v>20</v>
      </c>
      <c r="B19" s="35" t="s">
        <v>147</v>
      </c>
      <c r="C19" s="35" t="s">
        <v>146</v>
      </c>
      <c r="D19" s="35">
        <v>1</v>
      </c>
      <c r="E19" s="35">
        <v>120</v>
      </c>
      <c r="F19" s="64" t="s">
        <v>181</v>
      </c>
      <c r="G19" s="73" t="s">
        <v>182</v>
      </c>
      <c r="H19" s="35" t="s">
        <v>180</v>
      </c>
      <c r="I19" s="35" t="s">
        <v>55</v>
      </c>
      <c r="J19" s="35">
        <v>0</v>
      </c>
      <c r="K19" s="35" t="s">
        <v>150</v>
      </c>
      <c r="L19" s="35" t="s">
        <v>53</v>
      </c>
      <c r="M19" s="35">
        <v>1</v>
      </c>
      <c r="N19" s="35"/>
      <c r="O19" s="35">
        <v>1</v>
      </c>
      <c r="P19" s="35">
        <v>2</v>
      </c>
      <c r="Q19" s="35">
        <v>2</v>
      </c>
      <c r="R19" s="35" t="s">
        <v>73</v>
      </c>
      <c r="S19" s="35" t="s">
        <v>73</v>
      </c>
      <c r="T19" s="36">
        <v>36892</v>
      </c>
      <c r="U19" s="36">
        <v>2958465</v>
      </c>
      <c r="V19" s="35" t="s">
        <v>151</v>
      </c>
      <c r="W19" s="35" t="s">
        <v>145</v>
      </c>
      <c r="X19" s="35"/>
      <c r="Y19" s="35" t="s">
        <v>143</v>
      </c>
      <c r="Z19" s="35">
        <v>7589153</v>
      </c>
      <c r="AA19" s="35">
        <v>30</v>
      </c>
      <c r="AB19" s="35">
        <v>15</v>
      </c>
      <c r="AC19" s="35"/>
      <c r="AE19" s="51">
        <f>M19/O19</f>
        <v>1</v>
      </c>
      <c r="AG19" s="6" t="str">
        <f>C19</f>
        <v>90MB1BJ0-C1BAY0</v>
      </c>
      <c r="AH19" s="6" t="str">
        <f>IF($D19&lt;=AH$4,"",IF(AND($D18=AH$4,$D19&gt;AH$4),$F18,AH18))</f>
        <v/>
      </c>
      <c r="AI19" s="6" t="str">
        <f>IF($D19&lt;=AI$4,"",IF(AND($D18=AI$4,$D19&gt;AI$4),$F18,AI18))</f>
        <v/>
      </c>
      <c r="AJ19" s="6" t="str">
        <f>IF($D19&lt;=AJ$4,"",IF(AND($D18=AJ$4,$D19&gt;AJ$4),$F18,AJ18))</f>
        <v/>
      </c>
      <c r="AK19" s="6" t="str">
        <f>IF($D19&lt;=AK$4,"",IF(AND($D18=AK$4,$D19&gt;AK$4),$F18,AK18))</f>
        <v/>
      </c>
      <c r="AL19" s="6" t="str">
        <f>IF($D19&lt;=AL$4,"",IF(AND($D18=AL$4,$D19&gt;AL$4),$F18,AL18))</f>
        <v/>
      </c>
      <c r="AM19" s="6" t="str">
        <f>IF($D19&lt;=AM$4,"",IF(AND($D18=AM$4,$D19&gt;AM$4),$F18,AM18))</f>
        <v/>
      </c>
      <c r="AN19" s="6" t="str">
        <f>IF($D19&lt;=AN$4,"",IF(AND($D18=AN$4,$D19&gt;AN$4),$F18,AN18))</f>
        <v/>
      </c>
      <c r="AO19" s="6" t="str">
        <f>CONCATENATE(AG19," | ",AH19," | ",AI19," | ",AJ19," | ",AK19," | ",AL19," | ",AM19," | ",AN19)</f>
        <v xml:space="preserve">90MB1BJ0-C1BAY0 |  |  |  |  |  |  | </v>
      </c>
      <c r="AP19" s="6">
        <f>IF(TRIM(H19)="",100,J19)</f>
        <v>0</v>
      </c>
      <c r="AQ19" s="4"/>
      <c r="AR19" s="6" t="b">
        <f>NOT(TRIM(W19)&lt;&gt;"F")</f>
        <v>1</v>
      </c>
      <c r="AS19" s="6" t="str">
        <f>$B19&amp;" | "&amp;$AO19&amp;" | "&amp;IF(TRIM(H19)="","uniq"&amp;ROW(),TRIM(H19))</f>
        <v>461E | 90MB1BJ0-C1BAY0 |  |  |  |  |  |  |  | A2</v>
      </c>
      <c r="AT19" s="63">
        <f>IF(NOT(AR19),IF(TRIM($H19)="","Assembly","Phantom Alt"),VLOOKUP(F19,ZPCS04!B:G,6,0))</f>
        <v>1177</v>
      </c>
      <c r="AU19" s="7"/>
      <c r="AV19" s="38">
        <f ca="1">IF(TRIM($W19)="F",OFFSET($A$5,MATCH($AS19,$AS$5:$AS19,0)-1,0),$A19)</f>
        <v>20</v>
      </c>
      <c r="AW19" s="38">
        <f ca="1">IFERROR(OFFSET(ZPCS04!$A$1,MATCH(F19,ZPCS04!B:B,0)-1,0),100)</f>
        <v>1.9999999900000001</v>
      </c>
      <c r="AX19" s="7"/>
      <c r="AY19" s="6" t="b">
        <f>SUMIF(AS:AS,AS19,AP:AP)=100</f>
        <v>1</v>
      </c>
      <c r="AZ19" s="6" t="b">
        <f>SUMIF(AS:AS,AS19,AE:AE)/COUNTIF(AS:AS,AS19)=AE19</f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>C19&amp;" | "&amp;F19</f>
        <v>90MB1BJ0-C1BAY0 | 13090-00070500</v>
      </c>
      <c r="BE19" s="55" t="str">
        <f ca="1">C19&amp;" | "&amp;OFFSET($AF19,0,8-COUNTBLANK($AG19:$AN19))</f>
        <v>90MB1BJ0-C1BAY0 | 90MB1BJ0-C1BAY0</v>
      </c>
      <c r="BF19" s="57">
        <f ca="1">IFERROR(VLOOKUP($BE19,$BD$5:$BF18,3,0)*$AE19,VLOOKUP($C19,Demanda!$A:$B,2,0)*$AE19)*IF(AT19="Phantom Alt",$BC19,TRUE)</f>
        <v>1000</v>
      </c>
      <c r="BG19" s="57">
        <f ca="1">BF19*(AP19/100)</f>
        <v>0</v>
      </c>
      <c r="BH19" s="57">
        <f>SUMIF(Invoice!A:A,F19,Invoice!B:B)</f>
        <v>1000</v>
      </c>
      <c r="BI19" s="57">
        <f ca="1">SUMIF(AS:AS,AS19,BG:BG)</f>
        <v>1000</v>
      </c>
      <c r="BJ19" s="57">
        <f ca="1">MIN((BI19-SUMIF($AS$5:AS18,AS19,$BJ$5:BJ18)),MAX(0,BH19-SUMIF($F$5:F18,F19,$BJ$5:BJ18)))</f>
        <v>1000</v>
      </c>
      <c r="BK19" s="57">
        <f ca="1">(-SUMIF(AS:AS,AS19,BG:BG)+SUMIF(AS:AS,AS19,BJ:BJ))*(AP19=100)*AR19</f>
        <v>0</v>
      </c>
      <c r="BL19" s="57">
        <f ca="1">MAX(0,SUMIF(Invoice!A:A,F19,Invoice!B:B)-SUMIF(F:F,F19,BJ:BJ))*(COUNTIF(F:F,F19)=COUNTIF($F$5:F19,F19))</f>
        <v>0</v>
      </c>
    </row>
    <row r="20" spans="1:64" hidden="1">
      <c r="A20" s="43">
        <v>19</v>
      </c>
      <c r="B20" s="35" t="s">
        <v>147</v>
      </c>
      <c r="C20" s="35" t="s">
        <v>146</v>
      </c>
      <c r="D20" s="35">
        <v>1</v>
      </c>
      <c r="E20" s="35">
        <v>120</v>
      </c>
      <c r="F20" s="64" t="s">
        <v>178</v>
      </c>
      <c r="G20" s="73" t="s">
        <v>179</v>
      </c>
      <c r="H20" s="35" t="s">
        <v>180</v>
      </c>
      <c r="I20" s="35" t="s">
        <v>54</v>
      </c>
      <c r="J20" s="35">
        <v>100</v>
      </c>
      <c r="K20" s="35" t="s">
        <v>150</v>
      </c>
      <c r="L20" s="35" t="s">
        <v>53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73</v>
      </c>
      <c r="S20" s="35" t="s">
        <v>73</v>
      </c>
      <c r="T20" s="36">
        <v>36892</v>
      </c>
      <c r="U20" s="36">
        <v>2958465</v>
      </c>
      <c r="V20" s="35" t="s">
        <v>151</v>
      </c>
      <c r="W20" s="35" t="s">
        <v>145</v>
      </c>
      <c r="X20" s="35"/>
      <c r="Y20" s="35" t="s">
        <v>143</v>
      </c>
      <c r="Z20" s="35">
        <v>7589153</v>
      </c>
      <c r="AA20" s="35">
        <v>28</v>
      </c>
      <c r="AB20" s="35">
        <v>14</v>
      </c>
      <c r="AC20" s="35" t="s">
        <v>144</v>
      </c>
      <c r="AE20" s="51">
        <f>M20/O20</f>
        <v>1</v>
      </c>
      <c r="AG20" s="6" t="str">
        <f>C20</f>
        <v>90MB1BJ0-C1BAY0</v>
      </c>
      <c r="AH20" s="6" t="str">
        <f>IF($D20&lt;=AH$4,"",IF(AND($D19=AH$4,$D20&gt;AH$4),$F19,AH19))</f>
        <v/>
      </c>
      <c r="AI20" s="6" t="str">
        <f>IF($D20&lt;=AI$4,"",IF(AND($D19=AI$4,$D20&gt;AI$4),$F19,AI19))</f>
        <v/>
      </c>
      <c r="AJ20" s="6" t="str">
        <f>IF($D20&lt;=AJ$4,"",IF(AND($D19=AJ$4,$D20&gt;AJ$4),$F19,AJ19))</f>
        <v/>
      </c>
      <c r="AK20" s="6" t="str">
        <f>IF($D20&lt;=AK$4,"",IF(AND($D19=AK$4,$D20&gt;AK$4),$F19,AK19))</f>
        <v/>
      </c>
      <c r="AL20" s="6" t="str">
        <f>IF($D20&lt;=AL$4,"",IF(AND($D19=AL$4,$D20&gt;AL$4),$F19,AL19))</f>
        <v/>
      </c>
      <c r="AM20" s="6" t="str">
        <f>IF($D20&lt;=AM$4,"",IF(AND($D19=AM$4,$D20&gt;AM$4),$F19,AM19))</f>
        <v/>
      </c>
      <c r="AN20" s="6" t="str">
        <f>IF($D20&lt;=AN$4,"",IF(AND($D19=AN$4,$D20&gt;AN$4),$F19,AN19))</f>
        <v/>
      </c>
      <c r="AO20" s="6" t="str">
        <f>CONCATENATE(AG20," | ",AH20," | ",AI20," | ",AJ20," | ",AK20," | ",AL20," | ",AM20," | ",AN20)</f>
        <v xml:space="preserve">90MB1BJ0-C1BAY0 |  |  |  |  |  |  | </v>
      </c>
      <c r="AP20" s="6">
        <f>IF(TRIM(H20)="",100,J20)</f>
        <v>100</v>
      </c>
      <c r="AQ20" s="4"/>
      <c r="AR20" s="6" t="b">
        <f>NOT(TRIM(W20)&lt;&gt;"F")</f>
        <v>1</v>
      </c>
      <c r="AS20" s="6" t="str">
        <f>$B20&amp;" | "&amp;$AO20&amp;" | "&amp;IF(TRIM(H20)="","uniq"&amp;ROW(),TRIM(H20))</f>
        <v>461E | 90MB1BJ0-C1BAY0 |  |  |  |  |  |  |  | A2</v>
      </c>
      <c r="AT20" s="63">
        <f>IF(NOT(AR20),IF(TRIM($H20)="","Assembly","Phantom Alt"),VLOOKUP(F20,ZPCS04!B:G,6,0))</f>
        <v>1177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2</v>
      </c>
      <c r="AX20" s="7"/>
      <c r="AY20" s="6" t="b">
        <f>SUMIF(AS:AS,AS20,AP:AP)=100</f>
        <v>1</v>
      </c>
      <c r="AZ20" s="6" t="b">
        <f>SUMIF(AS:AS,AS20,AE:AE)/COUNTIF(AS:AS,AS20)=AE20</f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>C20&amp;" | "&amp;F20</f>
        <v>90MB1BJ0-C1BAY0 | 13090-00070300</v>
      </c>
      <c r="BE20" s="55" t="str">
        <f ca="1">C20&amp;" | "&amp;OFFSET($AF20,0,8-COUNTBLANK($AG20:$AN20))</f>
        <v>90MB1BJ0-C1BAY0 | 90MB1BJ0-C1BAY0</v>
      </c>
      <c r="BF20" s="57">
        <f ca="1">IFERROR(VLOOKUP($BE20,$BD$5:$BF19,3,0)*$AE20,VLOOKUP($C20,Demanda!$A:$B,2,0)*$AE20)*IF(AT20="Phantom Alt",$BC20,TRUE)</f>
        <v>1000</v>
      </c>
      <c r="BG20" s="57">
        <f ca="1">BF20*(AP20/100)</f>
        <v>1000</v>
      </c>
      <c r="BH20" s="57">
        <f>SUMIF(Invoice!A:A,F20,Invoice!B:B)</f>
        <v>0</v>
      </c>
      <c r="BI20" s="57">
        <f ca="1">SUMIF(AS:AS,AS20,BG:BG)</f>
        <v>1000</v>
      </c>
      <c r="BJ20" s="57">
        <f ca="1">MIN((BI20-SUMIF($AS$5:AS19,AS20,$BJ$5:BJ19)),MAX(0,BH20-SUMIF($F$5:F19,F20,$BJ$5:BJ19)))</f>
        <v>0</v>
      </c>
      <c r="BK20" s="57">
        <f ca="1">(-SUMIF(AS:AS,AS20,BG:BG)+SUMIF(AS:AS,AS20,BJ:BJ))*(AP20=100)*AR20</f>
        <v>0</v>
      </c>
      <c r="BL20" s="57">
        <f ca="1">MAX(0,SUMIF(Invoice!A:A,F20,Invoice!B:B)-SUMIF(F:F,F20,BJ:BJ))*(COUNTIF(F:F,F20)=COUNTIF($F$5:F20,F20))</f>
        <v>0</v>
      </c>
    </row>
    <row r="21" spans="1:64" hidden="1">
      <c r="A21" s="43">
        <v>21</v>
      </c>
      <c r="B21" s="35" t="s">
        <v>147</v>
      </c>
      <c r="C21" s="35" t="s">
        <v>146</v>
      </c>
      <c r="D21" s="35">
        <v>1</v>
      </c>
      <c r="E21" s="35">
        <v>130</v>
      </c>
      <c r="F21" s="64" t="s">
        <v>183</v>
      </c>
      <c r="G21" s="73" t="s">
        <v>184</v>
      </c>
      <c r="H21" s="35" t="s">
        <v>185</v>
      </c>
      <c r="I21" s="35" t="s">
        <v>54</v>
      </c>
      <c r="J21" s="35">
        <v>100</v>
      </c>
      <c r="K21" s="35" t="s">
        <v>150</v>
      </c>
      <c r="L21" s="35" t="s">
        <v>53</v>
      </c>
      <c r="M21" s="35">
        <v>1</v>
      </c>
      <c r="N21" s="35">
        <v>1</v>
      </c>
      <c r="O21" s="35">
        <v>1</v>
      </c>
      <c r="P21" s="35">
        <v>2</v>
      </c>
      <c r="Q21" s="35">
        <v>1</v>
      </c>
      <c r="R21" s="35" t="s">
        <v>73</v>
      </c>
      <c r="S21" s="35" t="s">
        <v>73</v>
      </c>
      <c r="T21" s="36">
        <v>36892</v>
      </c>
      <c r="U21" s="36">
        <v>2958465</v>
      </c>
      <c r="V21" s="35" t="s">
        <v>151</v>
      </c>
      <c r="W21" s="35" t="s">
        <v>145</v>
      </c>
      <c r="X21" s="35"/>
      <c r="Y21" s="35" t="s">
        <v>143</v>
      </c>
      <c r="Z21" s="35">
        <v>7589153</v>
      </c>
      <c r="AA21" s="35">
        <v>32</v>
      </c>
      <c r="AB21" s="35">
        <v>16</v>
      </c>
      <c r="AC21" s="35"/>
      <c r="AE21" s="51">
        <f>M21/O21</f>
        <v>1</v>
      </c>
      <c r="AG21" s="6" t="str">
        <f>C21</f>
        <v>90MB1BJ0-C1BAY0</v>
      </c>
      <c r="AH21" s="6" t="str">
        <f>IF($D21&lt;=AH$4,"",IF(AND($D20=AH$4,$D21&gt;AH$4),$F20,AH20))</f>
        <v/>
      </c>
      <c r="AI21" s="6" t="str">
        <f>IF($D21&lt;=AI$4,"",IF(AND($D20=AI$4,$D21&gt;AI$4),$F20,AI20))</f>
        <v/>
      </c>
      <c r="AJ21" s="6" t="str">
        <f>IF($D21&lt;=AJ$4,"",IF(AND($D20=AJ$4,$D21&gt;AJ$4),$F20,AJ20))</f>
        <v/>
      </c>
      <c r="AK21" s="6" t="str">
        <f>IF($D21&lt;=AK$4,"",IF(AND($D20=AK$4,$D21&gt;AK$4),$F20,AK20))</f>
        <v/>
      </c>
      <c r="AL21" s="6" t="str">
        <f>IF($D21&lt;=AL$4,"",IF(AND($D20=AL$4,$D21&gt;AL$4),$F20,AL20))</f>
        <v/>
      </c>
      <c r="AM21" s="6" t="str">
        <f>IF($D21&lt;=AM$4,"",IF(AND($D20=AM$4,$D21&gt;AM$4),$F20,AM20))</f>
        <v/>
      </c>
      <c r="AN21" s="6" t="str">
        <f>IF($D21&lt;=AN$4,"",IF(AND($D20=AN$4,$D21&gt;AN$4),$F20,AN20))</f>
        <v/>
      </c>
      <c r="AO21" s="6" t="str">
        <f>CONCATENATE(AG21," | ",AH21," | ",AI21," | ",AJ21," | ",AK21," | ",AL21," | ",AM21," | ",AN21)</f>
        <v xml:space="preserve">90MB1BJ0-C1BAY0 |  |  |  |  |  |  | </v>
      </c>
      <c r="AP21" s="6">
        <f>IF(TRIM(H21)="",100,J21)</f>
        <v>100</v>
      </c>
      <c r="AQ21" s="4"/>
      <c r="AR21" s="6" t="b">
        <f>NOT(TRIM(W21)&lt;&gt;"F")</f>
        <v>1</v>
      </c>
      <c r="AS21" s="6" t="str">
        <f>$B21&amp;" | "&amp;$AO21&amp;" | "&amp;IF(TRIM(H21)="","uniq"&amp;ROW(),TRIM(H21))</f>
        <v>461E | 90MB1BJ0-C1BAY0 |  |  |  |  |  |  |  | A3</v>
      </c>
      <c r="AT21" s="63">
        <f>IF(NOT(AR21),IF(TRIM($H21)="","Assembly","Phantom Alt"),VLOOKUP(F21,ZPCS04!B:G,6,0))</f>
        <v>583</v>
      </c>
      <c r="AU21" s="7"/>
      <c r="AV21" s="38">
        <f ca="1">IF(TRIM($W21)="F",OFFSET($A$5,MATCH($AS21,$AS$5:$AS21,0)-1,0),$A21)</f>
        <v>21</v>
      </c>
      <c r="AW21" s="38">
        <f ca="1">IFERROR(OFFSET(ZPCS04!$A$1,MATCH(F21,ZPCS04!B:B,0)-1,0),100)</f>
        <v>1.9999999900000001</v>
      </c>
      <c r="AX21" s="7"/>
      <c r="AY21" s="6" t="b">
        <f>SUMIF(AS:AS,AS21,AP:AP)=100</f>
        <v>1</v>
      </c>
      <c r="AZ21" s="6" t="b">
        <f>SUMIF(AS:AS,AS21,AE:AE)/COUNTIF(AS:AS,AS21)=AE21</f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>C21&amp;" | "&amp;F21</f>
        <v>90MB1BJ0-C1BAY0 | 13020-01811500</v>
      </c>
      <c r="BE21" s="55" t="str">
        <f ca="1">C21&amp;" | "&amp;OFFSET($AF21,0,8-COUNTBLANK($AG21:$AN21))</f>
        <v>90MB1BJ0-C1BAY0 | 90MB1BJ0-C1BAY0</v>
      </c>
      <c r="BF21" s="57">
        <f ca="1">IFERROR(VLOOKUP($BE21,$BD$5:$BF20,3,0)*$AE21,VLOOKUP($C21,Demanda!$A:$B,2,0)*$AE21)*IF(AT21="Phantom Alt",$BC21,TRUE)</f>
        <v>1000</v>
      </c>
      <c r="BG21" s="57">
        <f ca="1">BF21*(AP21/100)</f>
        <v>1000</v>
      </c>
      <c r="BH21" s="57">
        <f>SUMIF(Invoice!A:A,F21,Invoice!B:B)</f>
        <v>1000</v>
      </c>
      <c r="BI21" s="57">
        <f ca="1">SUMIF(AS:AS,AS21,BG:BG)</f>
        <v>1000</v>
      </c>
      <c r="BJ21" s="57">
        <f ca="1">MIN((BI21-SUMIF($AS$5:AS20,AS21,$BJ$5:BJ20)),MAX(0,BH21-SUMIF($F$5:F20,F21,$BJ$5:BJ20)))</f>
        <v>1000</v>
      </c>
      <c r="BK21" s="57">
        <f ca="1">(-SUMIF(AS:AS,AS21,BG:BG)+SUMIF(AS:AS,AS21,BJ:BJ))*(AP21=100)*AR21</f>
        <v>0</v>
      </c>
      <c r="BL21" s="57">
        <f ca="1">MAX(0,SUMIF(Invoice!A:A,F21,Invoice!B:B)-SUMIF(F:F,F21,BJ:BJ))*(COUNTIF(F:F,F21)=COUNTIF($F$5:F21,F21))</f>
        <v>0</v>
      </c>
    </row>
    <row r="22" spans="1:64" hidden="1">
      <c r="A22" s="43">
        <v>22</v>
      </c>
      <c r="B22" s="35" t="s">
        <v>147</v>
      </c>
      <c r="C22" s="35" t="s">
        <v>146</v>
      </c>
      <c r="D22" s="35">
        <v>1</v>
      </c>
      <c r="E22" s="35">
        <v>130</v>
      </c>
      <c r="F22" s="64" t="s">
        <v>186</v>
      </c>
      <c r="G22" s="73" t="s">
        <v>187</v>
      </c>
      <c r="H22" s="35" t="s">
        <v>185</v>
      </c>
      <c r="I22" s="35" t="s">
        <v>55</v>
      </c>
      <c r="J22" s="35">
        <v>0</v>
      </c>
      <c r="K22" s="35" t="s">
        <v>150</v>
      </c>
      <c r="L22" s="35" t="s">
        <v>53</v>
      </c>
      <c r="M22" s="35">
        <v>1</v>
      </c>
      <c r="N22" s="35"/>
      <c r="O22" s="35">
        <v>1</v>
      </c>
      <c r="P22" s="35">
        <v>2</v>
      </c>
      <c r="Q22" s="35">
        <v>2</v>
      </c>
      <c r="R22" s="35" t="s">
        <v>73</v>
      </c>
      <c r="S22" s="35" t="s">
        <v>73</v>
      </c>
      <c r="T22" s="36">
        <v>36892</v>
      </c>
      <c r="U22" s="36">
        <v>2958465</v>
      </c>
      <c r="V22" s="35" t="s">
        <v>151</v>
      </c>
      <c r="W22" s="35" t="s">
        <v>145</v>
      </c>
      <c r="X22" s="35"/>
      <c r="Y22" s="35" t="s">
        <v>143</v>
      </c>
      <c r="Z22" s="35">
        <v>7589153</v>
      </c>
      <c r="AA22" s="35">
        <v>34</v>
      </c>
      <c r="AB22" s="35">
        <v>17</v>
      </c>
      <c r="AC22" s="35"/>
      <c r="AE22" s="51">
        <f>M22/O22</f>
        <v>1</v>
      </c>
      <c r="AG22" s="6" t="str">
        <f>C22</f>
        <v>90MB1BJ0-C1BAY0</v>
      </c>
      <c r="AH22" s="6" t="str">
        <f>IF($D22&lt;=AH$4,"",IF(AND($D21=AH$4,$D22&gt;AH$4),$F21,AH21))</f>
        <v/>
      </c>
      <c r="AI22" s="6" t="str">
        <f>IF($D22&lt;=AI$4,"",IF(AND($D21=AI$4,$D22&gt;AI$4),$F21,AI21))</f>
        <v/>
      </c>
      <c r="AJ22" s="6" t="str">
        <f>IF($D22&lt;=AJ$4,"",IF(AND($D21=AJ$4,$D22&gt;AJ$4),$F21,AJ21))</f>
        <v/>
      </c>
      <c r="AK22" s="6" t="str">
        <f>IF($D22&lt;=AK$4,"",IF(AND($D21=AK$4,$D22&gt;AK$4),$F21,AK21))</f>
        <v/>
      </c>
      <c r="AL22" s="6" t="str">
        <f>IF($D22&lt;=AL$4,"",IF(AND($D21=AL$4,$D22&gt;AL$4),$F21,AL21))</f>
        <v/>
      </c>
      <c r="AM22" s="6" t="str">
        <f>IF($D22&lt;=AM$4,"",IF(AND($D21=AM$4,$D22&gt;AM$4),$F21,AM21))</f>
        <v/>
      </c>
      <c r="AN22" s="6" t="str">
        <f>IF($D22&lt;=AN$4,"",IF(AND($D21=AN$4,$D22&gt;AN$4),$F21,AN21))</f>
        <v/>
      </c>
      <c r="AO22" s="6" t="str">
        <f>CONCATENATE(AG22," | ",AH22," | ",AI22," | ",AJ22," | ",AK22," | ",AL22," | ",AM22," | ",AN22)</f>
        <v xml:space="preserve">90MB1BJ0-C1BAY0 |  |  |  |  |  |  | </v>
      </c>
      <c r="AP22" s="6">
        <f>IF(TRIM(H22)="",100,J22)</f>
        <v>0</v>
      </c>
      <c r="AQ22" s="4"/>
      <c r="AR22" s="6" t="b">
        <f>NOT(TRIM(W22)&lt;&gt;"F")</f>
        <v>1</v>
      </c>
      <c r="AS22" s="6" t="str">
        <f>$B22&amp;" | "&amp;$AO22&amp;" | "&amp;IF(TRIM(H22)="","uniq"&amp;ROW(),TRIM(H22))</f>
        <v>461E | 90MB1BJ0-C1BAY0 |  |  |  |  |  |  |  | A3</v>
      </c>
      <c r="AT22" s="63">
        <f>IF(NOT(AR22),IF(TRIM($H22)="","Assembly","Phantom Alt"),VLOOKUP(F22,ZPCS04!B:G,6,0))</f>
        <v>583</v>
      </c>
      <c r="AU22" s="7"/>
      <c r="AV22" s="38">
        <f ca="1">IF(TRIM($W22)="F",OFFSET($A$5,MATCH($AS22,$AS$5:$AS22,0)-1,0),$A22)</f>
        <v>21</v>
      </c>
      <c r="AW22" s="38">
        <f ca="1">IFERROR(OFFSET(ZPCS04!$A$1,MATCH(F22,ZPCS04!B:B,0)-1,0),100)</f>
        <v>2</v>
      </c>
      <c r="AX22" s="7"/>
      <c r="AY22" s="6" t="b">
        <f>SUMIF(AS:AS,AS22,AP:AP)=100</f>
        <v>1</v>
      </c>
      <c r="AZ22" s="6" t="b">
        <f>SUMIF(AS:AS,AS22,AE:AE)/COUNTIF(AS:AS,AS22)=AE22</f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>C22&amp;" | "&amp;F22</f>
        <v>90MB1BJ0-C1BAY0 | 13020-01811900</v>
      </c>
      <c r="BE22" s="55" t="str">
        <f ca="1">C22&amp;" | "&amp;OFFSET($AF22,0,8-COUNTBLANK($AG22:$AN22))</f>
        <v>90MB1BJ0-C1BAY0 | 90MB1BJ0-C1BAY0</v>
      </c>
      <c r="BF22" s="57">
        <f ca="1">IFERROR(VLOOKUP($BE22,$BD$5:$BF21,3,0)*$AE22,VLOOKUP($C22,Demanda!$A:$B,2,0)*$AE22)*IF(AT22="Phantom Alt",$BC22,TRUE)</f>
        <v>1000</v>
      </c>
      <c r="BG22" s="57">
        <f ca="1">BF22*(AP22/100)</f>
        <v>0</v>
      </c>
      <c r="BH22" s="57">
        <f>SUMIF(Invoice!A:A,F22,Invoice!B:B)</f>
        <v>0</v>
      </c>
      <c r="BI22" s="57">
        <f ca="1">SUMIF(AS:AS,AS22,BG:BG)</f>
        <v>1000</v>
      </c>
      <c r="BJ22" s="57">
        <f ca="1">MIN((BI22-SUMIF($AS$5:AS21,AS22,$BJ$5:BJ21)),MAX(0,BH22-SUMIF($F$5:F21,F22,$BJ$5:BJ21)))</f>
        <v>0</v>
      </c>
      <c r="BK22" s="57">
        <f ca="1">(-SUMIF(AS:AS,AS22,BG:BG)+SUMIF(AS:AS,AS22,BJ:BJ))*(AP22=100)*AR22</f>
        <v>0</v>
      </c>
      <c r="BL22" s="57">
        <f ca="1">MAX(0,SUMIF(Invoice!A:A,F22,Invoice!B:B)-SUMIF(F:F,F22,BJ:BJ))*(COUNTIF(F:F,F22)=COUNTIF($F$5:F22,F22))</f>
        <v>0</v>
      </c>
    </row>
    <row r="23" spans="1:64" hidden="1">
      <c r="A23" s="43">
        <v>23</v>
      </c>
      <c r="B23" s="35" t="s">
        <v>147</v>
      </c>
      <c r="C23" s="35" t="s">
        <v>146</v>
      </c>
      <c r="D23" s="35">
        <v>1</v>
      </c>
      <c r="E23" s="35">
        <v>140</v>
      </c>
      <c r="F23" s="64" t="s">
        <v>188</v>
      </c>
      <c r="G23" s="73" t="s">
        <v>189</v>
      </c>
      <c r="H23" s="35" t="s">
        <v>190</v>
      </c>
      <c r="I23" s="35" t="s">
        <v>54</v>
      </c>
      <c r="J23" s="35">
        <v>100</v>
      </c>
      <c r="K23" s="35" t="s">
        <v>150</v>
      </c>
      <c r="L23" s="35" t="s">
        <v>53</v>
      </c>
      <c r="M23" s="35">
        <v>1</v>
      </c>
      <c r="N23" s="35">
        <v>1</v>
      </c>
      <c r="O23" s="35">
        <v>1</v>
      </c>
      <c r="P23" s="35">
        <v>2</v>
      </c>
      <c r="Q23" s="35">
        <v>1</v>
      </c>
      <c r="R23" s="35" t="s">
        <v>73</v>
      </c>
      <c r="S23" s="35" t="s">
        <v>73</v>
      </c>
      <c r="T23" s="36">
        <v>36892</v>
      </c>
      <c r="U23" s="36">
        <v>2958465</v>
      </c>
      <c r="V23" s="35" t="s">
        <v>151</v>
      </c>
      <c r="W23" s="35" t="s">
        <v>145</v>
      </c>
      <c r="X23" s="35"/>
      <c r="Y23" s="35" t="s">
        <v>143</v>
      </c>
      <c r="Z23" s="35">
        <v>7589153</v>
      </c>
      <c r="AA23" s="35">
        <v>36</v>
      </c>
      <c r="AB23" s="35">
        <v>18</v>
      </c>
      <c r="AC23" s="35"/>
      <c r="AE23" s="51">
        <f>M23/O23</f>
        <v>1</v>
      </c>
      <c r="AG23" s="6" t="str">
        <f>C23</f>
        <v>90MB1BJ0-C1BAY0</v>
      </c>
      <c r="AH23" s="6" t="str">
        <f>IF($D23&lt;=AH$4,"",IF(AND($D22=AH$4,$D23&gt;AH$4),$F22,AH22))</f>
        <v/>
      </c>
      <c r="AI23" s="6" t="str">
        <f>IF($D23&lt;=AI$4,"",IF(AND($D22=AI$4,$D23&gt;AI$4),$F22,AI22))</f>
        <v/>
      </c>
      <c r="AJ23" s="6" t="str">
        <f>IF($D23&lt;=AJ$4,"",IF(AND($D22=AJ$4,$D23&gt;AJ$4),$F22,AJ22))</f>
        <v/>
      </c>
      <c r="AK23" s="6" t="str">
        <f>IF($D23&lt;=AK$4,"",IF(AND($D22=AK$4,$D23&gt;AK$4),$F22,AK22))</f>
        <v/>
      </c>
      <c r="AL23" s="6" t="str">
        <f>IF($D23&lt;=AL$4,"",IF(AND($D22=AL$4,$D23&gt;AL$4),$F22,AL22))</f>
        <v/>
      </c>
      <c r="AM23" s="6" t="str">
        <f>IF($D23&lt;=AM$4,"",IF(AND($D22=AM$4,$D23&gt;AM$4),$F22,AM22))</f>
        <v/>
      </c>
      <c r="AN23" s="6" t="str">
        <f>IF($D23&lt;=AN$4,"",IF(AND($D22=AN$4,$D23&gt;AN$4),$F22,AN22))</f>
        <v/>
      </c>
      <c r="AO23" s="6" t="str">
        <f>CONCATENATE(AG23," | ",AH23," | ",AI23," | ",AJ23," | ",AK23," | ",AL23," | ",AM23," | ",AN23)</f>
        <v xml:space="preserve">90MB1BJ0-C1BAY0 |  |  |  |  |  |  | </v>
      </c>
      <c r="AP23" s="6">
        <f>IF(TRIM(H23)="",100,J23)</f>
        <v>100</v>
      </c>
      <c r="AQ23" s="4"/>
      <c r="AR23" s="6" t="b">
        <f>NOT(TRIM(W23)&lt;&gt;"F")</f>
        <v>1</v>
      </c>
      <c r="AS23" s="6" t="str">
        <f>$B23&amp;" | "&amp;$AO23&amp;" | "&amp;IF(TRIM(H23)="","uniq"&amp;ROW(),TRIM(H23))</f>
        <v>461E | 90MB1BJ0-C1BAY0 |  |  |  |  |  |  |  | A4</v>
      </c>
      <c r="AT23" s="63">
        <f>IF(NOT(AR23),IF(TRIM($H23)="","Assembly","Phantom Alt"),VLOOKUP(F23,ZPCS04!B:G,6,0))</f>
        <v>590</v>
      </c>
      <c r="AU23" s="7"/>
      <c r="AV23" s="38">
        <f ca="1">IF(TRIM($W23)="F",OFFSET($A$5,MATCH($AS23,$AS$5:$AS23,0)-1,0),$A23)</f>
        <v>23</v>
      </c>
      <c r="AW23" s="38">
        <f ca="1">IFERROR(OFFSET(ZPCS04!$A$1,MATCH(F23,ZPCS04!B:B,0)-1,0),100)</f>
        <v>1.9999999900000001</v>
      </c>
      <c r="AX23" s="7"/>
      <c r="AY23" s="6" t="b">
        <f>SUMIF(AS:AS,AS23,AP:AP)=100</f>
        <v>1</v>
      </c>
      <c r="AZ23" s="6" t="b">
        <f>SUMIF(AS:AS,AS23,AE:AE)/COUNTIF(AS:AS,AS23)=AE23</f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>C23&amp;" | "&amp;F23</f>
        <v>90MB1BJ0-C1BAY0 | 13020-01811600</v>
      </c>
      <c r="BE23" s="55" t="str">
        <f ca="1">C23&amp;" | "&amp;OFFSET($AF23,0,8-COUNTBLANK($AG23:$AN23))</f>
        <v>90MB1BJ0-C1BAY0 | 90MB1BJ0-C1BAY0</v>
      </c>
      <c r="BF23" s="57">
        <f ca="1">IFERROR(VLOOKUP($BE23,$BD$5:$BF22,3,0)*$AE23,VLOOKUP($C23,Demanda!$A:$B,2,0)*$AE23)*IF(AT23="Phantom Alt",$BC23,TRUE)</f>
        <v>1000</v>
      </c>
      <c r="BG23" s="57">
        <f ca="1">BF23*(AP23/100)</f>
        <v>1000</v>
      </c>
      <c r="BH23" s="57">
        <f>SUMIF(Invoice!A:A,F23,Invoice!B:B)</f>
        <v>1000</v>
      </c>
      <c r="BI23" s="57">
        <f ca="1">SUMIF(AS:AS,AS23,BG:BG)</f>
        <v>1000</v>
      </c>
      <c r="BJ23" s="57">
        <f ca="1">MIN((BI23-SUMIF($AS$5:AS22,AS23,$BJ$5:BJ22)),MAX(0,BH23-SUMIF($F$5:F22,F23,$BJ$5:BJ22)))</f>
        <v>1000</v>
      </c>
      <c r="BK23" s="57">
        <f ca="1">(-SUMIF(AS:AS,AS23,BG:BG)+SUMIF(AS:AS,AS23,BJ:BJ))*(AP23=100)*AR23</f>
        <v>0</v>
      </c>
      <c r="BL23" s="57">
        <f ca="1">MAX(0,SUMIF(Invoice!A:A,F23,Invoice!B:B)-SUMIF(F:F,F23,BJ:BJ))*(COUNTIF(F:F,F23)=COUNTIF($F$5:F23,F23))</f>
        <v>0</v>
      </c>
    </row>
    <row r="24" spans="1:64" hidden="1">
      <c r="A24" s="43">
        <v>24</v>
      </c>
      <c r="B24" s="35" t="s">
        <v>147</v>
      </c>
      <c r="C24" s="35" t="s">
        <v>146</v>
      </c>
      <c r="D24" s="35">
        <v>1</v>
      </c>
      <c r="E24" s="35">
        <v>140</v>
      </c>
      <c r="F24" s="64" t="s">
        <v>191</v>
      </c>
      <c r="G24" s="73" t="s">
        <v>192</v>
      </c>
      <c r="H24" s="35" t="s">
        <v>190</v>
      </c>
      <c r="I24" s="35" t="s">
        <v>55</v>
      </c>
      <c r="J24" s="35">
        <v>0</v>
      </c>
      <c r="K24" s="35" t="s">
        <v>150</v>
      </c>
      <c r="L24" s="35" t="s">
        <v>53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73</v>
      </c>
      <c r="S24" s="35" t="s">
        <v>73</v>
      </c>
      <c r="T24" s="36">
        <v>36892</v>
      </c>
      <c r="U24" s="36">
        <v>2958465</v>
      </c>
      <c r="V24" s="35" t="s">
        <v>151</v>
      </c>
      <c r="W24" s="35" t="s">
        <v>145</v>
      </c>
      <c r="X24" s="35"/>
      <c r="Y24" s="35" t="s">
        <v>143</v>
      </c>
      <c r="Z24" s="35">
        <v>7589153</v>
      </c>
      <c r="AA24" s="35">
        <v>38</v>
      </c>
      <c r="AB24" s="35">
        <v>19</v>
      </c>
      <c r="AC24" s="35"/>
      <c r="AE24" s="51">
        <f>M24/O24</f>
        <v>1</v>
      </c>
      <c r="AG24" s="6" t="str">
        <f>C24</f>
        <v>90MB1BJ0-C1BAY0</v>
      </c>
      <c r="AH24" s="6" t="str">
        <f>IF($D24&lt;=AH$4,"",IF(AND($D23=AH$4,$D24&gt;AH$4),$F23,AH23))</f>
        <v/>
      </c>
      <c r="AI24" s="6" t="str">
        <f>IF($D24&lt;=AI$4,"",IF(AND($D23=AI$4,$D24&gt;AI$4),$F23,AI23))</f>
        <v/>
      </c>
      <c r="AJ24" s="6" t="str">
        <f>IF($D24&lt;=AJ$4,"",IF(AND($D23=AJ$4,$D24&gt;AJ$4),$F23,AJ23))</f>
        <v/>
      </c>
      <c r="AK24" s="6" t="str">
        <f>IF($D24&lt;=AK$4,"",IF(AND($D23=AK$4,$D24&gt;AK$4),$F23,AK23))</f>
        <v/>
      </c>
      <c r="AL24" s="6" t="str">
        <f>IF($D24&lt;=AL$4,"",IF(AND($D23=AL$4,$D24&gt;AL$4),$F23,AL23))</f>
        <v/>
      </c>
      <c r="AM24" s="6" t="str">
        <f>IF($D24&lt;=AM$4,"",IF(AND($D23=AM$4,$D24&gt;AM$4),$F23,AM23))</f>
        <v/>
      </c>
      <c r="AN24" s="6" t="str">
        <f>IF($D24&lt;=AN$4,"",IF(AND($D23=AN$4,$D24&gt;AN$4),$F23,AN23))</f>
        <v/>
      </c>
      <c r="AO24" s="6" t="str">
        <f>CONCATENATE(AG24," | ",AH24," | ",AI24," | ",AJ24," | ",AK24," | ",AL24," | ",AM24," | ",AN24)</f>
        <v xml:space="preserve">90MB1BJ0-C1BAY0 |  |  |  |  |  |  | </v>
      </c>
      <c r="AP24" s="6">
        <f>IF(TRIM(H24)="",100,J24)</f>
        <v>0</v>
      </c>
      <c r="AQ24" s="4"/>
      <c r="AR24" s="6" t="b">
        <f>NOT(TRIM(W24)&lt;&gt;"F")</f>
        <v>1</v>
      </c>
      <c r="AS24" s="6" t="str">
        <f>$B24&amp;" | "&amp;$AO24&amp;" | "&amp;IF(TRIM(H24)="","uniq"&amp;ROW(),TRIM(H24))</f>
        <v>461E | 90MB1BJ0-C1BAY0 |  |  |  |  |  |  |  | A4</v>
      </c>
      <c r="AT24" s="63">
        <f>IF(NOT(AR24),IF(TRIM($H24)="","Assembly","Phantom Alt"),VLOOKUP(F24,ZPCS04!B:G,6,0))</f>
        <v>590</v>
      </c>
      <c r="AU24" s="7"/>
      <c r="AV24" s="38">
        <f ca="1">IF(TRIM($W24)="F",OFFSET($A$5,MATCH($AS24,$AS$5:$AS24,0)-1,0),$A24)</f>
        <v>23</v>
      </c>
      <c r="AW24" s="38">
        <f ca="1">IFERROR(OFFSET(ZPCS04!$A$1,MATCH(F24,ZPCS04!B:B,0)-1,0),100)</f>
        <v>2</v>
      </c>
      <c r="AX24" s="7"/>
      <c r="AY24" s="6" t="b">
        <f>SUMIF(AS:AS,AS24,AP:AP)=100</f>
        <v>1</v>
      </c>
      <c r="AZ24" s="6" t="b">
        <f>SUMIF(AS:AS,AS24,AE:AE)/COUNTIF(AS:AS,AS24)=AE24</f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>C24&amp;" | "&amp;F24</f>
        <v>90MB1BJ0-C1BAY0 | 13020-01812000</v>
      </c>
      <c r="BE24" s="55" t="str">
        <f ca="1">C24&amp;" | "&amp;OFFSET($AF24,0,8-COUNTBLANK($AG24:$AN24))</f>
        <v>90MB1BJ0-C1BAY0 | 90MB1BJ0-C1BAY0</v>
      </c>
      <c r="BF24" s="57">
        <f ca="1">IFERROR(VLOOKUP($BE24,$BD$5:$BF23,3,0)*$AE24,VLOOKUP($C24,Demanda!$A:$B,2,0)*$AE24)*IF(AT24="Phantom Alt",$BC24,TRUE)</f>
        <v>1000</v>
      </c>
      <c r="BG24" s="57">
        <f ca="1">BF24*(AP24/100)</f>
        <v>0</v>
      </c>
      <c r="BH24" s="57">
        <f>SUMIF(Invoice!A:A,F24,Invoice!B:B)</f>
        <v>0</v>
      </c>
      <c r="BI24" s="57">
        <f ca="1">SUMIF(AS:AS,AS24,BG:BG)</f>
        <v>1000</v>
      </c>
      <c r="BJ24" s="57">
        <f ca="1">MIN((BI24-SUMIF($AS$5:AS23,AS24,$BJ$5:BJ23)),MAX(0,BH24-SUMIF($F$5:F23,F24,$BJ$5:BJ23)))</f>
        <v>0</v>
      </c>
      <c r="BK24" s="57">
        <f ca="1">(-SUMIF(AS:AS,AS24,BG:BG)+SUMIF(AS:AS,AS24,BJ:BJ))*(AP24=100)*AR24</f>
        <v>0</v>
      </c>
      <c r="BL24" s="57">
        <f ca="1">MAX(0,SUMIF(Invoice!A:A,F24,Invoice!B:B)-SUMIF(F:F,F24,BJ:BJ))*(COUNTIF(F:F,F24)=COUNTIF($F$5:F24,F24))</f>
        <v>0</v>
      </c>
    </row>
    <row r="25" spans="1:64" hidden="1">
      <c r="A25" s="43">
        <v>25</v>
      </c>
      <c r="B25" s="35" t="s">
        <v>147</v>
      </c>
      <c r="C25" s="35" t="s">
        <v>146</v>
      </c>
      <c r="D25" s="35">
        <v>1</v>
      </c>
      <c r="E25" s="35">
        <v>150</v>
      </c>
      <c r="F25" s="64" t="s">
        <v>193</v>
      </c>
      <c r="G25" s="73" t="s">
        <v>194</v>
      </c>
      <c r="H25" s="35"/>
      <c r="I25" s="35" t="s">
        <v>54</v>
      </c>
      <c r="J25" s="35">
        <v>0</v>
      </c>
      <c r="K25" s="35" t="s">
        <v>150</v>
      </c>
      <c r="L25" s="35" t="s">
        <v>53</v>
      </c>
      <c r="M25" s="35">
        <v>1</v>
      </c>
      <c r="N25" s="35">
        <v>1</v>
      </c>
      <c r="O25" s="35">
        <v>1</v>
      </c>
      <c r="P25" s="35"/>
      <c r="Q25" s="35"/>
      <c r="R25" s="35" t="s">
        <v>73</v>
      </c>
      <c r="S25" s="35" t="s">
        <v>73</v>
      </c>
      <c r="T25" s="36">
        <v>36892</v>
      </c>
      <c r="U25" s="36">
        <v>2958465</v>
      </c>
      <c r="V25" s="35" t="s">
        <v>151</v>
      </c>
      <c r="W25" s="35" t="s">
        <v>145</v>
      </c>
      <c r="X25" s="35"/>
      <c r="Y25" s="35" t="s">
        <v>143</v>
      </c>
      <c r="Z25" s="35">
        <v>7589153</v>
      </c>
      <c r="AA25" s="35">
        <v>40</v>
      </c>
      <c r="AB25" s="35">
        <v>20</v>
      </c>
      <c r="AC25" s="35"/>
      <c r="AE25" s="51">
        <f>M25/O25</f>
        <v>1</v>
      </c>
      <c r="AG25" s="6" t="str">
        <f>C25</f>
        <v>90MB1BJ0-C1BAY0</v>
      </c>
      <c r="AH25" s="6" t="str">
        <f>IF($D25&lt;=AH$4,"",IF(AND($D24=AH$4,$D25&gt;AH$4),$F24,AH24))</f>
        <v/>
      </c>
      <c r="AI25" s="6" t="str">
        <f>IF($D25&lt;=AI$4,"",IF(AND($D24=AI$4,$D25&gt;AI$4),$F24,AI24))</f>
        <v/>
      </c>
      <c r="AJ25" s="6" t="str">
        <f>IF($D25&lt;=AJ$4,"",IF(AND($D24=AJ$4,$D25&gt;AJ$4),$F24,AJ24))</f>
        <v/>
      </c>
      <c r="AK25" s="6" t="str">
        <f>IF($D25&lt;=AK$4,"",IF(AND($D24=AK$4,$D25&gt;AK$4),$F24,AK24))</f>
        <v/>
      </c>
      <c r="AL25" s="6" t="str">
        <f>IF($D25&lt;=AL$4,"",IF(AND($D24=AL$4,$D25&gt;AL$4),$F24,AL24))</f>
        <v/>
      </c>
      <c r="AM25" s="6" t="str">
        <f>IF($D25&lt;=AM$4,"",IF(AND($D24=AM$4,$D25&gt;AM$4),$F24,AM24))</f>
        <v/>
      </c>
      <c r="AN25" s="6" t="str">
        <f>IF($D25&lt;=AN$4,"",IF(AND($D24=AN$4,$D25&gt;AN$4),$F24,AN24))</f>
        <v/>
      </c>
      <c r="AO25" s="6" t="str">
        <f>CONCATENATE(AG25," | ",AH25," | ",AI25," | ",AJ25," | ",AK25," | ",AL25," | ",AM25," | ",AN25)</f>
        <v xml:space="preserve">90MB1BJ0-C1BAY0 |  |  |  |  |  |  | </v>
      </c>
      <c r="AP25" s="6">
        <f>IF(TRIM(H25)="",100,J25)</f>
        <v>100</v>
      </c>
      <c r="AQ25" s="4"/>
      <c r="AR25" s="6" t="b">
        <f>NOT(TRIM(W25)&lt;&gt;"F")</f>
        <v>1</v>
      </c>
      <c r="AS25" s="6" t="str">
        <f>$B25&amp;" | "&amp;$AO25&amp;" | "&amp;IF(TRIM(H25)="","uniq"&amp;ROW(),TRIM(H25))</f>
        <v>461E | 90MB1BJ0-C1BAY0 |  |  |  |  |  |  |  | uniq25</v>
      </c>
      <c r="AT25" s="63">
        <f>IF(NOT(AR25),IF(TRIM($H25)="","Assembly","Phantom Alt"),VLOOKUP(F25,ZPCS04!B:G,6,0))</f>
        <v>333</v>
      </c>
      <c r="AU25" s="7"/>
      <c r="AV25" s="38">
        <f ca="1">IF(TRIM($W25)="F",OFFSET($A$5,MATCH($AS25,$AS$5:$AS25,0)-1,0),$A25)</f>
        <v>25</v>
      </c>
      <c r="AW25" s="38">
        <f ca="1">IFERROR(OFFSET(ZPCS04!$A$1,MATCH(F25,ZPCS04!B:B,0)-1,0),100)</f>
        <v>1.9999999900000001</v>
      </c>
      <c r="AX25" s="7"/>
      <c r="AY25" s="6" t="b">
        <f>SUMIF(AS:AS,AS25,AP:AP)=100</f>
        <v>1</v>
      </c>
      <c r="AZ25" s="6" t="b">
        <f>SUMIF(AS:AS,AS25,AE:AE)/COUNTIF(AS:AS,AS25)=AE25</f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>C25&amp;" | "&amp;F25</f>
        <v>90MB1BJ0-C1BAY0 | 15100-23959100</v>
      </c>
      <c r="BE25" s="55" t="str">
        <f ca="1">C25&amp;" | "&amp;OFFSET($AF25,0,8-COUNTBLANK($AG25:$AN25))</f>
        <v>90MB1BJ0-C1BAY0 | 90MB1BJ0-C1BAY0</v>
      </c>
      <c r="BF25" s="57">
        <f ca="1">IFERROR(VLOOKUP($BE25,$BD$5:$BF24,3,0)*$AE25,VLOOKUP($C25,Demanda!$A:$B,2,0)*$AE25)*IF(AT25="Phantom Alt",$BC25,TRUE)</f>
        <v>1000</v>
      </c>
      <c r="BG25" s="57">
        <f ca="1">BF25*(AP25/100)</f>
        <v>1000</v>
      </c>
      <c r="BH25" s="57">
        <f>SUMIF(Invoice!A:A,F25,Invoice!B:B)</f>
        <v>1000</v>
      </c>
      <c r="BI25" s="57">
        <f ca="1">SUMIF(AS:AS,AS25,BG:BG)</f>
        <v>1000</v>
      </c>
      <c r="BJ25" s="57">
        <f ca="1">MIN((BI25-SUMIF($AS$5:AS24,AS25,$BJ$5:BJ24)),MAX(0,BH25-SUMIF($F$5:F24,F25,$BJ$5:BJ24)))</f>
        <v>1000</v>
      </c>
      <c r="BK25" s="57">
        <f ca="1">(-SUMIF(AS:AS,AS25,BG:BG)+SUMIF(AS:AS,AS25,BJ:BJ))*(AP25=100)*AR25</f>
        <v>0</v>
      </c>
      <c r="BL25" s="57">
        <f ca="1">MAX(0,SUMIF(Invoice!A:A,F25,Invoice!B:B)-SUMIF(F:F,F25,BJ:BJ))*(COUNTIF(F:F,F25)=COUNTIF($F$5:F25,F25))</f>
        <v>0</v>
      </c>
    </row>
    <row r="26" spans="1:64" hidden="1">
      <c r="A26" s="43">
        <v>26</v>
      </c>
      <c r="B26" s="35" t="s">
        <v>147</v>
      </c>
      <c r="C26" s="35" t="s">
        <v>146</v>
      </c>
      <c r="D26" s="35">
        <v>1</v>
      </c>
      <c r="E26" s="35">
        <v>160</v>
      </c>
      <c r="F26" s="64" t="s">
        <v>195</v>
      </c>
      <c r="G26" s="73" t="s">
        <v>196</v>
      </c>
      <c r="H26" s="35"/>
      <c r="I26" s="35" t="s">
        <v>54</v>
      </c>
      <c r="J26" s="35">
        <v>0</v>
      </c>
      <c r="K26" s="35" t="s">
        <v>150</v>
      </c>
      <c r="L26" s="35" t="s">
        <v>53</v>
      </c>
      <c r="M26" s="35">
        <v>1</v>
      </c>
      <c r="N26" s="35">
        <v>1</v>
      </c>
      <c r="O26" s="35">
        <v>1</v>
      </c>
      <c r="P26" s="35"/>
      <c r="Q26" s="35"/>
      <c r="R26" s="35" t="s">
        <v>73</v>
      </c>
      <c r="S26" s="35" t="s">
        <v>73</v>
      </c>
      <c r="T26" s="36">
        <v>36892</v>
      </c>
      <c r="U26" s="36">
        <v>2958465</v>
      </c>
      <c r="V26" s="35" t="s">
        <v>151</v>
      </c>
      <c r="W26" s="35" t="s">
        <v>145</v>
      </c>
      <c r="X26" s="35"/>
      <c r="Y26" s="35" t="s">
        <v>143</v>
      </c>
      <c r="Z26" s="35">
        <v>7589153</v>
      </c>
      <c r="AA26" s="35">
        <v>42</v>
      </c>
      <c r="AB26" s="35">
        <v>21</v>
      </c>
      <c r="AC26" s="35"/>
      <c r="AE26" s="51">
        <f>M26/O26</f>
        <v>1</v>
      </c>
      <c r="AG26" s="6" t="str">
        <f>C26</f>
        <v>90MB1BJ0-C1BAY0</v>
      </c>
      <c r="AH26" s="6" t="str">
        <f>IF($D26&lt;=AH$4,"",IF(AND($D25=AH$4,$D26&gt;AH$4),$F25,AH25))</f>
        <v/>
      </c>
      <c r="AI26" s="6" t="str">
        <f>IF($D26&lt;=AI$4,"",IF(AND($D25=AI$4,$D26&gt;AI$4),$F25,AI25))</f>
        <v/>
      </c>
      <c r="AJ26" s="6" t="str">
        <f>IF($D26&lt;=AJ$4,"",IF(AND($D25=AJ$4,$D26&gt;AJ$4),$F25,AJ25))</f>
        <v/>
      </c>
      <c r="AK26" s="6" t="str">
        <f>IF($D26&lt;=AK$4,"",IF(AND($D25=AK$4,$D26&gt;AK$4),$F25,AK25))</f>
        <v/>
      </c>
      <c r="AL26" s="6" t="str">
        <f>IF($D26&lt;=AL$4,"",IF(AND($D25=AL$4,$D26&gt;AL$4),$F25,AL25))</f>
        <v/>
      </c>
      <c r="AM26" s="6" t="str">
        <f>IF($D26&lt;=AM$4,"",IF(AND($D25=AM$4,$D26&gt;AM$4),$F25,AM25))</f>
        <v/>
      </c>
      <c r="AN26" s="6" t="str">
        <f>IF($D26&lt;=AN$4,"",IF(AND($D25=AN$4,$D26&gt;AN$4),$F25,AN25))</f>
        <v/>
      </c>
      <c r="AO26" s="6" t="str">
        <f>CONCATENATE(AG26," | ",AH26," | ",AI26," | ",AJ26," | ",AK26," | ",AL26," | ",AM26," | ",AN26)</f>
        <v xml:space="preserve">90MB1BJ0-C1BAY0 |  |  |  |  |  |  | </v>
      </c>
      <c r="AP26" s="6">
        <f>IF(TRIM(H26)="",100,J26)</f>
        <v>100</v>
      </c>
      <c r="AQ26" s="4"/>
      <c r="AR26" s="6" t="b">
        <f>NOT(TRIM(W26)&lt;&gt;"F")</f>
        <v>1</v>
      </c>
      <c r="AS26" s="6" t="str">
        <f>$B26&amp;" | "&amp;$AO26&amp;" | "&amp;IF(TRIM(H26)="","uniq"&amp;ROW(),TRIM(H26))</f>
        <v>461E | 90MB1BJ0-C1BAY0 |  |  |  |  |  |  |  | uniq26</v>
      </c>
      <c r="AT26" s="63">
        <f>IF(NOT(AR26),IF(TRIM($H26)="","Assembly","Phantom Alt"),VLOOKUP(F26,ZPCS04!B:G,6,0))</f>
        <v>204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1.9999999900000001</v>
      </c>
      <c r="AX26" s="7"/>
      <c r="AY26" s="6" t="b">
        <f>SUMIF(AS:AS,AS26,AP:AP)=100</f>
        <v>1</v>
      </c>
      <c r="AZ26" s="6" t="b">
        <f>SUMIF(AS:AS,AS26,AE:AE)/COUNTIF(AS:AS,AS26)=AE26</f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>C26&amp;" | "&amp;F26</f>
        <v>90MB1BJ0-C1BAY0 | 15060-49740000</v>
      </c>
      <c r="BE26" s="55" t="str">
        <f ca="1">C26&amp;" | "&amp;OFFSET($AF26,0,8-COUNTBLANK($AG26:$AN26))</f>
        <v>90MB1BJ0-C1BAY0 | 90MB1BJ0-C1BAY0</v>
      </c>
      <c r="BF26" s="57">
        <f ca="1">IFERROR(VLOOKUP($BE26,$BD$5:$BF25,3,0)*$AE26,VLOOKUP($C26,Demanda!$A:$B,2,0)*$AE26)*IF(AT26="Phantom Alt",$BC26,TRUE)</f>
        <v>1000</v>
      </c>
      <c r="BG26" s="57">
        <f ca="1">BF26*(AP26/100)</f>
        <v>1000</v>
      </c>
      <c r="BH26" s="57">
        <f>SUMIF(Invoice!A:A,F26,Invoice!B:B)</f>
        <v>1000</v>
      </c>
      <c r="BI26" s="57">
        <f ca="1">SUMIF(AS:AS,AS26,BG:BG)</f>
        <v>1000</v>
      </c>
      <c r="BJ26" s="57">
        <f ca="1">MIN((BI26-SUMIF($AS$5:AS25,AS26,$BJ$5:BJ25)),MAX(0,BH26-SUMIF($F$5:F25,F26,$BJ$5:BJ25)))</f>
        <v>1000</v>
      </c>
      <c r="BK26" s="57">
        <f ca="1">(-SUMIF(AS:AS,AS26,BG:BG)+SUMIF(AS:AS,AS26,BJ:BJ))*(AP26=100)*AR26</f>
        <v>0</v>
      </c>
      <c r="BL26" s="57">
        <f ca="1">MAX(0,SUMIF(Invoice!A:A,F26,Invoice!B:B)-SUMIF(F:F,F26,BJ:BJ))*(COUNTIF(F:F,F26)=COUNTIF($F$5:F26,F26))</f>
        <v>0</v>
      </c>
    </row>
    <row r="27" spans="1:64" hidden="1">
      <c r="A27" s="43">
        <v>27</v>
      </c>
      <c r="B27" s="35" t="s">
        <v>147</v>
      </c>
      <c r="C27" s="35" t="s">
        <v>146</v>
      </c>
      <c r="D27" s="35">
        <v>1</v>
      </c>
      <c r="E27" s="35">
        <v>170</v>
      </c>
      <c r="F27" s="64" t="s">
        <v>197</v>
      </c>
      <c r="G27" s="73" t="s">
        <v>198</v>
      </c>
      <c r="H27" s="35"/>
      <c r="I27" s="35" t="s">
        <v>54</v>
      </c>
      <c r="J27" s="35">
        <v>0</v>
      </c>
      <c r="K27" s="35" t="s">
        <v>150</v>
      </c>
      <c r="L27" s="35" t="s">
        <v>53</v>
      </c>
      <c r="M27" s="35">
        <v>1</v>
      </c>
      <c r="N27" s="35">
        <v>1</v>
      </c>
      <c r="O27" s="35">
        <v>1</v>
      </c>
      <c r="P27" s="35"/>
      <c r="Q27" s="35"/>
      <c r="R27" s="35" t="s">
        <v>73</v>
      </c>
      <c r="S27" s="35" t="s">
        <v>73</v>
      </c>
      <c r="T27" s="36">
        <v>36892</v>
      </c>
      <c r="U27" s="36">
        <v>2958465</v>
      </c>
      <c r="V27" s="35" t="s">
        <v>151</v>
      </c>
      <c r="W27" s="35" t="s">
        <v>145</v>
      </c>
      <c r="X27" s="35"/>
      <c r="Y27" s="35" t="s">
        <v>143</v>
      </c>
      <c r="Z27" s="35">
        <v>7589153</v>
      </c>
      <c r="AA27" s="35">
        <v>44</v>
      </c>
      <c r="AB27" s="35">
        <v>22</v>
      </c>
      <c r="AC27" s="35"/>
      <c r="AE27" s="51">
        <f>M27/O27</f>
        <v>1</v>
      </c>
      <c r="AG27" s="6" t="str">
        <f>C27</f>
        <v>90MB1BJ0-C1BAY0</v>
      </c>
      <c r="AH27" s="6" t="str">
        <f>IF($D27&lt;=AH$4,"",IF(AND($D26=AH$4,$D27&gt;AH$4),$F26,AH26))</f>
        <v/>
      </c>
      <c r="AI27" s="6" t="str">
        <f>IF($D27&lt;=AI$4,"",IF(AND($D26=AI$4,$D27&gt;AI$4),$F26,AI26))</f>
        <v/>
      </c>
      <c r="AJ27" s="6" t="str">
        <f>IF($D27&lt;=AJ$4,"",IF(AND($D26=AJ$4,$D27&gt;AJ$4),$F26,AJ26))</f>
        <v/>
      </c>
      <c r="AK27" s="6" t="str">
        <f>IF($D27&lt;=AK$4,"",IF(AND($D26=AK$4,$D27&gt;AK$4),$F26,AK26))</f>
        <v/>
      </c>
      <c r="AL27" s="6" t="str">
        <f>IF($D27&lt;=AL$4,"",IF(AND($D26=AL$4,$D27&gt;AL$4),$F26,AL26))</f>
        <v/>
      </c>
      <c r="AM27" s="6" t="str">
        <f>IF($D27&lt;=AM$4,"",IF(AND($D26=AM$4,$D27&gt;AM$4),$F26,AM26))</f>
        <v/>
      </c>
      <c r="AN27" s="6" t="str">
        <f>IF($D27&lt;=AN$4,"",IF(AND($D26=AN$4,$D27&gt;AN$4),$F26,AN26))</f>
        <v/>
      </c>
      <c r="AO27" s="6" t="str">
        <f>CONCATENATE(AG27," | ",AH27," | ",AI27," | ",AJ27," | ",AK27," | ",AL27," | ",AM27," | ",AN27)</f>
        <v xml:space="preserve">90MB1BJ0-C1BAY0 |  |  |  |  |  |  | </v>
      </c>
      <c r="AP27" s="6">
        <f>IF(TRIM(H27)="",100,J27)</f>
        <v>100</v>
      </c>
      <c r="AQ27" s="4"/>
      <c r="AR27" s="6" t="b">
        <f>NOT(TRIM(W27)&lt;&gt;"F")</f>
        <v>1</v>
      </c>
      <c r="AS27" s="6" t="str">
        <f>$B27&amp;" | "&amp;$AO27&amp;" | "&amp;IF(TRIM(H27)="","uniq"&amp;ROW(),TRIM(H27))</f>
        <v>461E | 90MB1BJ0-C1BAY0 |  |  |  |  |  |  |  | uniq27</v>
      </c>
      <c r="AT27" s="63">
        <f>IF(NOT(AR27),IF(TRIM($H27)="","Assembly","Phantom Alt"),VLOOKUP(F27,ZPCS04!B:G,6,0))</f>
        <v>212</v>
      </c>
      <c r="AU27" s="7"/>
      <c r="AV27" s="38">
        <f ca="1">IF(TRIM($W27)="F",OFFSET($A$5,MATCH($AS27,$AS$5:$AS27,0)-1,0),$A27)</f>
        <v>27</v>
      </c>
      <c r="AW27" s="38">
        <f ca="1">IFERROR(OFFSET(ZPCS04!$A$1,MATCH(F27,ZPCS04!B:B,0)-1,0),100)</f>
        <v>1.9999999900000001</v>
      </c>
      <c r="AX27" s="7"/>
      <c r="AY27" s="6" t="b">
        <f>SUMIF(AS:AS,AS27,AP:AP)=100</f>
        <v>1</v>
      </c>
      <c r="AZ27" s="6" t="b">
        <f>SUMIF(AS:AS,AS27,AE:AE)/COUNTIF(AS:AS,AS27)=AE27</f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>C27&amp;" | "&amp;F27</f>
        <v>90MB1BJ0-C1BAY0 | 15100-25940000</v>
      </c>
      <c r="BE27" s="55" t="str">
        <f ca="1">C27&amp;" | "&amp;OFFSET($AF27,0,8-COUNTBLANK($AG27:$AN27))</f>
        <v>90MB1BJ0-C1BAY0 | 90MB1BJ0-C1BAY0</v>
      </c>
      <c r="BF27" s="57">
        <f ca="1">IFERROR(VLOOKUP($BE27,$BD$5:$BF26,3,0)*$AE27,VLOOKUP($C27,Demanda!$A:$B,2,0)*$AE27)*IF(AT27="Phantom Alt",$BC27,TRUE)</f>
        <v>1000</v>
      </c>
      <c r="BG27" s="57">
        <f ca="1">BF27*(AP27/100)</f>
        <v>1000</v>
      </c>
      <c r="BH27" s="57">
        <f>SUMIF(Invoice!A:A,F27,Invoice!B:B)</f>
        <v>1000</v>
      </c>
      <c r="BI27" s="57">
        <f ca="1">SUMIF(AS:AS,AS27,BG:BG)</f>
        <v>1000</v>
      </c>
      <c r="BJ27" s="57">
        <f ca="1">MIN((BI27-SUMIF($AS$5:AS26,AS27,$BJ$5:BJ26)),MAX(0,BH27-SUMIF($F$5:F26,F27,$BJ$5:BJ26)))</f>
        <v>1000</v>
      </c>
      <c r="BK27" s="57">
        <f ca="1">(-SUMIF(AS:AS,AS27,BG:BG)+SUMIF(AS:AS,AS27,BJ:BJ))*(AP27=100)*AR27</f>
        <v>0</v>
      </c>
      <c r="BL27" s="57">
        <f ca="1">MAX(0,SUMIF(Invoice!A:A,F27,Invoice!B:B)-SUMIF(F:F,F27,BJ:BJ))*(COUNTIF(F:F,F27)=COUNTIF($F$5:F27,F27))</f>
        <v>0</v>
      </c>
    </row>
    <row r="28" spans="1:64" hidden="1">
      <c r="A28" s="43">
        <v>28</v>
      </c>
      <c r="B28" s="35" t="s">
        <v>147</v>
      </c>
      <c r="C28" s="35" t="s">
        <v>146</v>
      </c>
      <c r="D28" s="35">
        <v>1</v>
      </c>
      <c r="E28" s="35">
        <v>180</v>
      </c>
      <c r="F28" s="64" t="s">
        <v>199</v>
      </c>
      <c r="G28" s="73" t="s">
        <v>200</v>
      </c>
      <c r="H28" s="35"/>
      <c r="I28" s="35" t="s">
        <v>54</v>
      </c>
      <c r="J28" s="35">
        <v>0</v>
      </c>
      <c r="K28" s="35" t="s">
        <v>150</v>
      </c>
      <c r="L28" s="35" t="s">
        <v>53</v>
      </c>
      <c r="M28" s="35">
        <v>1</v>
      </c>
      <c r="N28" s="35">
        <v>1</v>
      </c>
      <c r="O28" s="35">
        <v>1</v>
      </c>
      <c r="P28" s="35"/>
      <c r="Q28" s="35"/>
      <c r="R28" s="35" t="s">
        <v>73</v>
      </c>
      <c r="S28" s="35" t="s">
        <v>73</v>
      </c>
      <c r="T28" s="36">
        <v>36892</v>
      </c>
      <c r="U28" s="36">
        <v>2958465</v>
      </c>
      <c r="V28" s="35" t="s">
        <v>151</v>
      </c>
      <c r="W28" s="35" t="s">
        <v>145</v>
      </c>
      <c r="X28" s="35"/>
      <c r="Y28" s="35" t="s">
        <v>143</v>
      </c>
      <c r="Z28" s="35">
        <v>7589153</v>
      </c>
      <c r="AA28" s="35">
        <v>46</v>
      </c>
      <c r="AB28" s="35">
        <v>23</v>
      </c>
      <c r="AC28" s="35"/>
      <c r="AE28" s="51">
        <f>M28/O28</f>
        <v>1</v>
      </c>
      <c r="AG28" s="6" t="str">
        <f>C28</f>
        <v>90MB1BJ0-C1BAY0</v>
      </c>
      <c r="AH28" s="6" t="str">
        <f>IF($D28&lt;=AH$4,"",IF(AND($D27=AH$4,$D28&gt;AH$4),$F27,AH27))</f>
        <v/>
      </c>
      <c r="AI28" s="6" t="str">
        <f>IF($D28&lt;=AI$4,"",IF(AND($D27=AI$4,$D28&gt;AI$4),$F27,AI27))</f>
        <v/>
      </c>
      <c r="AJ28" s="6" t="str">
        <f>IF($D28&lt;=AJ$4,"",IF(AND($D27=AJ$4,$D28&gt;AJ$4),$F27,AJ27))</f>
        <v/>
      </c>
      <c r="AK28" s="6" t="str">
        <f>IF($D28&lt;=AK$4,"",IF(AND($D27=AK$4,$D28&gt;AK$4),$F27,AK27))</f>
        <v/>
      </c>
      <c r="AL28" s="6" t="str">
        <f>IF($D28&lt;=AL$4,"",IF(AND($D27=AL$4,$D28&gt;AL$4),$F27,AL27))</f>
        <v/>
      </c>
      <c r="AM28" s="6" t="str">
        <f>IF($D28&lt;=AM$4,"",IF(AND($D27=AM$4,$D28&gt;AM$4),$F27,AM27))</f>
        <v/>
      </c>
      <c r="AN28" s="6" t="str">
        <f>IF($D28&lt;=AN$4,"",IF(AND($D27=AN$4,$D28&gt;AN$4),$F27,AN27))</f>
        <v/>
      </c>
      <c r="AO28" s="6" t="str">
        <f>CONCATENATE(AG28," | ",AH28," | ",AI28," | ",AJ28," | ",AK28," | ",AL28," | ",AM28," | ",AN28)</f>
        <v xml:space="preserve">90MB1BJ0-C1BAY0 |  |  |  |  |  |  | </v>
      </c>
      <c r="AP28" s="6">
        <f>IF(TRIM(H28)="",100,J28)</f>
        <v>100</v>
      </c>
      <c r="AQ28" s="4"/>
      <c r="AR28" s="6" t="b">
        <f>NOT(TRIM(W28)&lt;&gt;"F")</f>
        <v>1</v>
      </c>
      <c r="AS28" s="6" t="str">
        <f>$B28&amp;" | "&amp;$AO28&amp;" | "&amp;IF(TRIM(H28)="","uniq"&amp;ROW(),TRIM(H28))</f>
        <v>461E | 90MB1BJ0-C1BAY0 |  |  |  |  |  |  |  | uniq28</v>
      </c>
      <c r="AT28" s="63">
        <f>IF(NOT(AR28),IF(TRIM($H28)="","Assembly","Phantom Alt"),VLOOKUP(F28,ZPCS04!B:G,6,0))</f>
        <v>209</v>
      </c>
      <c r="AU28" s="7"/>
      <c r="AV28" s="38">
        <f ca="1">IF(TRIM($W28)="F",OFFSET($A$5,MATCH($AS28,$AS$5:$AS28,0)-1,0),$A28)</f>
        <v>28</v>
      </c>
      <c r="AW28" s="38">
        <f ca="1">IFERROR(OFFSET(ZPCS04!$A$1,MATCH(F28,ZPCS04!B:B,0)-1,0),100)</f>
        <v>1.9999999900000001</v>
      </c>
      <c r="AX28" s="7"/>
      <c r="AY28" s="6" t="b">
        <f>SUMIF(AS:AS,AS28,AP:AP)=100</f>
        <v>1</v>
      </c>
      <c r="AZ28" s="6" t="b">
        <f>SUMIF(AS:AS,AS28,AE:AE)/COUNTIF(AS:AS,AS28)=AE28</f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>C28&amp;" | "&amp;F28</f>
        <v>90MB1BJ0-C1BAY0 | 15100-13991200</v>
      </c>
      <c r="BE28" s="55" t="str">
        <f ca="1">C28&amp;" | "&amp;OFFSET($AF28,0,8-COUNTBLANK($AG28:$AN28))</f>
        <v>90MB1BJ0-C1BAY0 | 90MB1BJ0-C1BAY0</v>
      </c>
      <c r="BF28" s="57">
        <f ca="1">IFERROR(VLOOKUP($BE28,$BD$5:$BF27,3,0)*$AE28,VLOOKUP($C28,Demanda!$A:$B,2,0)*$AE28)*IF(AT28="Phantom Alt",$BC28,TRUE)</f>
        <v>1000</v>
      </c>
      <c r="BG28" s="57">
        <f ca="1">BF28*(AP28/100)</f>
        <v>1000</v>
      </c>
      <c r="BH28" s="57">
        <f>SUMIF(Invoice!A:A,F28,Invoice!B:B)</f>
        <v>1000</v>
      </c>
      <c r="BI28" s="57">
        <f ca="1">SUMIF(AS:AS,AS28,BG:BG)</f>
        <v>1000</v>
      </c>
      <c r="BJ28" s="57">
        <f ca="1">MIN((BI28-SUMIF($AS$5:AS27,AS28,$BJ$5:BJ27)),MAX(0,BH28-SUMIF($F$5:F27,F28,$BJ$5:BJ27)))</f>
        <v>1000</v>
      </c>
      <c r="BK28" s="57">
        <f ca="1">(-SUMIF(AS:AS,AS28,BG:BG)+SUMIF(AS:AS,AS28,BJ:BJ))*(AP28=100)*AR28</f>
        <v>0</v>
      </c>
      <c r="BL28" s="57">
        <f ca="1">MAX(0,SUMIF(Invoice!A:A,F28,Invoice!B:B)-SUMIF(F:F,F28,BJ:BJ))*(COUNTIF(F:F,F28)=COUNTIF($F$5:F28,F28))</f>
        <v>0</v>
      </c>
    </row>
    <row r="29" spans="1:64" hidden="1">
      <c r="A29" s="43">
        <v>30</v>
      </c>
      <c r="B29" s="35" t="s">
        <v>147</v>
      </c>
      <c r="C29" s="35" t="s">
        <v>146</v>
      </c>
      <c r="D29" s="35">
        <v>1</v>
      </c>
      <c r="E29" s="35">
        <v>190</v>
      </c>
      <c r="F29" s="64" t="s">
        <v>204</v>
      </c>
      <c r="G29" s="73" t="s">
        <v>205</v>
      </c>
      <c r="H29" s="35" t="s">
        <v>203</v>
      </c>
      <c r="I29" s="35" t="s">
        <v>54</v>
      </c>
      <c r="J29" s="35">
        <v>100</v>
      </c>
      <c r="K29" s="35" t="s">
        <v>150</v>
      </c>
      <c r="L29" s="35" t="s">
        <v>53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73</v>
      </c>
      <c r="S29" s="35" t="s">
        <v>73</v>
      </c>
      <c r="T29" s="36">
        <v>36892</v>
      </c>
      <c r="U29" s="36">
        <v>2958465</v>
      </c>
      <c r="V29" s="35" t="s">
        <v>151</v>
      </c>
      <c r="W29" s="35" t="s">
        <v>145</v>
      </c>
      <c r="X29" s="35"/>
      <c r="Y29" s="35" t="s">
        <v>143</v>
      </c>
      <c r="Z29" s="35">
        <v>7589153</v>
      </c>
      <c r="AA29" s="35">
        <v>48</v>
      </c>
      <c r="AB29" s="35">
        <v>24</v>
      </c>
      <c r="AC29" s="35"/>
      <c r="AE29" s="51">
        <f>M29/O29</f>
        <v>1</v>
      </c>
      <c r="AG29" s="6" t="str">
        <f>C29</f>
        <v>90MB1BJ0-C1BAY0</v>
      </c>
      <c r="AH29" s="6" t="str">
        <f>IF($D29&lt;=AH$4,"",IF(AND($D28=AH$4,$D29&gt;AH$4),$F28,AH28))</f>
        <v/>
      </c>
      <c r="AI29" s="6" t="str">
        <f>IF($D29&lt;=AI$4,"",IF(AND($D28=AI$4,$D29&gt;AI$4),$F28,AI28))</f>
        <v/>
      </c>
      <c r="AJ29" s="6" t="str">
        <f>IF($D29&lt;=AJ$4,"",IF(AND($D28=AJ$4,$D29&gt;AJ$4),$F28,AJ28))</f>
        <v/>
      </c>
      <c r="AK29" s="6" t="str">
        <f>IF($D29&lt;=AK$4,"",IF(AND($D28=AK$4,$D29&gt;AK$4),$F28,AK28))</f>
        <v/>
      </c>
      <c r="AL29" s="6" t="str">
        <f>IF($D29&lt;=AL$4,"",IF(AND($D28=AL$4,$D29&gt;AL$4),$F28,AL28))</f>
        <v/>
      </c>
      <c r="AM29" s="6" t="str">
        <f>IF($D29&lt;=AM$4,"",IF(AND($D28=AM$4,$D29&gt;AM$4),$F28,AM28))</f>
        <v/>
      </c>
      <c r="AN29" s="6" t="str">
        <f>IF($D29&lt;=AN$4,"",IF(AND($D28=AN$4,$D29&gt;AN$4),$F28,AN28))</f>
        <v/>
      </c>
      <c r="AO29" s="6" t="str">
        <f>CONCATENATE(AG29," | ",AH29," | ",AI29," | ",AJ29," | ",AK29," | ",AL29," | ",AM29," | ",AN29)</f>
        <v xml:space="preserve">90MB1BJ0-C1BAY0 |  |  |  |  |  |  | </v>
      </c>
      <c r="AP29" s="6">
        <f>IF(TRIM(H29)="",100,J29)</f>
        <v>100</v>
      </c>
      <c r="AQ29" s="4"/>
      <c r="AR29" s="6" t="b">
        <f>NOT(TRIM(W29)&lt;&gt;"F")</f>
        <v>1</v>
      </c>
      <c r="AS29" s="6" t="str">
        <f>$B29&amp;" | "&amp;$AO29&amp;" | "&amp;IF(TRIM(H29)="","uniq"&amp;ROW(),TRIM(H29))</f>
        <v>461E | 90MB1BJ0-C1BAY0 |  |  |  |  |  |  |  | A5</v>
      </c>
      <c r="AT29" s="63">
        <f>IF(NOT(AR29),IF(TRIM($H29)="","Assembly","Phantom Alt"),VLOOKUP(F29,ZPCS04!B:G,6,0))</f>
        <v>1244</v>
      </c>
      <c r="AU29" s="7"/>
      <c r="AV29" s="38">
        <f ca="1">IF(TRIM($W29)="F",OFFSET($A$5,MATCH($AS29,$AS$5:$AS29,0)-1,0),$A29)</f>
        <v>30</v>
      </c>
      <c r="AW29" s="38">
        <f ca="1">IFERROR(OFFSET(ZPCS04!$A$1,MATCH(F29,ZPCS04!B:B,0)-1,0),100)</f>
        <v>1.9999999900000001</v>
      </c>
      <c r="AX29" s="7"/>
      <c r="AY29" s="6" t="b">
        <f>SUMIF(AS:AS,AS29,AP:AP)=100</f>
        <v>1</v>
      </c>
      <c r="AZ29" s="6" t="b">
        <f>SUMIF(AS:AS,AS29,AE:AE)/COUNTIF(AS:AS,AS29)=AE29</f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>C29&amp;" | "&amp;F29</f>
        <v>90MB1BJ0-C1BAY0 | 13021-00080100</v>
      </c>
      <c r="BE29" s="55" t="str">
        <f ca="1">C29&amp;" | "&amp;OFFSET($AF29,0,8-COUNTBLANK($AG29:$AN29))</f>
        <v>90MB1BJ0-C1BAY0 | 90MB1BJ0-C1BAY0</v>
      </c>
      <c r="BF29" s="57">
        <f ca="1">IFERROR(VLOOKUP($BE29,$BD$5:$BF28,3,0)*$AE29,VLOOKUP($C29,Demanda!$A:$B,2,0)*$AE29)*IF(AT29="Phantom Alt",$BC29,TRUE)</f>
        <v>1000</v>
      </c>
      <c r="BG29" s="57">
        <f ca="1">BF29*(AP29/100)</f>
        <v>1000</v>
      </c>
      <c r="BH29" s="57">
        <f>SUMIF(Invoice!A:A,F29,Invoice!B:B)</f>
        <v>1000</v>
      </c>
      <c r="BI29" s="57">
        <f ca="1">SUMIF(AS:AS,AS29,BG:BG)</f>
        <v>1000</v>
      </c>
      <c r="BJ29" s="57">
        <f ca="1">MIN((BI29-SUMIF($AS$5:AS28,AS29,$BJ$5:BJ28)),MAX(0,BH29-SUMIF($F$5:F28,F29,$BJ$5:BJ28)))</f>
        <v>1000</v>
      </c>
      <c r="BK29" s="57">
        <f ca="1">(-SUMIF(AS:AS,AS29,BG:BG)+SUMIF(AS:AS,AS29,BJ:BJ))*(AP29=100)*AR29</f>
        <v>0</v>
      </c>
      <c r="BL29" s="57">
        <f ca="1">MAX(0,SUMIF(Invoice!A:A,F29,Invoice!B:B)-SUMIF(F:F,F29,BJ:BJ))*(COUNTIF(F:F,F29)=COUNTIF($F$5:F29,F29))</f>
        <v>0</v>
      </c>
    </row>
    <row r="30" spans="1:64" ht="13.8" hidden="1" customHeight="1">
      <c r="A30" s="43">
        <v>29</v>
      </c>
      <c r="B30" s="35" t="s">
        <v>147</v>
      </c>
      <c r="C30" s="35" t="s">
        <v>146</v>
      </c>
      <c r="D30" s="35">
        <v>1</v>
      </c>
      <c r="E30" s="35">
        <v>190</v>
      </c>
      <c r="F30" s="64" t="s">
        <v>201</v>
      </c>
      <c r="G30" s="73" t="s">
        <v>202</v>
      </c>
      <c r="H30" s="35" t="s">
        <v>203</v>
      </c>
      <c r="I30" s="35" t="s">
        <v>55</v>
      </c>
      <c r="J30" s="35">
        <v>0</v>
      </c>
      <c r="K30" s="35" t="s">
        <v>150</v>
      </c>
      <c r="L30" s="35" t="s">
        <v>53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73</v>
      </c>
      <c r="S30" s="35" t="s">
        <v>73</v>
      </c>
      <c r="T30" s="36">
        <v>36892</v>
      </c>
      <c r="U30" s="36">
        <v>2958465</v>
      </c>
      <c r="V30" s="35" t="s">
        <v>151</v>
      </c>
      <c r="W30" s="35" t="s">
        <v>145</v>
      </c>
      <c r="X30" s="35"/>
      <c r="Y30" s="35" t="s">
        <v>143</v>
      </c>
      <c r="Z30" s="35">
        <v>7589153</v>
      </c>
      <c r="AA30" s="35">
        <v>50</v>
      </c>
      <c r="AB30" s="35">
        <v>25</v>
      </c>
      <c r="AC30" s="35"/>
      <c r="AE30" s="51">
        <f>M30/O30</f>
        <v>1</v>
      </c>
      <c r="AG30" s="6" t="str">
        <f>C30</f>
        <v>90MB1BJ0-C1BAY0</v>
      </c>
      <c r="AH30" s="6" t="str">
        <f>IF($D30&lt;=AH$4,"",IF(AND($D29=AH$4,$D30&gt;AH$4),$F29,AH29))</f>
        <v/>
      </c>
      <c r="AI30" s="6" t="str">
        <f>IF($D30&lt;=AI$4,"",IF(AND($D29=AI$4,$D30&gt;AI$4),$F29,AI29))</f>
        <v/>
      </c>
      <c r="AJ30" s="6" t="str">
        <f>IF($D30&lt;=AJ$4,"",IF(AND($D29=AJ$4,$D30&gt;AJ$4),$F29,AJ29))</f>
        <v/>
      </c>
      <c r="AK30" s="6" t="str">
        <f>IF($D30&lt;=AK$4,"",IF(AND($D29=AK$4,$D30&gt;AK$4),$F29,AK29))</f>
        <v/>
      </c>
      <c r="AL30" s="6" t="str">
        <f>IF($D30&lt;=AL$4,"",IF(AND($D29=AL$4,$D30&gt;AL$4),$F29,AL29))</f>
        <v/>
      </c>
      <c r="AM30" s="6" t="str">
        <f>IF($D30&lt;=AM$4,"",IF(AND($D29=AM$4,$D30&gt;AM$4),$F29,AM29))</f>
        <v/>
      </c>
      <c r="AN30" s="6" t="str">
        <f>IF($D30&lt;=AN$4,"",IF(AND($D29=AN$4,$D30&gt;AN$4),$F29,AN29))</f>
        <v/>
      </c>
      <c r="AO30" s="6" t="str">
        <f>CONCATENATE(AG30," | ",AH30," | ",AI30," | ",AJ30," | ",AK30," | ",AL30," | ",AM30," | ",AN30)</f>
        <v xml:space="preserve">90MB1BJ0-C1BAY0 |  |  |  |  |  |  | </v>
      </c>
      <c r="AP30" s="6">
        <f>IF(TRIM(H30)="",100,J30)</f>
        <v>0</v>
      </c>
      <c r="AQ30" s="4"/>
      <c r="AR30" s="6" t="b">
        <f>NOT(TRIM(W30)&lt;&gt;"F")</f>
        <v>1</v>
      </c>
      <c r="AS30" s="6" t="str">
        <f>$B30&amp;" | "&amp;$AO30&amp;" | "&amp;IF(TRIM(H30)="","uniq"&amp;ROW(),TRIM(H30))</f>
        <v>461E | 90MB1BJ0-C1BAY0 |  |  |  |  |  |  |  | A5</v>
      </c>
      <c r="AT30" s="63">
        <f>IF(NOT(AR30),IF(TRIM($H30)="","Assembly","Phantom Alt"),VLOOKUP(F30,ZPCS04!B:G,6,0))</f>
        <v>1244</v>
      </c>
      <c r="AU30" s="7"/>
      <c r="AV30" s="38">
        <f ca="1">IF(TRIM($W30)="F",OFFSET($A$5,MATCH($AS30,$AS$5:$AS30,0)-1,0),$A30)</f>
        <v>30</v>
      </c>
      <c r="AW30" s="38">
        <f ca="1">IFERROR(OFFSET(ZPCS04!$A$1,MATCH(F30,ZPCS04!B:B,0)-1,0),100)</f>
        <v>2</v>
      </c>
      <c r="AX30" s="7"/>
      <c r="AY30" s="6" t="b">
        <f>SUMIF(AS:AS,AS30,AP:AP)=100</f>
        <v>1</v>
      </c>
      <c r="AZ30" s="6" t="b">
        <f>SUMIF(AS:AS,AS30,AE:AE)/COUNTIF(AS:AS,AS30)=AE30</f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>C30&amp;" | "&amp;F30</f>
        <v>90MB1BJ0-C1BAY0 | 13021-00080000</v>
      </c>
      <c r="BE30" s="55" t="str">
        <f ca="1">C30&amp;" | "&amp;OFFSET($AF30,0,8-COUNTBLANK($AG30:$AN30))</f>
        <v>90MB1BJ0-C1BAY0 | 90MB1BJ0-C1BAY0</v>
      </c>
      <c r="BF30" s="57">
        <f ca="1">IFERROR(VLOOKUP($BE30,$BD$5:$BF29,3,0)*$AE30,VLOOKUP($C30,Demanda!$A:$B,2,0)*$AE30)*IF(AT30="Phantom Alt",$BC30,TRUE)</f>
        <v>1000</v>
      </c>
      <c r="BG30" s="57">
        <f ca="1">BF30*(AP30/100)</f>
        <v>0</v>
      </c>
      <c r="BH30" s="57">
        <f>SUMIF(Invoice!A:A,F30,Invoice!B:B)</f>
        <v>0</v>
      </c>
      <c r="BI30" s="57">
        <f ca="1">SUMIF(AS:AS,AS30,BG:BG)</f>
        <v>1000</v>
      </c>
      <c r="BJ30" s="57">
        <f ca="1">MIN((BI30-SUMIF($AS$5:AS29,AS30,$BJ$5:BJ29)),MAX(0,BH30-SUMIF($F$5:F29,F30,$BJ$5:BJ29)))</f>
        <v>0</v>
      </c>
      <c r="BK30" s="57">
        <f ca="1">(-SUMIF(AS:AS,AS30,BG:BG)+SUMIF(AS:AS,AS30,BJ:BJ))*(AP30=100)*AR30</f>
        <v>0</v>
      </c>
      <c r="BL30" s="57">
        <f ca="1">MAX(0,SUMIF(Invoice!A:A,F30,Invoice!B:B)-SUMIF(F:F,F30,BJ:BJ))*(COUNTIF(F:F,F30)=COUNTIF($F$5:F30,F30))</f>
        <v>0</v>
      </c>
    </row>
    <row r="31" spans="1:64" ht="13.8" hidden="1" customHeight="1">
      <c r="A31" s="43">
        <v>31</v>
      </c>
      <c r="B31" s="35" t="s">
        <v>147</v>
      </c>
      <c r="C31" s="35" t="s">
        <v>146</v>
      </c>
      <c r="D31" s="35">
        <v>1</v>
      </c>
      <c r="E31" s="35">
        <v>200</v>
      </c>
      <c r="F31" s="64" t="s">
        <v>206</v>
      </c>
      <c r="G31" s="73" t="s">
        <v>207</v>
      </c>
      <c r="H31" s="35" t="s">
        <v>208</v>
      </c>
      <c r="I31" s="35" t="s">
        <v>54</v>
      </c>
      <c r="J31" s="35">
        <v>100</v>
      </c>
      <c r="K31" s="35" t="s">
        <v>150</v>
      </c>
      <c r="L31" s="35" t="s">
        <v>53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73</v>
      </c>
      <c r="S31" s="35" t="s">
        <v>73</v>
      </c>
      <c r="T31" s="36">
        <v>36892</v>
      </c>
      <c r="U31" s="36">
        <v>2958465</v>
      </c>
      <c r="V31" s="35" t="s">
        <v>151</v>
      </c>
      <c r="W31" s="35" t="s">
        <v>145</v>
      </c>
      <c r="X31" s="35"/>
      <c r="Y31" s="35" t="s">
        <v>143</v>
      </c>
      <c r="Z31" s="35">
        <v>7589153</v>
      </c>
      <c r="AA31" s="35">
        <v>52</v>
      </c>
      <c r="AB31" s="35">
        <v>26</v>
      </c>
      <c r="AC31" s="35"/>
      <c r="AE31" s="51">
        <f>M31/O31</f>
        <v>1</v>
      </c>
      <c r="AG31" s="6" t="str">
        <f>C31</f>
        <v>90MB1BJ0-C1BAY0</v>
      </c>
      <c r="AH31" s="6" t="str">
        <f>IF($D31&lt;=AH$4,"",IF(AND($D30=AH$4,$D31&gt;AH$4),$F30,AH30))</f>
        <v/>
      </c>
      <c r="AI31" s="6" t="str">
        <f>IF($D31&lt;=AI$4,"",IF(AND($D30=AI$4,$D31&gt;AI$4),$F30,AI30))</f>
        <v/>
      </c>
      <c r="AJ31" s="6" t="str">
        <f>IF($D31&lt;=AJ$4,"",IF(AND($D30=AJ$4,$D31&gt;AJ$4),$F30,AJ30))</f>
        <v/>
      </c>
      <c r="AK31" s="6" t="str">
        <f>IF($D31&lt;=AK$4,"",IF(AND($D30=AK$4,$D31&gt;AK$4),$F30,AK30))</f>
        <v/>
      </c>
      <c r="AL31" s="6" t="str">
        <f>IF($D31&lt;=AL$4,"",IF(AND($D30=AL$4,$D31&gt;AL$4),$F30,AL30))</f>
        <v/>
      </c>
      <c r="AM31" s="6" t="str">
        <f>IF($D31&lt;=AM$4,"",IF(AND($D30=AM$4,$D31&gt;AM$4),$F30,AM30))</f>
        <v/>
      </c>
      <c r="AN31" s="6" t="str">
        <f>IF($D31&lt;=AN$4,"",IF(AND($D30=AN$4,$D31&gt;AN$4),$F30,AN30))</f>
        <v/>
      </c>
      <c r="AO31" s="6" t="str">
        <f>CONCATENATE(AG31," | ",AH31," | ",AI31," | ",AJ31," | ",AK31," | ",AL31," | ",AM31," | ",AN31)</f>
        <v xml:space="preserve">90MB1BJ0-C1BAY0 |  |  |  |  |  |  | </v>
      </c>
      <c r="AP31" s="6">
        <f>IF(TRIM(H31)="",100,J31)</f>
        <v>100</v>
      </c>
      <c r="AQ31" s="4"/>
      <c r="AR31" s="6" t="b">
        <f>NOT(TRIM(W31)&lt;&gt;"F")</f>
        <v>1</v>
      </c>
      <c r="AS31" s="6" t="str">
        <f>$B31&amp;" | "&amp;$AO31&amp;" | "&amp;IF(TRIM(H31)="","uniq"&amp;ROW(),TRIM(H31))</f>
        <v>461E | 90MB1BJ0-C1BAY0 |  |  |  |  |  |  |  | A6</v>
      </c>
      <c r="AT31" s="63">
        <f>IF(NOT(AR31),IF(TRIM($H31)="","Assembly","Phantom Alt"),VLOOKUP(F31,ZPCS04!B:G,6,0))</f>
        <v>1245</v>
      </c>
      <c r="AU31" s="7"/>
      <c r="AV31" s="38">
        <f ca="1">IF(TRIM($W31)="F",OFFSET($A$5,MATCH($AS31,$AS$5:$AS31,0)-1,0),$A31)</f>
        <v>31</v>
      </c>
      <c r="AW31" s="38">
        <f ca="1">IFERROR(OFFSET(ZPCS04!$A$1,MATCH(F31,ZPCS04!B:B,0)-1,0),100)</f>
        <v>1.9999999900000001</v>
      </c>
      <c r="AX31" s="7"/>
      <c r="AY31" s="6" t="b">
        <f>SUMIF(AS:AS,AS31,AP:AP)=100</f>
        <v>1</v>
      </c>
      <c r="AZ31" s="6" t="b">
        <f>SUMIF(AS:AS,AS31,AE:AE)/COUNTIF(AS:AS,AS31)=AE31</f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>C31&amp;" | "&amp;F31</f>
        <v>90MB1BJ0-C1BAY0 | 13010-04790000</v>
      </c>
      <c r="BE31" s="55" t="str">
        <f ca="1">C31&amp;" | "&amp;OFFSET($AF31,0,8-COUNTBLANK($AG31:$AN31))</f>
        <v>90MB1BJ0-C1BAY0 | 90MB1BJ0-C1BAY0</v>
      </c>
      <c r="BF31" s="57">
        <f ca="1">IFERROR(VLOOKUP($BE31,$BD$5:$BF30,3,0)*$AE31,VLOOKUP($C31,Demanda!$A:$B,2,0)*$AE31)*IF(AT31="Phantom Alt",$BC31,TRUE)</f>
        <v>1000</v>
      </c>
      <c r="BG31" s="57">
        <f ca="1">BF31*(AP31/100)</f>
        <v>1000</v>
      </c>
      <c r="BH31" s="57">
        <f>SUMIF(Invoice!A:A,F31,Invoice!B:B)</f>
        <v>1000</v>
      </c>
      <c r="BI31" s="57">
        <f ca="1">SUMIF(AS:AS,AS31,BG:BG)</f>
        <v>1000</v>
      </c>
      <c r="BJ31" s="57">
        <f ca="1">MIN((BI31-SUMIF($AS$5:AS30,AS31,$BJ$5:BJ30)),MAX(0,BH31-SUMIF($F$5:F30,F31,$BJ$5:BJ30)))</f>
        <v>1000</v>
      </c>
      <c r="BK31" s="57">
        <f ca="1">(-SUMIF(AS:AS,AS31,BG:BG)+SUMIF(AS:AS,AS31,BJ:BJ))*(AP31=100)*AR31</f>
        <v>0</v>
      </c>
      <c r="BL31" s="57">
        <f ca="1">MAX(0,SUMIF(Invoice!A:A,F31,Invoice!B:B)-SUMIF(F:F,F31,BJ:BJ))*(COUNTIF(F:F,F31)=COUNTIF($F$5:F31,F31))</f>
        <v>0</v>
      </c>
    </row>
    <row r="32" spans="1:64" ht="13.8" hidden="1" customHeight="1">
      <c r="A32" s="43">
        <v>32</v>
      </c>
      <c r="B32" s="35" t="s">
        <v>147</v>
      </c>
      <c r="C32" s="35" t="s">
        <v>146</v>
      </c>
      <c r="D32" s="35">
        <v>1</v>
      </c>
      <c r="E32" s="35">
        <v>200</v>
      </c>
      <c r="F32" s="64" t="s">
        <v>209</v>
      </c>
      <c r="G32" s="73" t="s">
        <v>210</v>
      </c>
      <c r="H32" s="35" t="s">
        <v>208</v>
      </c>
      <c r="I32" s="35" t="s">
        <v>55</v>
      </c>
      <c r="J32" s="35">
        <v>0</v>
      </c>
      <c r="K32" s="35" t="s">
        <v>150</v>
      </c>
      <c r="L32" s="35" t="s">
        <v>53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73</v>
      </c>
      <c r="S32" s="35" t="s">
        <v>73</v>
      </c>
      <c r="T32" s="36">
        <v>36892</v>
      </c>
      <c r="U32" s="36">
        <v>2958465</v>
      </c>
      <c r="V32" s="35" t="s">
        <v>151</v>
      </c>
      <c r="W32" s="35" t="s">
        <v>145</v>
      </c>
      <c r="X32" s="35"/>
      <c r="Y32" s="35" t="s">
        <v>143</v>
      </c>
      <c r="Z32" s="35">
        <v>7589153</v>
      </c>
      <c r="AA32" s="35">
        <v>54</v>
      </c>
      <c r="AB32" s="35">
        <v>27</v>
      </c>
      <c r="AC32" s="35"/>
      <c r="AE32" s="51">
        <f>M32/O32</f>
        <v>1</v>
      </c>
      <c r="AG32" s="6" t="str">
        <f>C32</f>
        <v>90MB1BJ0-C1BAY0</v>
      </c>
      <c r="AH32" s="6" t="str">
        <f>IF($D32&lt;=AH$4,"",IF(AND($D31=AH$4,$D32&gt;AH$4),$F31,AH31))</f>
        <v/>
      </c>
      <c r="AI32" s="6" t="str">
        <f>IF($D32&lt;=AI$4,"",IF(AND($D31=AI$4,$D32&gt;AI$4),$F31,AI31))</f>
        <v/>
      </c>
      <c r="AJ32" s="6" t="str">
        <f>IF($D32&lt;=AJ$4,"",IF(AND($D31=AJ$4,$D32&gt;AJ$4),$F31,AJ31))</f>
        <v/>
      </c>
      <c r="AK32" s="6" t="str">
        <f>IF($D32&lt;=AK$4,"",IF(AND($D31=AK$4,$D32&gt;AK$4),$F31,AK31))</f>
        <v/>
      </c>
      <c r="AL32" s="6" t="str">
        <f>IF($D32&lt;=AL$4,"",IF(AND($D31=AL$4,$D32&gt;AL$4),$F31,AL31))</f>
        <v/>
      </c>
      <c r="AM32" s="6" t="str">
        <f>IF($D32&lt;=AM$4,"",IF(AND($D31=AM$4,$D32&gt;AM$4),$F31,AM31))</f>
        <v/>
      </c>
      <c r="AN32" s="6" t="str">
        <f>IF($D32&lt;=AN$4,"",IF(AND($D31=AN$4,$D32&gt;AN$4),$F31,AN31))</f>
        <v/>
      </c>
      <c r="AO32" s="6" t="str">
        <f>CONCATENATE(AG32," | ",AH32," | ",AI32," | ",AJ32," | ",AK32," | ",AL32," | ",AM32," | ",AN32)</f>
        <v xml:space="preserve">90MB1BJ0-C1BAY0 |  |  |  |  |  |  | </v>
      </c>
      <c r="AP32" s="6">
        <f>IF(TRIM(H32)="",100,J32)</f>
        <v>0</v>
      </c>
      <c r="AQ32" s="4"/>
      <c r="AR32" s="6" t="b">
        <f>NOT(TRIM(W32)&lt;&gt;"F")</f>
        <v>1</v>
      </c>
      <c r="AS32" s="6" t="str">
        <f>$B32&amp;" | "&amp;$AO32&amp;" | "&amp;IF(TRIM(H32)="","uniq"&amp;ROW(),TRIM(H32))</f>
        <v>461E | 90MB1BJ0-C1BAY0 |  |  |  |  |  |  |  | A6</v>
      </c>
      <c r="AT32" s="63">
        <f>IF(NOT(AR32),IF(TRIM($H32)="","Assembly","Phantom Alt"),VLOOKUP(F32,ZPCS04!B:G,6,0))</f>
        <v>1245</v>
      </c>
      <c r="AU32" s="7"/>
      <c r="AV32" s="38">
        <f ca="1">IF(TRIM($W32)="F",OFFSET($A$5,MATCH($AS32,$AS$5:$AS32,0)-1,0),$A32)</f>
        <v>31</v>
      </c>
      <c r="AW32" s="38">
        <f ca="1">IFERROR(OFFSET(ZPCS04!$A$1,MATCH(F32,ZPCS04!B:B,0)-1,0),100)</f>
        <v>2</v>
      </c>
      <c r="AX32" s="7"/>
      <c r="AY32" s="6" t="b">
        <f>SUMIF(AS:AS,AS32,AP:AP)=100</f>
        <v>1</v>
      </c>
      <c r="AZ32" s="6" t="b">
        <f>SUMIF(AS:AS,AS32,AE:AE)/COUNTIF(AS:AS,AS32)=AE32</f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>C32&amp;" | "&amp;F32</f>
        <v>90MB1BJ0-C1BAY0 | 13010-04790100</v>
      </c>
      <c r="BE32" s="55" t="str">
        <f ca="1">C32&amp;" | "&amp;OFFSET($AF32,0,8-COUNTBLANK($AG32:$AN32))</f>
        <v>90MB1BJ0-C1BAY0 | 90MB1BJ0-C1BAY0</v>
      </c>
      <c r="BF32" s="57">
        <f ca="1">IFERROR(VLOOKUP($BE32,$BD$5:$BF31,3,0)*$AE32,VLOOKUP($C32,Demanda!$A:$B,2,0)*$AE32)*IF(AT32="Phantom Alt",$BC32,TRUE)</f>
        <v>1000</v>
      </c>
      <c r="BG32" s="57">
        <f ca="1">BF32*(AP32/100)</f>
        <v>0</v>
      </c>
      <c r="BH32" s="57">
        <f>SUMIF(Invoice!A:A,F32,Invoice!B:B)</f>
        <v>0</v>
      </c>
      <c r="BI32" s="57">
        <f ca="1">SUMIF(AS:AS,AS32,BG:BG)</f>
        <v>1000</v>
      </c>
      <c r="BJ32" s="57">
        <f ca="1">MIN((BI32-SUMIF($AS$5:AS31,AS32,$BJ$5:BJ31)),MAX(0,BH32-SUMIF($F$5:F31,F32,$BJ$5:BJ31)))</f>
        <v>0</v>
      </c>
      <c r="BK32" s="57">
        <f ca="1">(-SUMIF(AS:AS,AS32,BG:BG)+SUMIF(AS:AS,AS32,BJ:BJ))*(AP32=100)*AR32</f>
        <v>0</v>
      </c>
      <c r="BL32" s="57">
        <f ca="1">MAX(0,SUMIF(Invoice!A:A,F32,Invoice!B:B)-SUMIF(F:F,F32,BJ:BJ))*(COUNTIF(F:F,F32)=COUNTIF($F$5:F32,F32))</f>
        <v>0</v>
      </c>
    </row>
    <row r="33" spans="1:64" hidden="1">
      <c r="A33" s="43">
        <v>34</v>
      </c>
      <c r="B33" s="35" t="s">
        <v>147</v>
      </c>
      <c r="C33" s="35" t="s">
        <v>146</v>
      </c>
      <c r="D33" s="35">
        <v>1</v>
      </c>
      <c r="E33" s="35">
        <v>210</v>
      </c>
      <c r="F33" s="64" t="s">
        <v>215</v>
      </c>
      <c r="G33" s="73" t="s">
        <v>216</v>
      </c>
      <c r="H33" s="35" t="s">
        <v>213</v>
      </c>
      <c r="I33" s="35" t="s">
        <v>54</v>
      </c>
      <c r="J33" s="35">
        <v>100</v>
      </c>
      <c r="K33" s="35" t="s">
        <v>150</v>
      </c>
      <c r="L33" s="35" t="s">
        <v>53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73</v>
      </c>
      <c r="S33" s="35" t="s">
        <v>73</v>
      </c>
      <c r="T33" s="36">
        <v>36892</v>
      </c>
      <c r="U33" s="36">
        <v>2958465</v>
      </c>
      <c r="V33" s="35" t="s">
        <v>151</v>
      </c>
      <c r="W33" s="35" t="s">
        <v>145</v>
      </c>
      <c r="X33" s="35"/>
      <c r="Y33" s="35" t="s">
        <v>143</v>
      </c>
      <c r="Z33" s="35">
        <v>7589153</v>
      </c>
      <c r="AA33" s="35">
        <v>56</v>
      </c>
      <c r="AB33" s="35">
        <v>28</v>
      </c>
      <c r="AC33" s="35"/>
      <c r="AE33" s="51">
        <f>M33/O33</f>
        <v>1</v>
      </c>
      <c r="AG33" s="6" t="str">
        <f>C33</f>
        <v>90MB1BJ0-C1BAY0</v>
      </c>
      <c r="AH33" s="6" t="str">
        <f>IF($D33&lt;=AH$4,"",IF(AND($D32=AH$4,$D33&gt;AH$4),$F32,AH32))</f>
        <v/>
      </c>
      <c r="AI33" s="6" t="str">
        <f>IF($D33&lt;=AI$4,"",IF(AND($D32=AI$4,$D33&gt;AI$4),$F32,AI32))</f>
        <v/>
      </c>
      <c r="AJ33" s="6" t="str">
        <f>IF($D33&lt;=AJ$4,"",IF(AND($D32=AJ$4,$D33&gt;AJ$4),$F32,AJ32))</f>
        <v/>
      </c>
      <c r="AK33" s="6" t="str">
        <f>IF($D33&lt;=AK$4,"",IF(AND($D32=AK$4,$D33&gt;AK$4),$F32,AK32))</f>
        <v/>
      </c>
      <c r="AL33" s="6" t="str">
        <f>IF($D33&lt;=AL$4,"",IF(AND($D32=AL$4,$D33&gt;AL$4),$F32,AL32))</f>
        <v/>
      </c>
      <c r="AM33" s="6" t="str">
        <f>IF($D33&lt;=AM$4,"",IF(AND($D32=AM$4,$D33&gt;AM$4),$F32,AM32))</f>
        <v/>
      </c>
      <c r="AN33" s="6" t="str">
        <f>IF($D33&lt;=AN$4,"",IF(AND($D32=AN$4,$D33&gt;AN$4),$F32,AN32))</f>
        <v/>
      </c>
      <c r="AO33" s="6" t="str">
        <f>CONCATENATE(AG33," | ",AH33," | ",AI33," | ",AJ33," | ",AK33," | ",AL33," | ",AM33," | ",AN33)</f>
        <v xml:space="preserve">90MB1BJ0-C1BAY0 |  |  |  |  |  |  | </v>
      </c>
      <c r="AP33" s="6">
        <f>IF(TRIM(H33)="",100,J33)</f>
        <v>100</v>
      </c>
      <c r="AQ33" s="4"/>
      <c r="AR33" s="6" t="b">
        <f>NOT(TRIM(W33)&lt;&gt;"F")</f>
        <v>1</v>
      </c>
      <c r="AS33" s="6" t="str">
        <f>$B33&amp;" | "&amp;$AO33&amp;" | "&amp;IF(TRIM(H33)="","uniq"&amp;ROW(),TRIM(H33))</f>
        <v>461E | 90MB1BJ0-C1BAY0 |  |  |  |  |  |  |  | A7</v>
      </c>
      <c r="AT33" s="63">
        <f>IF(NOT(AR33),IF(TRIM($H33)="","Assembly","Phantom Alt"),VLOOKUP(F33,ZPCS04!B:G,6,0))</f>
        <v>584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1.999999978</v>
      </c>
      <c r="AX33" s="7"/>
      <c r="AY33" s="6" t="b">
        <f>SUMIF(AS:AS,AS33,AP:AP)=100</f>
        <v>1</v>
      </c>
      <c r="AZ33" s="6" t="b">
        <f>SUMIF(AS:AS,AS33,AE:AE)/COUNTIF(AS:AS,AS33)=AE33</f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>C33&amp;" | "&amp;F33</f>
        <v>90MB1BJ0-C1BAY0 | 0B001-00010300</v>
      </c>
      <c r="BE33" s="55" t="str">
        <f ca="1">C33&amp;" | "&amp;OFFSET($AF33,0,8-COUNTBLANK($AG33:$AN33))</f>
        <v>90MB1BJ0-C1BAY0 | 90MB1BJ0-C1BAY0</v>
      </c>
      <c r="BF33" s="57">
        <f ca="1">IFERROR(VLOOKUP($BE33,$BD$5:$BF32,3,0)*$AE33,VLOOKUP($C33,Demanda!$A:$B,2,0)*$AE33)*IF(AT33="Phantom Alt",$BC33,TRUE)</f>
        <v>1000</v>
      </c>
      <c r="BG33" s="57">
        <f ca="1">BF33*(AP33/100)</f>
        <v>1000</v>
      </c>
      <c r="BH33" s="57">
        <f>SUMIF(Invoice!A:A,F33,Invoice!B:B)</f>
        <v>2200</v>
      </c>
      <c r="BI33" s="57">
        <f ca="1">SUMIF(AS:AS,AS33,BG:BG)</f>
        <v>1000</v>
      </c>
      <c r="BJ33" s="57">
        <f ca="1">MIN((BI33-SUMIF($AS$5:AS32,AS33,$BJ$5:BJ32)),MAX(0,BH33-SUMIF($F$5:F32,F33,$BJ$5:BJ32)))</f>
        <v>1000</v>
      </c>
      <c r="BK33" s="57">
        <f ca="1">(-SUMIF(AS:AS,AS33,BG:BG)+SUMIF(AS:AS,AS33,BJ:BJ))*(AP33=100)*AR33</f>
        <v>0</v>
      </c>
      <c r="BL33" s="57">
        <f ca="1">MAX(0,SUMIF(Invoice!A:A,F33,Invoice!B:B)-SUMIF(F:F,F33,BJ:BJ))*(COUNTIF(F:F,F33)=COUNTIF($F$5:F33,F33))</f>
        <v>1200</v>
      </c>
    </row>
    <row r="34" spans="1:64" hidden="1">
      <c r="A34" s="43">
        <v>33</v>
      </c>
      <c r="B34" s="35" t="s">
        <v>147</v>
      </c>
      <c r="C34" s="35" t="s">
        <v>146</v>
      </c>
      <c r="D34" s="35">
        <v>1</v>
      </c>
      <c r="E34" s="35">
        <v>210</v>
      </c>
      <c r="F34" s="64" t="s">
        <v>211</v>
      </c>
      <c r="G34" s="73" t="s">
        <v>212</v>
      </c>
      <c r="H34" s="35" t="s">
        <v>213</v>
      </c>
      <c r="I34" s="35" t="s">
        <v>55</v>
      </c>
      <c r="J34" s="35">
        <v>0</v>
      </c>
      <c r="K34" s="35" t="s">
        <v>214</v>
      </c>
      <c r="L34" s="35" t="s">
        <v>53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122</v>
      </c>
      <c r="S34" s="35" t="s">
        <v>122</v>
      </c>
      <c r="T34" s="36">
        <v>36892</v>
      </c>
      <c r="U34" s="36">
        <v>2958465</v>
      </c>
      <c r="V34" s="35" t="s">
        <v>151</v>
      </c>
      <c r="W34" s="35" t="s">
        <v>145</v>
      </c>
      <c r="X34" s="35"/>
      <c r="Y34" s="35" t="s">
        <v>143</v>
      </c>
      <c r="Z34" s="35">
        <v>7589153</v>
      </c>
      <c r="AA34" s="35">
        <v>58</v>
      </c>
      <c r="AB34" s="35">
        <v>29</v>
      </c>
      <c r="AC34" s="35"/>
      <c r="AE34" s="51">
        <f>M34/O34</f>
        <v>1</v>
      </c>
      <c r="AG34" s="6" t="str">
        <f>C34</f>
        <v>90MB1BJ0-C1BAY0</v>
      </c>
      <c r="AH34" s="6" t="str">
        <f>IF($D34&lt;=AH$4,"",IF(AND($D33=AH$4,$D34&gt;AH$4),$F33,AH33))</f>
        <v/>
      </c>
      <c r="AI34" s="6" t="str">
        <f>IF($D34&lt;=AI$4,"",IF(AND($D33=AI$4,$D34&gt;AI$4),$F33,AI33))</f>
        <v/>
      </c>
      <c r="AJ34" s="6" t="str">
        <f>IF($D34&lt;=AJ$4,"",IF(AND($D33=AJ$4,$D34&gt;AJ$4),$F33,AJ33))</f>
        <v/>
      </c>
      <c r="AK34" s="6" t="str">
        <f>IF($D34&lt;=AK$4,"",IF(AND($D33=AK$4,$D34&gt;AK$4),$F33,AK33))</f>
        <v/>
      </c>
      <c r="AL34" s="6" t="str">
        <f>IF($D34&lt;=AL$4,"",IF(AND($D33=AL$4,$D34&gt;AL$4),$F33,AL33))</f>
        <v/>
      </c>
      <c r="AM34" s="6" t="str">
        <f>IF($D34&lt;=AM$4,"",IF(AND($D33=AM$4,$D34&gt;AM$4),$F33,AM33))</f>
        <v/>
      </c>
      <c r="AN34" s="6" t="str">
        <f>IF($D34&lt;=AN$4,"",IF(AND($D33=AN$4,$D34&gt;AN$4),$F33,AN33))</f>
        <v/>
      </c>
      <c r="AO34" s="6" t="str">
        <f>CONCATENATE(AG34," | ",AH34," | ",AI34," | ",AJ34," | ",AK34," | ",AL34," | ",AM34," | ",AN34)</f>
        <v xml:space="preserve">90MB1BJ0-C1BAY0 |  |  |  |  |  |  | </v>
      </c>
      <c r="AP34" s="6">
        <f>IF(TRIM(H34)="",100,J34)</f>
        <v>0</v>
      </c>
      <c r="AQ34" s="4"/>
      <c r="AR34" s="6" t="b">
        <f>NOT(TRIM(W34)&lt;&gt;"F")</f>
        <v>1</v>
      </c>
      <c r="AS34" s="6" t="str">
        <f>$B34&amp;" | "&amp;$AO34&amp;" | "&amp;IF(TRIM(H34)="","uniq"&amp;ROW(),TRIM(H34))</f>
        <v>461E | 90MB1BJ0-C1BAY0 |  |  |  |  |  |  |  | A7</v>
      </c>
      <c r="AT34" s="63">
        <f>IF(NOT(AR34),IF(TRIM($H34)="","Assembly","Phantom Alt"),VLOOKUP(F34,ZPCS04!B:G,6,0))</f>
        <v>584</v>
      </c>
      <c r="AU34" s="7"/>
      <c r="AV34" s="38">
        <f ca="1">IF(TRIM($W34)="F",OFFSET($A$5,MATCH($AS34,$AS$5:$AS34,0)-1,0),$A34)</f>
        <v>34</v>
      </c>
      <c r="AW34" s="38">
        <f ca="1">IFERROR(OFFSET(ZPCS04!$A$1,MATCH(F34,ZPCS04!B:B,0)-1,0),100)</f>
        <v>2</v>
      </c>
      <c r="AX34" s="7"/>
      <c r="AY34" s="6" t="b">
        <f>SUMIF(AS:AS,AS34,AP:AP)=100</f>
        <v>1</v>
      </c>
      <c r="AZ34" s="6" t="b">
        <f>SUMIF(AS:AS,AS34,AE:AE)/COUNTIF(AS:AS,AS34)=AE34</f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>C34&amp;" | "&amp;F34</f>
        <v>90MB1BJ0-C1BAY0 | 07G016402032</v>
      </c>
      <c r="BE34" s="55" t="str">
        <f ca="1">C34&amp;" | "&amp;OFFSET($AF34,0,8-COUNTBLANK($AG34:$AN34))</f>
        <v>90MB1BJ0-C1BAY0 | 90MB1BJ0-C1BAY0</v>
      </c>
      <c r="BF34" s="57">
        <f ca="1">IFERROR(VLOOKUP($BE34,$BD$5:$BF33,3,0)*$AE34,VLOOKUP($C34,Demanda!$A:$B,2,0)*$AE34)*IF(AT34="Phantom Alt",$BC34,TRUE)</f>
        <v>1000</v>
      </c>
      <c r="BG34" s="57">
        <f ca="1">BF34*(AP34/100)</f>
        <v>0</v>
      </c>
      <c r="BH34" s="57">
        <f>SUMIF(Invoice!A:A,F34,Invoice!B:B)</f>
        <v>0</v>
      </c>
      <c r="BI34" s="57">
        <f ca="1">SUMIF(AS:AS,AS34,BG:BG)</f>
        <v>1000</v>
      </c>
      <c r="BJ34" s="57">
        <f ca="1">MIN((BI34-SUMIF($AS$5:AS33,AS34,$BJ$5:BJ33)),MAX(0,BH34-SUMIF($F$5:F33,F34,$BJ$5:BJ33)))</f>
        <v>0</v>
      </c>
      <c r="BK34" s="57">
        <f ca="1">(-SUMIF(AS:AS,AS34,BG:BG)+SUMIF(AS:AS,AS34,BJ:BJ))*(AP34=100)*AR34</f>
        <v>0</v>
      </c>
      <c r="BL34" s="57">
        <f ca="1">MAX(0,SUMIF(Invoice!A:A,F34,Invoice!B:B)-SUMIF(F:F,F34,BJ:BJ))*(COUNTIF(F:F,F34)=COUNTIF($F$5:F34,F34))</f>
        <v>0</v>
      </c>
    </row>
    <row r="35" spans="1:64" hidden="1">
      <c r="A35" s="43">
        <v>36</v>
      </c>
      <c r="B35" s="35" t="s">
        <v>147</v>
      </c>
      <c r="C35" s="35" t="s">
        <v>146</v>
      </c>
      <c r="D35" s="35">
        <v>1</v>
      </c>
      <c r="E35" s="35">
        <v>220</v>
      </c>
      <c r="F35" s="64" t="s">
        <v>220</v>
      </c>
      <c r="G35" s="73" t="s">
        <v>221</v>
      </c>
      <c r="H35" s="35" t="s">
        <v>219</v>
      </c>
      <c r="I35" s="35" t="s">
        <v>54</v>
      </c>
      <c r="J35" s="35">
        <v>100</v>
      </c>
      <c r="K35" s="35" t="s">
        <v>150</v>
      </c>
      <c r="L35" s="35" t="s">
        <v>53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73</v>
      </c>
      <c r="S35" s="35" t="s">
        <v>73</v>
      </c>
      <c r="T35" s="36">
        <v>36892</v>
      </c>
      <c r="U35" s="36">
        <v>2958465</v>
      </c>
      <c r="V35" s="35" t="s">
        <v>151</v>
      </c>
      <c r="W35" s="35" t="s">
        <v>145</v>
      </c>
      <c r="X35" s="35"/>
      <c r="Y35" s="35" t="s">
        <v>143</v>
      </c>
      <c r="Z35" s="35">
        <v>7589153</v>
      </c>
      <c r="AA35" s="35">
        <v>60</v>
      </c>
      <c r="AB35" s="35">
        <v>30</v>
      </c>
      <c r="AC35" s="35"/>
      <c r="AE35" s="51">
        <f>M35/O35</f>
        <v>1</v>
      </c>
      <c r="AG35" s="6" t="str">
        <f>C35</f>
        <v>90MB1BJ0-C1BAY0</v>
      </c>
      <c r="AH35" s="6" t="str">
        <f>IF($D35&lt;=AH$4,"",IF(AND($D34=AH$4,$D35&gt;AH$4),$F34,AH34))</f>
        <v/>
      </c>
      <c r="AI35" s="6" t="str">
        <f>IF($D35&lt;=AI$4,"",IF(AND($D34=AI$4,$D35&gt;AI$4),$F34,AI34))</f>
        <v/>
      </c>
      <c r="AJ35" s="6" t="str">
        <f>IF($D35&lt;=AJ$4,"",IF(AND($D34=AJ$4,$D35&gt;AJ$4),$F34,AJ34))</f>
        <v/>
      </c>
      <c r="AK35" s="6" t="str">
        <f>IF($D35&lt;=AK$4,"",IF(AND($D34=AK$4,$D35&gt;AK$4),$F34,AK34))</f>
        <v/>
      </c>
      <c r="AL35" s="6" t="str">
        <f>IF($D35&lt;=AL$4,"",IF(AND($D34=AL$4,$D35&gt;AL$4),$F34,AL34))</f>
        <v/>
      </c>
      <c r="AM35" s="6" t="str">
        <f>IF($D35&lt;=AM$4,"",IF(AND($D34=AM$4,$D35&gt;AM$4),$F34,AM34))</f>
        <v/>
      </c>
      <c r="AN35" s="6" t="str">
        <f>IF($D35&lt;=AN$4,"",IF(AND($D34=AN$4,$D35&gt;AN$4),$F34,AN34))</f>
        <v/>
      </c>
      <c r="AO35" s="6" t="str">
        <f>CONCATENATE(AG35," | ",AH35," | ",AI35," | ",AJ35," | ",AK35," | ",AL35," | ",AM35," | ",AN35)</f>
        <v xml:space="preserve">90MB1BJ0-C1BAY0 |  |  |  |  |  |  | </v>
      </c>
      <c r="AP35" s="6">
        <f>IF(TRIM(H35)="",100,J35)</f>
        <v>100</v>
      </c>
      <c r="AQ35" s="4"/>
      <c r="AR35" s="6" t="b">
        <f>NOT(TRIM(W35)&lt;&gt;"F")</f>
        <v>1</v>
      </c>
      <c r="AS35" s="6" t="str">
        <f>$B35&amp;" | "&amp;$AO35&amp;" | "&amp;IF(TRIM(H35)="","uniq"&amp;ROW(),TRIM(H35))</f>
        <v>461E | 90MB1BJ0-C1BAY0 |  |  |  |  |  |  |  | A8</v>
      </c>
      <c r="AT35" s="63">
        <f>IF(NOT(AR35),IF(TRIM($H35)="","Assembly","Phantom Alt"),VLOOKUP(F35,ZPCS04!B:G,6,0))</f>
        <v>1246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1.9999999898</v>
      </c>
      <c r="AX35" s="7"/>
      <c r="AY35" s="6" t="b">
        <f>SUMIF(AS:AS,AS35,AP:AP)=100</f>
        <v>1</v>
      </c>
      <c r="AZ35" s="6" t="b">
        <f>SUMIF(AS:AS,AS35,AE:AE)/COUNTIF(AS:AS,AS35)=AE35</f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>C35&amp;" | "&amp;F35</f>
        <v>90MB1BJ0-C1BAY0 | 13MB1BJ0AM0102</v>
      </c>
      <c r="BE35" s="55" t="str">
        <f ca="1">C35&amp;" | "&amp;OFFSET($AF35,0,8-COUNTBLANK($AG35:$AN35))</f>
        <v>90MB1BJ0-C1BAY0 | 90MB1BJ0-C1BAY0</v>
      </c>
      <c r="BF35" s="57">
        <f ca="1">IFERROR(VLOOKUP($BE35,$BD$5:$BF34,3,0)*$AE35,VLOOKUP($C35,Demanda!$A:$B,2,0)*$AE35)*IF(AT35="Phantom Alt",$BC35,TRUE)</f>
        <v>1000</v>
      </c>
      <c r="BG35" s="57">
        <f ca="1">BF35*(AP35/100)</f>
        <v>1000</v>
      </c>
      <c r="BH35" s="57">
        <f>SUMIF(Invoice!A:A,F35,Invoice!B:B)</f>
        <v>1020</v>
      </c>
      <c r="BI35" s="57">
        <f ca="1">SUMIF(AS:AS,AS35,BG:BG)</f>
        <v>1000</v>
      </c>
      <c r="BJ35" s="57">
        <f ca="1">MIN((BI35-SUMIF($AS$5:AS34,AS35,$BJ$5:BJ34)),MAX(0,BH35-SUMIF($F$5:F34,F35,$BJ$5:BJ34)))</f>
        <v>1000</v>
      </c>
      <c r="BK35" s="57">
        <f ca="1">(-SUMIF(AS:AS,AS35,BG:BG)+SUMIF(AS:AS,AS35,BJ:BJ))*(AP35=100)*AR35</f>
        <v>0</v>
      </c>
      <c r="BL35" s="57">
        <f ca="1">MAX(0,SUMIF(Invoice!A:A,F35,Invoice!B:B)-SUMIF(F:F,F35,BJ:BJ))*(COUNTIF(F:F,F35)=COUNTIF($F$5:F35,F35))</f>
        <v>20</v>
      </c>
    </row>
    <row r="36" spans="1:64" hidden="1">
      <c r="A36" s="43">
        <v>35</v>
      </c>
      <c r="B36" s="35" t="s">
        <v>147</v>
      </c>
      <c r="C36" s="35" t="s">
        <v>146</v>
      </c>
      <c r="D36" s="35">
        <v>1</v>
      </c>
      <c r="E36" s="35">
        <v>220</v>
      </c>
      <c r="F36" s="64" t="s">
        <v>217</v>
      </c>
      <c r="G36" s="73" t="s">
        <v>218</v>
      </c>
      <c r="H36" s="35" t="s">
        <v>219</v>
      </c>
      <c r="I36" s="35" t="s">
        <v>55</v>
      </c>
      <c r="J36" s="35">
        <v>0</v>
      </c>
      <c r="K36" s="35" t="s">
        <v>150</v>
      </c>
      <c r="L36" s="35" t="s">
        <v>53</v>
      </c>
      <c r="M36" s="35">
        <v>1</v>
      </c>
      <c r="N36" s="35"/>
      <c r="O36" s="35">
        <v>1</v>
      </c>
      <c r="P36" s="35">
        <v>2</v>
      </c>
      <c r="Q36" s="35">
        <v>2</v>
      </c>
      <c r="R36" s="35" t="s">
        <v>73</v>
      </c>
      <c r="S36" s="35" t="s">
        <v>73</v>
      </c>
      <c r="T36" s="36">
        <v>36892</v>
      </c>
      <c r="U36" s="36">
        <v>2958465</v>
      </c>
      <c r="V36" s="35" t="s">
        <v>151</v>
      </c>
      <c r="W36" s="35" t="s">
        <v>145</v>
      </c>
      <c r="X36" s="35"/>
      <c r="Y36" s="35" t="s">
        <v>143</v>
      </c>
      <c r="Z36" s="35">
        <v>7589153</v>
      </c>
      <c r="AA36" s="35">
        <v>62</v>
      </c>
      <c r="AB36" s="35">
        <v>31</v>
      </c>
      <c r="AC36" s="35"/>
      <c r="AE36" s="51">
        <f>M36/O36</f>
        <v>1</v>
      </c>
      <c r="AG36" s="6" t="str">
        <f>C36</f>
        <v>90MB1BJ0-C1BAY0</v>
      </c>
      <c r="AH36" s="6" t="str">
        <f>IF($D36&lt;=AH$4,"",IF(AND($D35=AH$4,$D36&gt;AH$4),$F35,AH35))</f>
        <v/>
      </c>
      <c r="AI36" s="6" t="str">
        <f>IF($D36&lt;=AI$4,"",IF(AND($D35=AI$4,$D36&gt;AI$4),$F35,AI35))</f>
        <v/>
      </c>
      <c r="AJ36" s="6" t="str">
        <f>IF($D36&lt;=AJ$4,"",IF(AND($D35=AJ$4,$D36&gt;AJ$4),$F35,AJ35))</f>
        <v/>
      </c>
      <c r="AK36" s="6" t="str">
        <f>IF($D36&lt;=AK$4,"",IF(AND($D35=AK$4,$D36&gt;AK$4),$F35,AK35))</f>
        <v/>
      </c>
      <c r="AL36" s="6" t="str">
        <f>IF($D36&lt;=AL$4,"",IF(AND($D35=AL$4,$D36&gt;AL$4),$F35,AL35))</f>
        <v/>
      </c>
      <c r="AM36" s="6" t="str">
        <f>IF($D36&lt;=AM$4,"",IF(AND($D35=AM$4,$D36&gt;AM$4),$F35,AM35))</f>
        <v/>
      </c>
      <c r="AN36" s="6" t="str">
        <f>IF($D36&lt;=AN$4,"",IF(AND($D35=AN$4,$D36&gt;AN$4),$F35,AN35))</f>
        <v/>
      </c>
      <c r="AO36" s="6" t="str">
        <f>CONCATENATE(AG36," | ",AH36," | ",AI36," | ",AJ36," | ",AK36," | ",AL36," | ",AM36," | ",AN36)</f>
        <v xml:space="preserve">90MB1BJ0-C1BAY0 |  |  |  |  |  |  | </v>
      </c>
      <c r="AP36" s="6">
        <f>IF(TRIM(H36)="",100,J36)</f>
        <v>0</v>
      </c>
      <c r="AQ36" s="4"/>
      <c r="AR36" s="6" t="b">
        <f>NOT(TRIM(W36)&lt;&gt;"F")</f>
        <v>1</v>
      </c>
      <c r="AS36" s="6" t="str">
        <f>$B36&amp;" | "&amp;$AO36&amp;" | "&amp;IF(TRIM(H36)="","uniq"&amp;ROW(),TRIM(H36))</f>
        <v>461E | 90MB1BJ0-C1BAY0 |  |  |  |  |  |  |  | A8</v>
      </c>
      <c r="AT36" s="63">
        <f>IF(NOT(AR36),IF(TRIM($H36)="","Assembly","Phantom Alt"),VLOOKUP(F36,ZPCS04!B:G,6,0))</f>
        <v>1246</v>
      </c>
      <c r="AU36" s="7"/>
      <c r="AV36" s="38">
        <f ca="1">IF(TRIM($W36)="F",OFFSET($A$5,MATCH($AS36,$AS$5:$AS36,0)-1,0),$A36)</f>
        <v>36</v>
      </c>
      <c r="AW36" s="38">
        <f ca="1">IFERROR(OFFSET(ZPCS04!$A$1,MATCH(F36,ZPCS04!B:B,0)-1,0),100)</f>
        <v>2</v>
      </c>
      <c r="AX36" s="7"/>
      <c r="AY36" s="6" t="b">
        <f>SUMIF(AS:AS,AS36,AP:AP)=100</f>
        <v>1</v>
      </c>
      <c r="AZ36" s="6" t="b">
        <f>SUMIF(AS:AS,AS36,AE:AE)/COUNTIF(AS:AS,AS36)=AE36</f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>C36&amp;" | "&amp;F36</f>
        <v>90MB1BJ0-C1BAY0 | 13MB1BJ0AM0101</v>
      </c>
      <c r="BE36" s="55" t="str">
        <f ca="1">C36&amp;" | "&amp;OFFSET($AF36,0,8-COUNTBLANK($AG36:$AN36))</f>
        <v>90MB1BJ0-C1BAY0 | 90MB1BJ0-C1BAY0</v>
      </c>
      <c r="BF36" s="57">
        <f ca="1">IFERROR(VLOOKUP($BE36,$BD$5:$BF35,3,0)*$AE36,VLOOKUP($C36,Demanda!$A:$B,2,0)*$AE36)*IF(AT36="Phantom Alt",$BC36,TRUE)</f>
        <v>1000</v>
      </c>
      <c r="BG36" s="57">
        <f ca="1">BF36*(AP36/100)</f>
        <v>0</v>
      </c>
      <c r="BH36" s="57">
        <f>SUMIF(Invoice!A:A,F36,Invoice!B:B)</f>
        <v>0</v>
      </c>
      <c r="BI36" s="57">
        <f ca="1">SUMIF(AS:AS,AS36,BG:BG)</f>
        <v>1000</v>
      </c>
      <c r="BJ36" s="57">
        <f ca="1">MIN((BI36-SUMIF($AS$5:AS35,AS36,$BJ$5:BJ35)),MAX(0,BH36-SUMIF($F$5:F35,F36,$BJ$5:BJ35)))</f>
        <v>0</v>
      </c>
      <c r="BK36" s="57">
        <f ca="1">(-SUMIF(AS:AS,AS36,BG:BG)+SUMIF(AS:AS,AS36,BJ:BJ))*(AP36=100)*AR36</f>
        <v>0</v>
      </c>
      <c r="BL36" s="57">
        <f ca="1">MAX(0,SUMIF(Invoice!A:A,F36,Invoice!B:B)-SUMIF(F:F,F36,BJ:BJ))*(COUNTIF(F:F,F36)=COUNTIF($F$5:F36,F36))</f>
        <v>0</v>
      </c>
    </row>
    <row r="37" spans="1:64" hidden="1">
      <c r="A37" s="43">
        <v>38</v>
      </c>
      <c r="B37" s="35" t="s">
        <v>147</v>
      </c>
      <c r="C37" s="35" t="s">
        <v>146</v>
      </c>
      <c r="D37" s="35">
        <v>1</v>
      </c>
      <c r="E37" s="35">
        <v>230</v>
      </c>
      <c r="F37" s="64" t="s">
        <v>225</v>
      </c>
      <c r="G37" s="73" t="s">
        <v>226</v>
      </c>
      <c r="H37" s="35" t="s">
        <v>224</v>
      </c>
      <c r="I37" s="35" t="s">
        <v>54</v>
      </c>
      <c r="J37" s="35">
        <v>100</v>
      </c>
      <c r="K37" s="35" t="s">
        <v>150</v>
      </c>
      <c r="L37" s="35" t="s">
        <v>53</v>
      </c>
      <c r="M37" s="35">
        <v>1</v>
      </c>
      <c r="N37" s="35">
        <v>1</v>
      </c>
      <c r="O37" s="35">
        <v>1</v>
      </c>
      <c r="P37" s="35">
        <v>2</v>
      </c>
      <c r="Q37" s="35">
        <v>1</v>
      </c>
      <c r="R37" s="35" t="s">
        <v>73</v>
      </c>
      <c r="S37" s="35" t="s">
        <v>73</v>
      </c>
      <c r="T37" s="36">
        <v>36892</v>
      </c>
      <c r="U37" s="36">
        <v>2958465</v>
      </c>
      <c r="V37" s="35" t="s">
        <v>151</v>
      </c>
      <c r="W37" s="35" t="s">
        <v>145</v>
      </c>
      <c r="X37" s="35"/>
      <c r="Y37" s="35" t="s">
        <v>143</v>
      </c>
      <c r="Z37" s="35">
        <v>7589153</v>
      </c>
      <c r="AA37" s="35">
        <v>64</v>
      </c>
      <c r="AB37" s="35">
        <v>32</v>
      </c>
      <c r="AC37" s="35"/>
      <c r="AE37" s="51">
        <f>M37/O37</f>
        <v>1</v>
      </c>
      <c r="AG37" s="6" t="str">
        <f>C37</f>
        <v>90MB1BJ0-C1BAY0</v>
      </c>
      <c r="AH37" s="6" t="str">
        <f>IF($D37&lt;=AH$4,"",IF(AND($D36=AH$4,$D37&gt;AH$4),$F36,AH36))</f>
        <v/>
      </c>
      <c r="AI37" s="6" t="str">
        <f>IF($D37&lt;=AI$4,"",IF(AND($D36=AI$4,$D37&gt;AI$4),$F36,AI36))</f>
        <v/>
      </c>
      <c r="AJ37" s="6" t="str">
        <f>IF($D37&lt;=AJ$4,"",IF(AND($D36=AJ$4,$D37&gt;AJ$4),$F36,AJ36))</f>
        <v/>
      </c>
      <c r="AK37" s="6" t="str">
        <f>IF($D37&lt;=AK$4,"",IF(AND($D36=AK$4,$D37&gt;AK$4),$F36,AK36))</f>
        <v/>
      </c>
      <c r="AL37" s="6" t="str">
        <f>IF($D37&lt;=AL$4,"",IF(AND($D36=AL$4,$D37&gt;AL$4),$F36,AL36))</f>
        <v/>
      </c>
      <c r="AM37" s="6" t="str">
        <f>IF($D37&lt;=AM$4,"",IF(AND($D36=AM$4,$D37&gt;AM$4),$F36,AM36))</f>
        <v/>
      </c>
      <c r="AN37" s="6" t="str">
        <f>IF($D37&lt;=AN$4,"",IF(AND($D36=AN$4,$D37&gt;AN$4),$F36,AN36))</f>
        <v/>
      </c>
      <c r="AO37" s="6" t="str">
        <f>CONCATENATE(AG37," | ",AH37," | ",AI37," | ",AJ37," | ",AK37," | ",AL37," | ",AM37," | ",AN37)</f>
        <v xml:space="preserve">90MB1BJ0-C1BAY0 |  |  |  |  |  |  | </v>
      </c>
      <c r="AP37" s="6">
        <f>IF(TRIM(H37)="",100,J37)</f>
        <v>100</v>
      </c>
      <c r="AQ37" s="4"/>
      <c r="AR37" s="6" t="b">
        <f>NOT(TRIM(W37)&lt;&gt;"F")</f>
        <v>1</v>
      </c>
      <c r="AS37" s="6" t="str">
        <f>$B37&amp;" | "&amp;$AO37&amp;" | "&amp;IF(TRIM(H37)="","uniq"&amp;ROW(),TRIM(H37))</f>
        <v>461E | 90MB1BJ0-C1BAY0 |  |  |  |  |  |  |  | A9</v>
      </c>
      <c r="AT37" s="63">
        <f>IF(NOT(AR37),IF(TRIM($H37)="","Assembly","Phantom Alt"),VLOOKUP(F37,ZPCS04!B:G,6,0))</f>
        <v>1247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1.9999999891</v>
      </c>
      <c r="AX37" s="7"/>
      <c r="AY37" s="6" t="b">
        <f>SUMIF(AS:AS,AS37,AP:AP)=100</f>
        <v>1</v>
      </c>
      <c r="AZ37" s="6" t="b">
        <f>SUMIF(AS:AS,AS37,AE:AE)/COUNTIF(AS:AS,AS37)=AE37</f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>C37&amp;" | "&amp;F37</f>
        <v>90MB1BJ0-C1BAY0 | 13071-04972900</v>
      </c>
      <c r="BE37" s="55" t="str">
        <f ca="1">C37&amp;" | "&amp;OFFSET($AF37,0,8-COUNTBLANK($AG37:$AN37))</f>
        <v>90MB1BJ0-C1BAY0 | 90MB1BJ0-C1BAY0</v>
      </c>
      <c r="BF37" s="57">
        <f ca="1">IFERROR(VLOOKUP($BE37,$BD$5:$BF36,3,0)*$AE37,VLOOKUP($C37,Demanda!$A:$B,2,0)*$AE37)*IF(AT37="Phantom Alt",$BC37,TRUE)</f>
        <v>1000</v>
      </c>
      <c r="BG37" s="57">
        <f ca="1">BF37*(AP37/100)</f>
        <v>1000</v>
      </c>
      <c r="BH37" s="57">
        <f>SUMIF(Invoice!A:A,F37,Invoice!B:B)</f>
        <v>1090</v>
      </c>
      <c r="BI37" s="57">
        <f ca="1">SUMIF(AS:AS,AS37,BG:BG)</f>
        <v>1000</v>
      </c>
      <c r="BJ37" s="57">
        <f ca="1">MIN((BI37-SUMIF($AS$5:AS36,AS37,$BJ$5:BJ36)),MAX(0,BH37-SUMIF($F$5:F36,F37,$BJ$5:BJ36)))</f>
        <v>1000</v>
      </c>
      <c r="BK37" s="57">
        <f ca="1">(-SUMIF(AS:AS,AS37,BG:BG)+SUMIF(AS:AS,AS37,BJ:BJ))*(AP37=100)*AR37</f>
        <v>0</v>
      </c>
      <c r="BL37" s="57">
        <f ca="1">MAX(0,SUMIF(Invoice!A:A,F37,Invoice!B:B)-SUMIF(F:F,F37,BJ:BJ))*(COUNTIF(F:F,F37)=COUNTIF($F$5:F37,F37))</f>
        <v>90</v>
      </c>
    </row>
    <row r="38" spans="1:64" hidden="1">
      <c r="A38" s="43">
        <v>37</v>
      </c>
      <c r="B38" s="35" t="s">
        <v>147</v>
      </c>
      <c r="C38" s="35" t="s">
        <v>146</v>
      </c>
      <c r="D38" s="35">
        <v>1</v>
      </c>
      <c r="E38" s="35">
        <v>230</v>
      </c>
      <c r="F38" s="64" t="s">
        <v>222</v>
      </c>
      <c r="G38" s="73" t="s">
        <v>223</v>
      </c>
      <c r="H38" s="35" t="s">
        <v>224</v>
      </c>
      <c r="I38" s="35" t="s">
        <v>55</v>
      </c>
      <c r="J38" s="35">
        <v>0</v>
      </c>
      <c r="K38" s="35" t="s">
        <v>150</v>
      </c>
      <c r="L38" s="35" t="s">
        <v>53</v>
      </c>
      <c r="M38" s="35">
        <v>1</v>
      </c>
      <c r="N38" s="35"/>
      <c r="O38" s="35">
        <v>1</v>
      </c>
      <c r="P38" s="35">
        <v>2</v>
      </c>
      <c r="Q38" s="35">
        <v>2</v>
      </c>
      <c r="R38" s="35" t="s">
        <v>73</v>
      </c>
      <c r="S38" s="35" t="s">
        <v>73</v>
      </c>
      <c r="T38" s="36">
        <v>36892</v>
      </c>
      <c r="U38" s="36">
        <v>2958465</v>
      </c>
      <c r="V38" s="35" t="s">
        <v>151</v>
      </c>
      <c r="W38" s="35" t="s">
        <v>145</v>
      </c>
      <c r="X38" s="35"/>
      <c r="Y38" s="35" t="s">
        <v>143</v>
      </c>
      <c r="Z38" s="35">
        <v>7589153</v>
      </c>
      <c r="AA38" s="35">
        <v>66</v>
      </c>
      <c r="AB38" s="35">
        <v>33</v>
      </c>
      <c r="AC38" s="35"/>
      <c r="AE38" s="51">
        <f>M38/O38</f>
        <v>1</v>
      </c>
      <c r="AG38" s="6" t="str">
        <f>C38</f>
        <v>90MB1BJ0-C1BAY0</v>
      </c>
      <c r="AH38" s="6" t="str">
        <f>IF($D38&lt;=AH$4,"",IF(AND($D37=AH$4,$D38&gt;AH$4),$F37,AH37))</f>
        <v/>
      </c>
      <c r="AI38" s="6" t="str">
        <f>IF($D38&lt;=AI$4,"",IF(AND($D37=AI$4,$D38&gt;AI$4),$F37,AI37))</f>
        <v/>
      </c>
      <c r="AJ38" s="6" t="str">
        <f>IF($D38&lt;=AJ$4,"",IF(AND($D37=AJ$4,$D38&gt;AJ$4),$F37,AJ37))</f>
        <v/>
      </c>
      <c r="AK38" s="6" t="str">
        <f>IF($D38&lt;=AK$4,"",IF(AND($D37=AK$4,$D38&gt;AK$4),$F37,AK37))</f>
        <v/>
      </c>
      <c r="AL38" s="6" t="str">
        <f>IF($D38&lt;=AL$4,"",IF(AND($D37=AL$4,$D38&gt;AL$4),$F37,AL37))</f>
        <v/>
      </c>
      <c r="AM38" s="6" t="str">
        <f>IF($D38&lt;=AM$4,"",IF(AND($D37=AM$4,$D38&gt;AM$4),$F37,AM37))</f>
        <v/>
      </c>
      <c r="AN38" s="6" t="str">
        <f>IF($D38&lt;=AN$4,"",IF(AND($D37=AN$4,$D38&gt;AN$4),$F37,AN37))</f>
        <v/>
      </c>
      <c r="AO38" s="6" t="str">
        <f>CONCATENATE(AG38," | ",AH38," | ",AI38," | ",AJ38," | ",AK38," | ",AL38," | ",AM38," | ",AN38)</f>
        <v xml:space="preserve">90MB1BJ0-C1BAY0 |  |  |  |  |  |  | </v>
      </c>
      <c r="AP38" s="6">
        <f>IF(TRIM(H38)="",100,J38)</f>
        <v>0</v>
      </c>
      <c r="AQ38" s="4"/>
      <c r="AR38" s="6" t="b">
        <f>NOT(TRIM(W38)&lt;&gt;"F")</f>
        <v>1</v>
      </c>
      <c r="AS38" s="6" t="str">
        <f>$B38&amp;" | "&amp;$AO38&amp;" | "&amp;IF(TRIM(H38)="","uniq"&amp;ROW(),TRIM(H38))</f>
        <v>461E | 90MB1BJ0-C1BAY0 |  |  |  |  |  |  |  | A9</v>
      </c>
      <c r="AT38" s="63">
        <f>IF(NOT(AR38),IF(TRIM($H38)="","Assembly","Phantom Alt"),VLOOKUP(F38,ZPCS04!B:G,6,0))</f>
        <v>1247</v>
      </c>
      <c r="AU38" s="7"/>
      <c r="AV38" s="38">
        <f ca="1">IF(TRIM($W38)="F",OFFSET($A$5,MATCH($AS38,$AS$5:$AS38,0)-1,0),$A38)</f>
        <v>38</v>
      </c>
      <c r="AW38" s="38">
        <f ca="1">IFERROR(OFFSET(ZPCS04!$A$1,MATCH(F38,ZPCS04!B:B,0)-1,0),100)</f>
        <v>2</v>
      </c>
      <c r="AX38" s="7"/>
      <c r="AY38" s="6" t="b">
        <f>SUMIF(AS:AS,AS38,AP:AP)=100</f>
        <v>1</v>
      </c>
      <c r="AZ38" s="6" t="b">
        <f>SUMIF(AS:AS,AS38,AE:AE)/COUNTIF(AS:AS,AS38)=AE38</f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>C38&amp;" | "&amp;F38</f>
        <v>90MB1BJ0-C1BAY0 | 13071-04972300</v>
      </c>
      <c r="BE38" s="55" t="str">
        <f ca="1">C38&amp;" | "&amp;OFFSET($AF38,0,8-COUNTBLANK($AG38:$AN38))</f>
        <v>90MB1BJ0-C1BAY0 | 90MB1BJ0-C1BAY0</v>
      </c>
      <c r="BF38" s="57">
        <f ca="1">IFERROR(VLOOKUP($BE38,$BD$5:$BF37,3,0)*$AE38,VLOOKUP($C38,Demanda!$A:$B,2,0)*$AE38)*IF(AT38="Phantom Alt",$BC38,TRUE)</f>
        <v>1000</v>
      </c>
      <c r="BG38" s="57">
        <f ca="1">BF38*(AP38/100)</f>
        <v>0</v>
      </c>
      <c r="BH38" s="57">
        <f>SUMIF(Invoice!A:A,F38,Invoice!B:B)</f>
        <v>0</v>
      </c>
      <c r="BI38" s="57">
        <f ca="1">SUMIF(AS:AS,AS38,BG:BG)</f>
        <v>1000</v>
      </c>
      <c r="BJ38" s="57">
        <f ca="1">MIN((BI38-SUMIF($AS$5:AS37,AS38,$BJ$5:BJ37)),MAX(0,BH38-SUMIF($F$5:F37,F38,$BJ$5:BJ37)))</f>
        <v>0</v>
      </c>
      <c r="BK38" s="57">
        <f ca="1">(-SUMIF(AS:AS,AS38,BG:BG)+SUMIF(AS:AS,AS38,BJ:BJ))*(AP38=100)*AR38</f>
        <v>0</v>
      </c>
      <c r="BL38" s="57">
        <f ca="1">MAX(0,SUMIF(Invoice!A:A,F38,Invoice!B:B)-SUMIF(F:F,F38,BJ:BJ))*(COUNTIF(F:F,F38)=COUNTIF($F$5:F38,F38))</f>
        <v>0</v>
      </c>
    </row>
    <row r="39" spans="1:64" hidden="1">
      <c r="A39" s="43">
        <v>39</v>
      </c>
      <c r="B39" s="35" t="s">
        <v>147</v>
      </c>
      <c r="C39" s="35" t="s">
        <v>146</v>
      </c>
      <c r="D39" s="35">
        <v>1</v>
      </c>
      <c r="E39" s="35">
        <v>240</v>
      </c>
      <c r="F39" s="64" t="s">
        <v>227</v>
      </c>
      <c r="G39" s="73" t="s">
        <v>228</v>
      </c>
      <c r="H39" s="35" t="s">
        <v>229</v>
      </c>
      <c r="I39" s="35" t="s">
        <v>54</v>
      </c>
      <c r="J39" s="35">
        <v>100</v>
      </c>
      <c r="K39" s="35" t="s">
        <v>150</v>
      </c>
      <c r="L39" s="35" t="s">
        <v>53</v>
      </c>
      <c r="M39" s="35">
        <v>1</v>
      </c>
      <c r="N39" s="35">
        <v>1</v>
      </c>
      <c r="O39" s="35">
        <v>1</v>
      </c>
      <c r="P39" s="35">
        <v>2</v>
      </c>
      <c r="Q39" s="35">
        <v>1</v>
      </c>
      <c r="R39" s="35" t="s">
        <v>73</v>
      </c>
      <c r="S39" s="35" t="s">
        <v>73</v>
      </c>
      <c r="T39" s="36">
        <v>36892</v>
      </c>
      <c r="U39" s="36">
        <v>2958465</v>
      </c>
      <c r="V39" s="35" t="s">
        <v>151</v>
      </c>
      <c r="W39" s="35" t="s">
        <v>145</v>
      </c>
      <c r="X39" s="35"/>
      <c r="Y39" s="35" t="s">
        <v>143</v>
      </c>
      <c r="Z39" s="35">
        <v>7589153</v>
      </c>
      <c r="AA39" s="35">
        <v>68</v>
      </c>
      <c r="AB39" s="35">
        <v>34</v>
      </c>
      <c r="AC39" s="35"/>
      <c r="AE39" s="51">
        <f>M39/O39</f>
        <v>1</v>
      </c>
      <c r="AG39" s="6" t="str">
        <f>C39</f>
        <v>90MB1BJ0-C1BAY0</v>
      </c>
      <c r="AH39" s="6" t="str">
        <f>IF($D39&lt;=AH$4,"",IF(AND($D38=AH$4,$D39&gt;AH$4),$F38,AH38))</f>
        <v/>
      </c>
      <c r="AI39" s="6" t="str">
        <f>IF($D39&lt;=AI$4,"",IF(AND($D38=AI$4,$D39&gt;AI$4),$F38,AI38))</f>
        <v/>
      </c>
      <c r="AJ39" s="6" t="str">
        <f>IF($D39&lt;=AJ$4,"",IF(AND($D38=AJ$4,$D39&gt;AJ$4),$F38,AJ38))</f>
        <v/>
      </c>
      <c r="AK39" s="6" t="str">
        <f>IF($D39&lt;=AK$4,"",IF(AND($D38=AK$4,$D39&gt;AK$4),$F38,AK38))</f>
        <v/>
      </c>
      <c r="AL39" s="6" t="str">
        <f>IF($D39&lt;=AL$4,"",IF(AND($D38=AL$4,$D39&gt;AL$4),$F38,AL38))</f>
        <v/>
      </c>
      <c r="AM39" s="6" t="str">
        <f>IF($D39&lt;=AM$4,"",IF(AND($D38=AM$4,$D39&gt;AM$4),$F38,AM38))</f>
        <v/>
      </c>
      <c r="AN39" s="6" t="str">
        <f>IF($D39&lt;=AN$4,"",IF(AND($D38=AN$4,$D39&gt;AN$4),$F38,AN38))</f>
        <v/>
      </c>
      <c r="AO39" s="6" t="str">
        <f>CONCATENATE(AG39," | ",AH39," | ",AI39," | ",AJ39," | ",AK39," | ",AL39," | ",AM39," | ",AN39)</f>
        <v xml:space="preserve">90MB1BJ0-C1BAY0 |  |  |  |  |  |  | </v>
      </c>
      <c r="AP39" s="6">
        <f>IF(TRIM(H39)="",100,J39)</f>
        <v>100</v>
      </c>
      <c r="AQ39" s="4"/>
      <c r="AR39" s="6" t="b">
        <f>NOT(TRIM(W39)&lt;&gt;"F")</f>
        <v>1</v>
      </c>
      <c r="AS39" s="6" t="str">
        <f>$B39&amp;" | "&amp;$AO39&amp;" | "&amp;IF(TRIM(H39)="","uniq"&amp;ROW(),TRIM(H39))</f>
        <v>461E | 90MB1BJ0-C1BAY0 |  |  |  |  |  |  |  | B0</v>
      </c>
      <c r="AT39" s="63">
        <f>IF(NOT(AR39),IF(TRIM($H39)="","Assembly","Phantom Alt"),VLOOKUP(F39,ZPCS04!B:G,6,0))</f>
        <v>1248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1.9999999899200001</v>
      </c>
      <c r="AX39" s="7"/>
      <c r="AY39" s="6" t="b">
        <f>SUMIF(AS:AS,AS39,AP:AP)=100</f>
        <v>1</v>
      </c>
      <c r="AZ39" s="6" t="b">
        <f>SUMIF(AS:AS,AS39,AE:AE)/COUNTIF(AS:AS,AS39)=AE39</f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>C39&amp;" | "&amp;F39</f>
        <v>90MB1BJ0-C1BAY0 | 13071-04971900</v>
      </c>
      <c r="BE39" s="55" t="str">
        <f ca="1">C39&amp;" | "&amp;OFFSET($AF39,0,8-COUNTBLANK($AG39:$AN39))</f>
        <v>90MB1BJ0-C1BAY0 | 90MB1BJ0-C1BAY0</v>
      </c>
      <c r="BF39" s="57">
        <f ca="1">IFERROR(VLOOKUP($BE39,$BD$5:$BF38,3,0)*$AE39,VLOOKUP($C39,Demanda!$A:$B,2,0)*$AE39)*IF(AT39="Phantom Alt",$BC39,TRUE)</f>
        <v>1000</v>
      </c>
      <c r="BG39" s="57">
        <f ca="1">BF39*(AP39/100)</f>
        <v>1000</v>
      </c>
      <c r="BH39" s="57">
        <f>SUMIF(Invoice!A:A,F39,Invoice!B:B)</f>
        <v>1008</v>
      </c>
      <c r="BI39" s="57">
        <f ca="1">SUMIF(AS:AS,AS39,BG:BG)</f>
        <v>1000</v>
      </c>
      <c r="BJ39" s="57">
        <f ca="1">MIN((BI39-SUMIF($AS$5:AS38,AS39,$BJ$5:BJ38)),MAX(0,BH39-SUMIF($F$5:F38,F39,$BJ$5:BJ38)))</f>
        <v>1000</v>
      </c>
      <c r="BK39" s="57">
        <f ca="1">(-SUMIF(AS:AS,AS39,BG:BG)+SUMIF(AS:AS,AS39,BJ:BJ))*(AP39=100)*AR39</f>
        <v>0</v>
      </c>
      <c r="BL39" s="57">
        <f ca="1">MAX(0,SUMIF(Invoice!A:A,F39,Invoice!B:B)-SUMIF(F:F,F39,BJ:BJ))*(COUNTIF(F:F,F39)=COUNTIF($F$5:F39,F39))</f>
        <v>8</v>
      </c>
    </row>
    <row r="40" spans="1:64" hidden="1">
      <c r="A40" s="43">
        <v>40</v>
      </c>
      <c r="B40" s="35" t="s">
        <v>147</v>
      </c>
      <c r="C40" s="35" t="s">
        <v>146</v>
      </c>
      <c r="D40" s="35">
        <v>1</v>
      </c>
      <c r="E40" s="35">
        <v>240</v>
      </c>
      <c r="F40" s="64" t="s">
        <v>230</v>
      </c>
      <c r="G40" s="73" t="s">
        <v>231</v>
      </c>
      <c r="H40" s="35" t="s">
        <v>229</v>
      </c>
      <c r="I40" s="35" t="s">
        <v>55</v>
      </c>
      <c r="J40" s="35">
        <v>0</v>
      </c>
      <c r="K40" s="35" t="s">
        <v>150</v>
      </c>
      <c r="L40" s="35" t="s">
        <v>53</v>
      </c>
      <c r="M40" s="35">
        <v>1</v>
      </c>
      <c r="N40" s="35"/>
      <c r="O40" s="35">
        <v>1</v>
      </c>
      <c r="P40" s="35">
        <v>2</v>
      </c>
      <c r="Q40" s="35">
        <v>2</v>
      </c>
      <c r="R40" s="35" t="s">
        <v>73</v>
      </c>
      <c r="S40" s="35" t="s">
        <v>73</v>
      </c>
      <c r="T40" s="36">
        <v>36892</v>
      </c>
      <c r="U40" s="36">
        <v>2958465</v>
      </c>
      <c r="V40" s="35" t="s">
        <v>151</v>
      </c>
      <c r="W40" s="35" t="s">
        <v>145</v>
      </c>
      <c r="X40" s="35"/>
      <c r="Y40" s="35" t="s">
        <v>143</v>
      </c>
      <c r="Z40" s="35">
        <v>7589153</v>
      </c>
      <c r="AA40" s="35">
        <v>70</v>
      </c>
      <c r="AB40" s="35">
        <v>35</v>
      </c>
      <c r="AC40" s="35"/>
      <c r="AE40" s="51">
        <f>M40/O40</f>
        <v>1</v>
      </c>
      <c r="AG40" s="6" t="str">
        <f>C40</f>
        <v>90MB1BJ0-C1BAY0</v>
      </c>
      <c r="AH40" s="6" t="str">
        <f>IF($D40&lt;=AH$4,"",IF(AND($D39=AH$4,$D40&gt;AH$4),$F39,AH39))</f>
        <v/>
      </c>
      <c r="AI40" s="6" t="str">
        <f>IF($D40&lt;=AI$4,"",IF(AND($D39=AI$4,$D40&gt;AI$4),$F39,AI39))</f>
        <v/>
      </c>
      <c r="AJ40" s="6" t="str">
        <f>IF($D40&lt;=AJ$4,"",IF(AND($D39=AJ$4,$D40&gt;AJ$4),$F39,AJ39))</f>
        <v/>
      </c>
      <c r="AK40" s="6" t="str">
        <f>IF($D40&lt;=AK$4,"",IF(AND($D39=AK$4,$D40&gt;AK$4),$F39,AK39))</f>
        <v/>
      </c>
      <c r="AL40" s="6" t="str">
        <f>IF($D40&lt;=AL$4,"",IF(AND($D39=AL$4,$D40&gt;AL$4),$F39,AL39))</f>
        <v/>
      </c>
      <c r="AM40" s="6" t="str">
        <f>IF($D40&lt;=AM$4,"",IF(AND($D39=AM$4,$D40&gt;AM$4),$F39,AM39))</f>
        <v/>
      </c>
      <c r="AN40" s="6" t="str">
        <f>IF($D40&lt;=AN$4,"",IF(AND($D39=AN$4,$D40&gt;AN$4),$F39,AN39))</f>
        <v/>
      </c>
      <c r="AO40" s="6" t="str">
        <f>CONCATENATE(AG40," | ",AH40," | ",AI40," | ",AJ40," | ",AK40," | ",AL40," | ",AM40," | ",AN40)</f>
        <v xml:space="preserve">90MB1BJ0-C1BAY0 |  |  |  |  |  |  | </v>
      </c>
      <c r="AP40" s="6">
        <f>IF(TRIM(H40)="",100,J40)</f>
        <v>0</v>
      </c>
      <c r="AQ40" s="4"/>
      <c r="AR40" s="6" t="b">
        <f>NOT(TRIM(W40)&lt;&gt;"F")</f>
        <v>1</v>
      </c>
      <c r="AS40" s="6" t="str">
        <f>$B40&amp;" | "&amp;$AO40&amp;" | "&amp;IF(TRIM(H40)="","uniq"&amp;ROW(),TRIM(H40))</f>
        <v>461E | 90MB1BJ0-C1BAY0 |  |  |  |  |  |  |  | B0</v>
      </c>
      <c r="AT40" s="63">
        <f>IF(NOT(AR40),IF(TRIM($H40)="","Assembly","Phantom Alt"),VLOOKUP(F40,ZPCS04!B:G,6,0))</f>
        <v>1248</v>
      </c>
      <c r="AU40" s="7"/>
      <c r="AV40" s="38">
        <f ca="1">IF(TRIM($W40)="F",OFFSET($A$5,MATCH($AS40,$AS$5:$AS40,0)-1,0),$A40)</f>
        <v>39</v>
      </c>
      <c r="AW40" s="38">
        <f ca="1">IFERROR(OFFSET(ZPCS04!$A$1,MATCH(F40,ZPCS04!B:B,0)-1,0),100)</f>
        <v>2</v>
      </c>
      <c r="AX40" s="7"/>
      <c r="AY40" s="6" t="b">
        <f>SUMIF(AS:AS,AS40,AP:AP)=100</f>
        <v>1</v>
      </c>
      <c r="AZ40" s="6" t="b">
        <f>SUMIF(AS:AS,AS40,AE:AE)/COUNTIF(AS:AS,AS40)=AE40</f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>C40&amp;" | "&amp;F40</f>
        <v>90MB1BJ0-C1BAY0 | 13071-04972800</v>
      </c>
      <c r="BE40" s="55" t="str">
        <f ca="1">C40&amp;" | "&amp;OFFSET($AF40,0,8-COUNTBLANK($AG40:$AN40))</f>
        <v>90MB1BJ0-C1BAY0 | 90MB1BJ0-C1BAY0</v>
      </c>
      <c r="BF40" s="57">
        <f ca="1">IFERROR(VLOOKUP($BE40,$BD$5:$BF39,3,0)*$AE40,VLOOKUP($C40,Demanda!$A:$B,2,0)*$AE40)*IF(AT40="Phantom Alt",$BC40,TRUE)</f>
        <v>1000</v>
      </c>
      <c r="BG40" s="57">
        <f ca="1">BF40*(AP40/100)</f>
        <v>0</v>
      </c>
      <c r="BH40" s="57">
        <f>SUMIF(Invoice!A:A,F40,Invoice!B:B)</f>
        <v>0</v>
      </c>
      <c r="BI40" s="57">
        <f ca="1">SUMIF(AS:AS,AS40,BG:BG)</f>
        <v>1000</v>
      </c>
      <c r="BJ40" s="57">
        <f ca="1">MIN((BI40-SUMIF($AS$5:AS39,AS40,$BJ$5:BJ39)),MAX(0,BH40-SUMIF($F$5:F39,F40,$BJ$5:BJ39)))</f>
        <v>0</v>
      </c>
      <c r="BK40" s="57">
        <f ca="1">(-SUMIF(AS:AS,AS40,BG:BG)+SUMIF(AS:AS,AS40,BJ:BJ))*(AP40=100)*AR40</f>
        <v>0</v>
      </c>
      <c r="BL40" s="57">
        <f ca="1">MAX(0,SUMIF(Invoice!A:A,F40,Invoice!B:B)-SUMIF(F:F,F40,BJ:BJ))*(COUNTIF(F:F,F40)=COUNTIF($F$5:F40,F40))</f>
        <v>0</v>
      </c>
    </row>
    <row r="41" spans="1:64" hidden="1">
      <c r="A41" s="43">
        <v>42</v>
      </c>
      <c r="B41" s="35" t="s">
        <v>147</v>
      </c>
      <c r="C41" s="35" t="s">
        <v>146</v>
      </c>
      <c r="D41" s="35">
        <v>1</v>
      </c>
      <c r="E41" s="35">
        <v>250</v>
      </c>
      <c r="F41" s="64" t="s">
        <v>235</v>
      </c>
      <c r="G41" s="73" t="s">
        <v>236</v>
      </c>
      <c r="H41" s="35" t="s">
        <v>234</v>
      </c>
      <c r="I41" s="35" t="s">
        <v>55</v>
      </c>
      <c r="J41" s="35">
        <v>0</v>
      </c>
      <c r="K41" s="35" t="s">
        <v>150</v>
      </c>
      <c r="L41" s="35" t="s">
        <v>53</v>
      </c>
      <c r="M41" s="35">
        <v>1</v>
      </c>
      <c r="N41" s="35"/>
      <c r="O41" s="35">
        <v>1</v>
      </c>
      <c r="P41" s="35">
        <v>2</v>
      </c>
      <c r="Q41" s="35">
        <v>2</v>
      </c>
      <c r="R41" s="35" t="s">
        <v>73</v>
      </c>
      <c r="S41" s="35" t="s">
        <v>73</v>
      </c>
      <c r="T41" s="36">
        <v>36892</v>
      </c>
      <c r="U41" s="36">
        <v>2958465</v>
      </c>
      <c r="V41" s="35" t="s">
        <v>151</v>
      </c>
      <c r="W41" s="35" t="s">
        <v>145</v>
      </c>
      <c r="X41" s="35"/>
      <c r="Y41" s="35" t="s">
        <v>143</v>
      </c>
      <c r="Z41" s="35">
        <v>7589153</v>
      </c>
      <c r="AA41" s="35">
        <v>74</v>
      </c>
      <c r="AB41" s="35">
        <v>37</v>
      </c>
      <c r="AC41" s="35"/>
      <c r="AE41" s="51">
        <f>M41/O41</f>
        <v>1</v>
      </c>
      <c r="AG41" s="6" t="str">
        <f>C41</f>
        <v>90MB1BJ0-C1BAY0</v>
      </c>
      <c r="AH41" s="6" t="str">
        <f>IF($D41&lt;=AH$4,"",IF(AND($D40=AH$4,$D41&gt;AH$4),$F40,AH40))</f>
        <v/>
      </c>
      <c r="AI41" s="6" t="str">
        <f>IF($D41&lt;=AI$4,"",IF(AND($D40=AI$4,$D41&gt;AI$4),$F40,AI40))</f>
        <v/>
      </c>
      <c r="AJ41" s="6" t="str">
        <f>IF($D41&lt;=AJ$4,"",IF(AND($D40=AJ$4,$D41&gt;AJ$4),$F40,AJ40))</f>
        <v/>
      </c>
      <c r="AK41" s="6" t="str">
        <f>IF($D41&lt;=AK$4,"",IF(AND($D40=AK$4,$D41&gt;AK$4),$F40,AK40))</f>
        <v/>
      </c>
      <c r="AL41" s="6" t="str">
        <f>IF($D41&lt;=AL$4,"",IF(AND($D40=AL$4,$D41&gt;AL$4),$F40,AL40))</f>
        <v/>
      </c>
      <c r="AM41" s="6" t="str">
        <f>IF($D41&lt;=AM$4,"",IF(AND($D40=AM$4,$D41&gt;AM$4),$F40,AM40))</f>
        <v/>
      </c>
      <c r="AN41" s="6" t="str">
        <f>IF($D41&lt;=AN$4,"",IF(AND($D40=AN$4,$D41&gt;AN$4),$F40,AN40))</f>
        <v/>
      </c>
      <c r="AO41" s="6" t="str">
        <f>CONCATENATE(AG41," | ",AH41," | ",AI41," | ",AJ41," | ",AK41," | ",AL41," | ",AM41," | ",AN41)</f>
        <v xml:space="preserve">90MB1BJ0-C1BAY0 |  |  |  |  |  |  | </v>
      </c>
      <c r="AP41" s="6">
        <f>IF(TRIM(H41)="",100,J41)</f>
        <v>0</v>
      </c>
      <c r="AQ41" s="4"/>
      <c r="AR41" s="6" t="b">
        <f>NOT(TRIM(W41)&lt;&gt;"F")</f>
        <v>1</v>
      </c>
      <c r="AS41" s="6" t="str">
        <f>$B41&amp;" | "&amp;$AO41&amp;" | "&amp;IF(TRIM(H41)="","uniq"&amp;ROW(),TRIM(H41))</f>
        <v>461E | 90MB1BJ0-C1BAY0 |  |  |  |  |  |  |  | B1</v>
      </c>
      <c r="AT41" s="63">
        <f>IF(NOT(AR41),IF(TRIM($H41)="","Assembly","Phantom Alt"),VLOOKUP(F41,ZPCS04!B:G,6,0))</f>
        <v>1249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1.9999999900000001</v>
      </c>
      <c r="AX41" s="7"/>
      <c r="AY41" s="6" t="b">
        <f>SUMIF(AS:AS,AS41,AP:AP)=100</f>
        <v>1</v>
      </c>
      <c r="AZ41" s="6" t="b">
        <f>SUMIF(AS:AS,AS41,AE:AE)/COUNTIF(AS:AS,AS41)=AE41</f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>C41&amp;" | "&amp;F41</f>
        <v>90MB1BJ0-C1BAY0 | 13071-04972500</v>
      </c>
      <c r="BE41" s="55" t="str">
        <f ca="1">C41&amp;" | "&amp;OFFSET($AF41,0,8-COUNTBLANK($AG41:$AN41))</f>
        <v>90MB1BJ0-C1BAY0 | 90MB1BJ0-C1BAY0</v>
      </c>
      <c r="BF41" s="57">
        <f ca="1">IFERROR(VLOOKUP($BE41,$BD$5:$BF40,3,0)*$AE41,VLOOKUP($C41,Demanda!$A:$B,2,0)*$AE41)*IF(AT41="Phantom Alt",$BC41,TRUE)</f>
        <v>1000</v>
      </c>
      <c r="BG41" s="57">
        <f ca="1">BF41*(AP41/100)</f>
        <v>0</v>
      </c>
      <c r="BH41" s="57">
        <f>SUMIF(Invoice!A:A,F41,Invoice!B:B)</f>
        <v>1000</v>
      </c>
      <c r="BI41" s="57">
        <f ca="1">SUMIF(AS:AS,AS41,BG:BG)</f>
        <v>1000</v>
      </c>
      <c r="BJ41" s="57">
        <f ca="1">MIN((BI41-SUMIF($AS$5:AS40,AS41,$BJ$5:BJ40)),MAX(0,BH41-SUMIF($F$5:F40,F41,$BJ$5:BJ40)))</f>
        <v>1000</v>
      </c>
      <c r="BK41" s="57">
        <f ca="1">(-SUMIF(AS:AS,AS41,BG:BG)+SUMIF(AS:AS,AS41,BJ:BJ))*(AP41=100)*AR41</f>
        <v>0</v>
      </c>
      <c r="BL41" s="57">
        <f ca="1">MAX(0,SUMIF(Invoice!A:A,F41,Invoice!B:B)-SUMIF(F:F,F41,BJ:BJ))*(COUNTIF(F:F,F41)=COUNTIF($F$5:F41,F41))</f>
        <v>0</v>
      </c>
    </row>
    <row r="42" spans="1:64" hidden="1">
      <c r="A42" s="43">
        <v>41</v>
      </c>
      <c r="B42" s="35" t="s">
        <v>147</v>
      </c>
      <c r="C42" s="35" t="s">
        <v>146</v>
      </c>
      <c r="D42" s="35">
        <v>1</v>
      </c>
      <c r="E42" s="35">
        <v>250</v>
      </c>
      <c r="F42" s="64" t="s">
        <v>232</v>
      </c>
      <c r="G42" s="73" t="s">
        <v>233</v>
      </c>
      <c r="H42" s="35" t="s">
        <v>234</v>
      </c>
      <c r="I42" s="35" t="s">
        <v>54</v>
      </c>
      <c r="J42" s="35">
        <v>100</v>
      </c>
      <c r="K42" s="35" t="s">
        <v>150</v>
      </c>
      <c r="L42" s="35" t="s">
        <v>53</v>
      </c>
      <c r="M42" s="35">
        <v>1</v>
      </c>
      <c r="N42" s="35">
        <v>1</v>
      </c>
      <c r="O42" s="35">
        <v>1</v>
      </c>
      <c r="P42" s="35">
        <v>2</v>
      </c>
      <c r="Q42" s="35">
        <v>1</v>
      </c>
      <c r="R42" s="35" t="s">
        <v>73</v>
      </c>
      <c r="S42" s="35" t="s">
        <v>73</v>
      </c>
      <c r="T42" s="36">
        <v>36892</v>
      </c>
      <c r="U42" s="36">
        <v>2958465</v>
      </c>
      <c r="V42" s="35" t="s">
        <v>151</v>
      </c>
      <c r="W42" s="35" t="s">
        <v>145</v>
      </c>
      <c r="X42" s="35"/>
      <c r="Y42" s="35" t="s">
        <v>143</v>
      </c>
      <c r="Z42" s="35">
        <v>7589153</v>
      </c>
      <c r="AA42" s="35">
        <v>72</v>
      </c>
      <c r="AB42" s="35">
        <v>36</v>
      </c>
      <c r="AC42" s="35"/>
      <c r="AE42" s="51">
        <f>M42/O42</f>
        <v>1</v>
      </c>
      <c r="AG42" s="6" t="str">
        <f>C42</f>
        <v>90MB1BJ0-C1BAY0</v>
      </c>
      <c r="AH42" s="6" t="str">
        <f>IF($D42&lt;=AH$4,"",IF(AND($D41=AH$4,$D42&gt;AH$4),$F41,AH41))</f>
        <v/>
      </c>
      <c r="AI42" s="6" t="str">
        <f>IF($D42&lt;=AI$4,"",IF(AND($D41=AI$4,$D42&gt;AI$4),$F41,AI41))</f>
        <v/>
      </c>
      <c r="AJ42" s="6" t="str">
        <f>IF($D42&lt;=AJ$4,"",IF(AND($D41=AJ$4,$D42&gt;AJ$4),$F41,AJ41))</f>
        <v/>
      </c>
      <c r="AK42" s="6" t="str">
        <f>IF($D42&lt;=AK$4,"",IF(AND($D41=AK$4,$D42&gt;AK$4),$F41,AK41))</f>
        <v/>
      </c>
      <c r="AL42" s="6" t="str">
        <f>IF($D42&lt;=AL$4,"",IF(AND($D41=AL$4,$D42&gt;AL$4),$F41,AL41))</f>
        <v/>
      </c>
      <c r="AM42" s="6" t="str">
        <f>IF($D42&lt;=AM$4,"",IF(AND($D41=AM$4,$D42&gt;AM$4),$F41,AM41))</f>
        <v/>
      </c>
      <c r="AN42" s="6" t="str">
        <f>IF($D42&lt;=AN$4,"",IF(AND($D41=AN$4,$D42&gt;AN$4),$F41,AN41))</f>
        <v/>
      </c>
      <c r="AO42" s="6" t="str">
        <f>CONCATENATE(AG42," | ",AH42," | ",AI42," | ",AJ42," | ",AK42," | ",AL42," | ",AM42," | ",AN42)</f>
        <v xml:space="preserve">90MB1BJ0-C1BAY0 |  |  |  |  |  |  | </v>
      </c>
      <c r="AP42" s="6">
        <f>IF(TRIM(H42)="",100,J42)</f>
        <v>100</v>
      </c>
      <c r="AQ42" s="4"/>
      <c r="AR42" s="6" t="b">
        <f>NOT(TRIM(W42)&lt;&gt;"F")</f>
        <v>1</v>
      </c>
      <c r="AS42" s="6" t="str">
        <f>$B42&amp;" | "&amp;$AO42&amp;" | "&amp;IF(TRIM(H42)="","uniq"&amp;ROW(),TRIM(H42))</f>
        <v>461E | 90MB1BJ0-C1BAY0 |  |  |  |  |  |  |  | B1</v>
      </c>
      <c r="AT42" s="63">
        <f>IF(NOT(AR42),IF(TRIM($H42)="","Assembly","Phantom Alt"),VLOOKUP(F42,ZPCS04!B:G,6,0))</f>
        <v>1249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2</v>
      </c>
      <c r="AX42" s="7"/>
      <c r="AY42" s="6" t="b">
        <f>SUMIF(AS:AS,AS42,AP:AP)=100</f>
        <v>1</v>
      </c>
      <c r="AZ42" s="6" t="b">
        <f>SUMIF(AS:AS,AS42,AE:AE)/COUNTIF(AS:AS,AS42)=AE42</f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>C42&amp;" | "&amp;F42</f>
        <v>90MB1BJ0-C1BAY0 | 13071-04972000</v>
      </c>
      <c r="BE42" s="55" t="str">
        <f ca="1">C42&amp;" | "&amp;OFFSET($AF42,0,8-COUNTBLANK($AG42:$AN42))</f>
        <v>90MB1BJ0-C1BAY0 | 90MB1BJ0-C1BAY0</v>
      </c>
      <c r="BF42" s="57">
        <f ca="1">IFERROR(VLOOKUP($BE42,$BD$5:$BF41,3,0)*$AE42,VLOOKUP($C42,Demanda!$A:$B,2,0)*$AE42)*IF(AT42="Phantom Alt",$BC42,TRUE)</f>
        <v>1000</v>
      </c>
      <c r="BG42" s="57">
        <f ca="1">BF42*(AP42/100)</f>
        <v>1000</v>
      </c>
      <c r="BH42" s="57">
        <f>SUMIF(Invoice!A:A,F42,Invoice!B:B)</f>
        <v>0</v>
      </c>
      <c r="BI42" s="57">
        <f ca="1">SUMIF(AS:AS,AS42,BG:BG)</f>
        <v>1000</v>
      </c>
      <c r="BJ42" s="57">
        <f ca="1">MIN((BI42-SUMIF($AS$5:AS41,AS42,$BJ$5:BJ41)),MAX(0,BH42-SUMIF($F$5:F41,F42,$BJ$5:BJ41)))</f>
        <v>0</v>
      </c>
      <c r="BK42" s="57">
        <f ca="1">(-SUMIF(AS:AS,AS42,BG:BG)+SUMIF(AS:AS,AS42,BJ:BJ))*(AP42=100)*AR42</f>
        <v>0</v>
      </c>
      <c r="BL42" s="57">
        <f ca="1">MAX(0,SUMIF(Invoice!A:A,F42,Invoice!B:B)-SUMIF(F:F,F42,BJ:BJ))*(COUNTIF(F:F,F42)=COUNTIF($F$5:F42,F42))</f>
        <v>0</v>
      </c>
    </row>
    <row r="43" spans="1:64" hidden="1">
      <c r="A43" s="43">
        <v>44</v>
      </c>
      <c r="B43" s="35" t="s">
        <v>147</v>
      </c>
      <c r="C43" s="35" t="s">
        <v>146</v>
      </c>
      <c r="D43" s="35">
        <v>1</v>
      </c>
      <c r="E43" s="35">
        <v>260</v>
      </c>
      <c r="F43" s="64" t="s">
        <v>240</v>
      </c>
      <c r="G43" s="73" t="s">
        <v>241</v>
      </c>
      <c r="H43" s="35" t="s">
        <v>239</v>
      </c>
      <c r="I43" s="35" t="s">
        <v>55</v>
      </c>
      <c r="J43" s="35">
        <v>0</v>
      </c>
      <c r="K43" s="35" t="s">
        <v>150</v>
      </c>
      <c r="L43" s="35" t="s">
        <v>53</v>
      </c>
      <c r="M43" s="35">
        <v>1</v>
      </c>
      <c r="N43" s="35"/>
      <c r="O43" s="35">
        <v>1</v>
      </c>
      <c r="P43" s="35">
        <v>2</v>
      </c>
      <c r="Q43" s="35">
        <v>2</v>
      </c>
      <c r="R43" s="35" t="s">
        <v>73</v>
      </c>
      <c r="S43" s="35" t="s">
        <v>73</v>
      </c>
      <c r="T43" s="36">
        <v>36892</v>
      </c>
      <c r="U43" s="36">
        <v>2958465</v>
      </c>
      <c r="V43" s="35" t="s">
        <v>151</v>
      </c>
      <c r="W43" s="35" t="s">
        <v>145</v>
      </c>
      <c r="X43" s="35"/>
      <c r="Y43" s="35" t="s">
        <v>143</v>
      </c>
      <c r="Z43" s="35">
        <v>7589153</v>
      </c>
      <c r="AA43" s="35">
        <v>78</v>
      </c>
      <c r="AB43" s="35">
        <v>39</v>
      </c>
      <c r="AC43" s="35"/>
      <c r="AE43" s="51">
        <f>M43/O43</f>
        <v>1</v>
      </c>
      <c r="AG43" s="6" t="str">
        <f>C43</f>
        <v>90MB1BJ0-C1BAY0</v>
      </c>
      <c r="AH43" s="6" t="str">
        <f>IF($D43&lt;=AH$4,"",IF(AND($D42=AH$4,$D43&gt;AH$4),$F42,AH42))</f>
        <v/>
      </c>
      <c r="AI43" s="6" t="str">
        <f>IF($D43&lt;=AI$4,"",IF(AND($D42=AI$4,$D43&gt;AI$4),$F42,AI42))</f>
        <v/>
      </c>
      <c r="AJ43" s="6" t="str">
        <f>IF($D43&lt;=AJ$4,"",IF(AND($D42=AJ$4,$D43&gt;AJ$4),$F42,AJ42))</f>
        <v/>
      </c>
      <c r="AK43" s="6" t="str">
        <f>IF($D43&lt;=AK$4,"",IF(AND($D42=AK$4,$D43&gt;AK$4),$F42,AK42))</f>
        <v/>
      </c>
      <c r="AL43" s="6" t="str">
        <f>IF($D43&lt;=AL$4,"",IF(AND($D42=AL$4,$D43&gt;AL$4),$F42,AL42))</f>
        <v/>
      </c>
      <c r="AM43" s="6" t="str">
        <f>IF($D43&lt;=AM$4,"",IF(AND($D42=AM$4,$D43&gt;AM$4),$F42,AM42))</f>
        <v/>
      </c>
      <c r="AN43" s="6" t="str">
        <f>IF($D43&lt;=AN$4,"",IF(AND($D42=AN$4,$D43&gt;AN$4),$F42,AN42))</f>
        <v/>
      </c>
      <c r="AO43" s="6" t="str">
        <f>CONCATENATE(AG43," | ",AH43," | ",AI43," | ",AJ43," | ",AK43," | ",AL43," | ",AM43," | ",AN43)</f>
        <v xml:space="preserve">90MB1BJ0-C1BAY0 |  |  |  |  |  |  | </v>
      </c>
      <c r="AP43" s="6">
        <f>IF(TRIM(H43)="",100,J43)</f>
        <v>0</v>
      </c>
      <c r="AQ43" s="4"/>
      <c r="AR43" s="6" t="b">
        <f>NOT(TRIM(W43)&lt;&gt;"F")</f>
        <v>1</v>
      </c>
      <c r="AS43" s="6" t="str">
        <f>$B43&amp;" | "&amp;$AO43&amp;" | "&amp;IF(TRIM(H43)="","uniq"&amp;ROW(),TRIM(H43))</f>
        <v>461E | 90MB1BJ0-C1BAY0 |  |  |  |  |  |  |  | B2</v>
      </c>
      <c r="AT43" s="63">
        <f>IF(NOT(AR43),IF(TRIM($H43)="","Assembly","Phantom Alt"),VLOOKUP(F43,ZPCS04!B:G,6,0))</f>
        <v>1250</v>
      </c>
      <c r="AU43" s="7"/>
      <c r="AV43" s="38">
        <f ca="1">IF(TRIM($W43)="F",OFFSET($A$5,MATCH($AS43,$AS$5:$AS43,0)-1,0),$A43)</f>
        <v>44</v>
      </c>
      <c r="AW43" s="38">
        <f ca="1">IFERROR(OFFSET(ZPCS04!$A$1,MATCH(F43,ZPCS04!B:B,0)-1,0),100)</f>
        <v>1.9999999887</v>
      </c>
      <c r="AX43" s="7"/>
      <c r="AY43" s="6" t="b">
        <f>SUMIF(AS:AS,AS43,AP:AP)=100</f>
        <v>1</v>
      </c>
      <c r="AZ43" s="6" t="b">
        <f>SUMIF(AS:AS,AS43,AE:AE)/COUNTIF(AS:AS,AS43)=AE43</f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>C43&amp;" | "&amp;F43</f>
        <v>90MB1BJ0-C1BAY0 | 13071-04972700</v>
      </c>
      <c r="BE43" s="55" t="str">
        <f ca="1">C43&amp;" | "&amp;OFFSET($AF43,0,8-COUNTBLANK($AG43:$AN43))</f>
        <v>90MB1BJ0-C1BAY0 | 90MB1BJ0-C1BAY0</v>
      </c>
      <c r="BF43" s="57">
        <f ca="1">IFERROR(VLOOKUP($BE43,$BD$5:$BF42,3,0)*$AE43,VLOOKUP($C43,Demanda!$A:$B,2,0)*$AE43)*IF(AT43="Phantom Alt",$BC43,TRUE)</f>
        <v>1000</v>
      </c>
      <c r="BG43" s="57">
        <f ca="1">BF43*(AP43/100)</f>
        <v>0</v>
      </c>
      <c r="BH43" s="57">
        <f>SUMIF(Invoice!A:A,F43,Invoice!B:B)</f>
        <v>1130</v>
      </c>
      <c r="BI43" s="57">
        <f ca="1">SUMIF(AS:AS,AS43,BG:BG)</f>
        <v>1000</v>
      </c>
      <c r="BJ43" s="57">
        <f ca="1">MIN((BI43-SUMIF($AS$5:AS42,AS43,$BJ$5:BJ42)),MAX(0,BH43-SUMIF($F$5:F42,F43,$BJ$5:BJ42)))</f>
        <v>1000</v>
      </c>
      <c r="BK43" s="57">
        <f ca="1">(-SUMIF(AS:AS,AS43,BG:BG)+SUMIF(AS:AS,AS43,BJ:BJ))*(AP43=100)*AR43</f>
        <v>0</v>
      </c>
      <c r="BL43" s="57">
        <f ca="1">MAX(0,SUMIF(Invoice!A:A,F43,Invoice!B:B)-SUMIF(F:F,F43,BJ:BJ))*(COUNTIF(F:F,F43)=COUNTIF($F$5:F43,F43))</f>
        <v>130</v>
      </c>
    </row>
    <row r="44" spans="1:64" hidden="1">
      <c r="A44" s="43">
        <v>43</v>
      </c>
      <c r="B44" s="35" t="s">
        <v>147</v>
      </c>
      <c r="C44" s="35" t="s">
        <v>146</v>
      </c>
      <c r="D44" s="35">
        <v>1</v>
      </c>
      <c r="E44" s="35">
        <v>260</v>
      </c>
      <c r="F44" s="64" t="s">
        <v>237</v>
      </c>
      <c r="G44" s="73" t="s">
        <v>238</v>
      </c>
      <c r="H44" s="35" t="s">
        <v>239</v>
      </c>
      <c r="I44" s="35" t="s">
        <v>54</v>
      </c>
      <c r="J44" s="35">
        <v>100</v>
      </c>
      <c r="K44" s="35" t="s">
        <v>150</v>
      </c>
      <c r="L44" s="35" t="s">
        <v>53</v>
      </c>
      <c r="M44" s="35">
        <v>1</v>
      </c>
      <c r="N44" s="35">
        <v>1</v>
      </c>
      <c r="O44" s="35">
        <v>1</v>
      </c>
      <c r="P44" s="35">
        <v>2</v>
      </c>
      <c r="Q44" s="35">
        <v>1</v>
      </c>
      <c r="R44" s="35" t="s">
        <v>73</v>
      </c>
      <c r="S44" s="35" t="s">
        <v>73</v>
      </c>
      <c r="T44" s="36">
        <v>36892</v>
      </c>
      <c r="U44" s="36">
        <v>2958465</v>
      </c>
      <c r="V44" s="35" t="s">
        <v>151</v>
      </c>
      <c r="W44" s="35" t="s">
        <v>145</v>
      </c>
      <c r="X44" s="35"/>
      <c r="Y44" s="35" t="s">
        <v>143</v>
      </c>
      <c r="Z44" s="35">
        <v>7589153</v>
      </c>
      <c r="AA44" s="35">
        <v>76</v>
      </c>
      <c r="AB44" s="35">
        <v>38</v>
      </c>
      <c r="AC44" s="35"/>
      <c r="AE44" s="51">
        <f>M44/O44</f>
        <v>1</v>
      </c>
      <c r="AG44" s="6" t="str">
        <f>C44</f>
        <v>90MB1BJ0-C1BAY0</v>
      </c>
      <c r="AH44" s="6" t="str">
        <f>IF($D44&lt;=AH$4,"",IF(AND($D43=AH$4,$D44&gt;AH$4),$F43,AH43))</f>
        <v/>
      </c>
      <c r="AI44" s="6" t="str">
        <f>IF($D44&lt;=AI$4,"",IF(AND($D43=AI$4,$D44&gt;AI$4),$F43,AI43))</f>
        <v/>
      </c>
      <c r="AJ44" s="6" t="str">
        <f>IF($D44&lt;=AJ$4,"",IF(AND($D43=AJ$4,$D44&gt;AJ$4),$F43,AJ43))</f>
        <v/>
      </c>
      <c r="AK44" s="6" t="str">
        <f>IF($D44&lt;=AK$4,"",IF(AND($D43=AK$4,$D44&gt;AK$4),$F43,AK43))</f>
        <v/>
      </c>
      <c r="AL44" s="6" t="str">
        <f>IF($D44&lt;=AL$4,"",IF(AND($D43=AL$4,$D44&gt;AL$4),$F43,AL43))</f>
        <v/>
      </c>
      <c r="AM44" s="6" t="str">
        <f>IF($D44&lt;=AM$4,"",IF(AND($D43=AM$4,$D44&gt;AM$4),$F43,AM43))</f>
        <v/>
      </c>
      <c r="AN44" s="6" t="str">
        <f>IF($D44&lt;=AN$4,"",IF(AND($D43=AN$4,$D44&gt;AN$4),$F43,AN43))</f>
        <v/>
      </c>
      <c r="AO44" s="6" t="str">
        <f>CONCATENATE(AG44," | ",AH44," | ",AI44," | ",AJ44," | ",AK44," | ",AL44," | ",AM44," | ",AN44)</f>
        <v xml:space="preserve">90MB1BJ0-C1BAY0 |  |  |  |  |  |  | </v>
      </c>
      <c r="AP44" s="6">
        <f>IF(TRIM(H44)="",100,J44)</f>
        <v>100</v>
      </c>
      <c r="AQ44" s="4"/>
      <c r="AR44" s="6" t="b">
        <f>NOT(TRIM(W44)&lt;&gt;"F")</f>
        <v>1</v>
      </c>
      <c r="AS44" s="6" t="str">
        <f>$B44&amp;" | "&amp;$AO44&amp;" | "&amp;IF(TRIM(H44)="","uniq"&amp;ROW(),TRIM(H44))</f>
        <v>461E | 90MB1BJ0-C1BAY0 |  |  |  |  |  |  |  | B2</v>
      </c>
      <c r="AT44" s="63">
        <f>IF(NOT(AR44),IF(TRIM($H44)="","Assembly","Phantom Alt"),VLOOKUP(F44,ZPCS04!B:G,6,0))</f>
        <v>1250</v>
      </c>
      <c r="AU44" s="7"/>
      <c r="AV44" s="38">
        <f ca="1">IF(TRIM($W44)="F",OFFSET($A$5,MATCH($AS44,$AS$5:$AS44,0)-1,0),$A44)</f>
        <v>44</v>
      </c>
      <c r="AW44" s="38">
        <f ca="1">IFERROR(OFFSET(ZPCS04!$A$1,MATCH(F44,ZPCS04!B:B,0)-1,0),100)</f>
        <v>2</v>
      </c>
      <c r="AX44" s="7"/>
      <c r="AY44" s="6" t="b">
        <f>SUMIF(AS:AS,AS44,AP:AP)=100</f>
        <v>1</v>
      </c>
      <c r="AZ44" s="6" t="b">
        <f>SUMIF(AS:AS,AS44,AE:AE)/COUNTIF(AS:AS,AS44)=AE44</f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>C44&amp;" | "&amp;F44</f>
        <v>90MB1BJ0-C1BAY0 | 13071-04972100</v>
      </c>
      <c r="BE44" s="55" t="str">
        <f ca="1">C44&amp;" | "&amp;OFFSET($AF44,0,8-COUNTBLANK($AG44:$AN44))</f>
        <v>90MB1BJ0-C1BAY0 | 90MB1BJ0-C1BAY0</v>
      </c>
      <c r="BF44" s="57">
        <f ca="1">IFERROR(VLOOKUP($BE44,$BD$5:$BF43,3,0)*$AE44,VLOOKUP($C44,Demanda!$A:$B,2,0)*$AE44)*IF(AT44="Phantom Alt",$BC44,TRUE)</f>
        <v>1000</v>
      </c>
      <c r="BG44" s="57">
        <f ca="1">BF44*(AP44/100)</f>
        <v>1000</v>
      </c>
      <c r="BH44" s="57">
        <f>SUMIF(Invoice!A:A,F44,Invoice!B:B)</f>
        <v>0</v>
      </c>
      <c r="BI44" s="57">
        <f ca="1">SUMIF(AS:AS,AS44,BG:BG)</f>
        <v>1000</v>
      </c>
      <c r="BJ44" s="57">
        <f ca="1">MIN((BI44-SUMIF($AS$5:AS43,AS44,$BJ$5:BJ43)),MAX(0,BH44-SUMIF($F$5:F43,F44,$BJ$5:BJ43)))</f>
        <v>0</v>
      </c>
      <c r="BK44" s="57">
        <f ca="1">(-SUMIF(AS:AS,AS44,BG:BG)+SUMIF(AS:AS,AS44,BJ:BJ))*(AP44=100)*AR44</f>
        <v>0</v>
      </c>
      <c r="BL44" s="57">
        <f ca="1">MAX(0,SUMIF(Invoice!A:A,F44,Invoice!B:B)-SUMIF(F:F,F44,BJ:BJ))*(COUNTIF(F:F,F44)=COUNTIF($F$5:F44,F44))</f>
        <v>0</v>
      </c>
    </row>
    <row r="45" spans="1:64" hidden="1">
      <c r="A45" s="43">
        <v>45</v>
      </c>
      <c r="B45" s="35" t="s">
        <v>147</v>
      </c>
      <c r="C45" s="35" t="s">
        <v>146</v>
      </c>
      <c r="D45" s="35">
        <v>1</v>
      </c>
      <c r="E45" s="35">
        <v>270</v>
      </c>
      <c r="F45" s="64" t="s">
        <v>242</v>
      </c>
      <c r="G45" s="73" t="s">
        <v>243</v>
      </c>
      <c r="H45" s="35" t="s">
        <v>244</v>
      </c>
      <c r="I45" s="35" t="s">
        <v>54</v>
      </c>
      <c r="J45" s="35">
        <v>100</v>
      </c>
      <c r="K45" s="35" t="s">
        <v>150</v>
      </c>
      <c r="L45" s="35" t="s">
        <v>53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73</v>
      </c>
      <c r="S45" s="35" t="s">
        <v>73</v>
      </c>
      <c r="T45" s="36">
        <v>36892</v>
      </c>
      <c r="U45" s="36">
        <v>2958465</v>
      </c>
      <c r="V45" s="35" t="s">
        <v>151</v>
      </c>
      <c r="W45" s="35" t="s">
        <v>145</v>
      </c>
      <c r="X45" s="35"/>
      <c r="Y45" s="35" t="s">
        <v>143</v>
      </c>
      <c r="Z45" s="35">
        <v>7589153</v>
      </c>
      <c r="AA45" s="35">
        <v>80</v>
      </c>
      <c r="AB45" s="35">
        <v>40</v>
      </c>
      <c r="AC45" s="35"/>
      <c r="AE45" s="51">
        <f>M45/O45</f>
        <v>1</v>
      </c>
      <c r="AG45" s="6" t="str">
        <f>C45</f>
        <v>90MB1BJ0-C1BAY0</v>
      </c>
      <c r="AH45" s="6" t="str">
        <f>IF($D45&lt;=AH$4,"",IF(AND($D44=AH$4,$D45&gt;AH$4),$F44,AH44))</f>
        <v/>
      </c>
      <c r="AI45" s="6" t="str">
        <f>IF($D45&lt;=AI$4,"",IF(AND($D44=AI$4,$D45&gt;AI$4),$F44,AI44))</f>
        <v/>
      </c>
      <c r="AJ45" s="6" t="str">
        <f>IF($D45&lt;=AJ$4,"",IF(AND($D44=AJ$4,$D45&gt;AJ$4),$F44,AJ44))</f>
        <v/>
      </c>
      <c r="AK45" s="6" t="str">
        <f>IF($D45&lt;=AK$4,"",IF(AND($D44=AK$4,$D45&gt;AK$4),$F44,AK44))</f>
        <v/>
      </c>
      <c r="AL45" s="6" t="str">
        <f>IF($D45&lt;=AL$4,"",IF(AND($D44=AL$4,$D45&gt;AL$4),$F44,AL44))</f>
        <v/>
      </c>
      <c r="AM45" s="6" t="str">
        <f>IF($D45&lt;=AM$4,"",IF(AND($D44=AM$4,$D45&gt;AM$4),$F44,AM44))</f>
        <v/>
      </c>
      <c r="AN45" s="6" t="str">
        <f>IF($D45&lt;=AN$4,"",IF(AND($D44=AN$4,$D45&gt;AN$4),$F44,AN44))</f>
        <v/>
      </c>
      <c r="AO45" s="6" t="str">
        <f>CONCATENATE(AG45," | ",AH45," | ",AI45," | ",AJ45," | ",AK45," | ",AL45," | ",AM45," | ",AN45)</f>
        <v xml:space="preserve">90MB1BJ0-C1BAY0 |  |  |  |  |  |  | </v>
      </c>
      <c r="AP45" s="6">
        <f>IF(TRIM(H45)="",100,J45)</f>
        <v>100</v>
      </c>
      <c r="AQ45" s="4"/>
      <c r="AR45" s="6" t="b">
        <f>NOT(TRIM(W45)&lt;&gt;"F")</f>
        <v>1</v>
      </c>
      <c r="AS45" s="6" t="str">
        <f>$B45&amp;" | "&amp;$AO45&amp;" | "&amp;IF(TRIM(H45)="","uniq"&amp;ROW(),TRIM(H45))</f>
        <v>461E | 90MB1BJ0-C1BAY0 |  |  |  |  |  |  |  | B3</v>
      </c>
      <c r="AT45" s="63">
        <f>IF(NOT(AR45),IF(TRIM($H45)="","Assembly","Phantom Alt"),VLOOKUP(F45,ZPCS04!B:G,6,0))</f>
        <v>1251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1.99999998944</v>
      </c>
      <c r="AX45" s="7"/>
      <c r="AY45" s="6" t="b">
        <f>SUMIF(AS:AS,AS45,AP:AP)=100</f>
        <v>1</v>
      </c>
      <c r="AZ45" s="6" t="b">
        <f>SUMIF(AS:AS,AS45,AE:AE)/COUNTIF(AS:AS,AS45)=AE45</f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>C45&amp;" | "&amp;F45</f>
        <v>90MB1BJ0-C1BAY0 | 13071-04972200</v>
      </c>
      <c r="BE45" s="55" t="str">
        <f ca="1">C45&amp;" | "&amp;OFFSET($AF45,0,8-COUNTBLANK($AG45:$AN45))</f>
        <v>90MB1BJ0-C1BAY0 | 90MB1BJ0-C1BAY0</v>
      </c>
      <c r="BF45" s="57">
        <f ca="1">IFERROR(VLOOKUP($BE45,$BD$5:$BF44,3,0)*$AE45,VLOOKUP($C45,Demanda!$A:$B,2,0)*$AE45)*IF(AT45="Phantom Alt",$BC45,TRUE)</f>
        <v>1000</v>
      </c>
      <c r="BG45" s="57">
        <f ca="1">BF45*(AP45/100)</f>
        <v>1000</v>
      </c>
      <c r="BH45" s="57">
        <f>SUMIF(Invoice!A:A,F45,Invoice!B:B)</f>
        <v>1056</v>
      </c>
      <c r="BI45" s="57">
        <f ca="1">SUMIF(AS:AS,AS45,BG:BG)</f>
        <v>1000</v>
      </c>
      <c r="BJ45" s="57">
        <f ca="1">MIN((BI45-SUMIF($AS$5:AS44,AS45,$BJ$5:BJ44)),MAX(0,BH45-SUMIF($F$5:F44,F45,$BJ$5:BJ44)))</f>
        <v>1000</v>
      </c>
      <c r="BK45" s="57">
        <f ca="1">(-SUMIF(AS:AS,AS45,BG:BG)+SUMIF(AS:AS,AS45,BJ:BJ))*(AP45=100)*AR45</f>
        <v>0</v>
      </c>
      <c r="BL45" s="57">
        <f ca="1">MAX(0,SUMIF(Invoice!A:A,F45,Invoice!B:B)-SUMIF(F:F,F45,BJ:BJ))*(COUNTIF(F:F,F45)=COUNTIF($F$5:F45,F45))</f>
        <v>56</v>
      </c>
    </row>
    <row r="46" spans="1:64" hidden="1">
      <c r="A46" s="43">
        <v>46</v>
      </c>
      <c r="B46" s="35" t="s">
        <v>147</v>
      </c>
      <c r="C46" s="35" t="s">
        <v>146</v>
      </c>
      <c r="D46" s="35">
        <v>1</v>
      </c>
      <c r="E46" s="35">
        <v>270</v>
      </c>
      <c r="F46" s="64" t="s">
        <v>245</v>
      </c>
      <c r="G46" s="73" t="s">
        <v>246</v>
      </c>
      <c r="H46" s="35" t="s">
        <v>244</v>
      </c>
      <c r="I46" s="35" t="s">
        <v>55</v>
      </c>
      <c r="J46" s="35">
        <v>0</v>
      </c>
      <c r="K46" s="35" t="s">
        <v>150</v>
      </c>
      <c r="L46" s="35" t="s">
        <v>53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73</v>
      </c>
      <c r="S46" s="35" t="s">
        <v>73</v>
      </c>
      <c r="T46" s="36">
        <v>36892</v>
      </c>
      <c r="U46" s="36">
        <v>2958465</v>
      </c>
      <c r="V46" s="35" t="s">
        <v>151</v>
      </c>
      <c r="W46" s="35" t="s">
        <v>145</v>
      </c>
      <c r="X46" s="35"/>
      <c r="Y46" s="35" t="s">
        <v>143</v>
      </c>
      <c r="Z46" s="35">
        <v>7589153</v>
      </c>
      <c r="AA46" s="35">
        <v>82</v>
      </c>
      <c r="AB46" s="35">
        <v>41</v>
      </c>
      <c r="AC46" s="35"/>
      <c r="AE46" s="51">
        <f>M46/O46</f>
        <v>1</v>
      </c>
      <c r="AG46" s="6" t="str">
        <f>C46</f>
        <v>90MB1BJ0-C1BAY0</v>
      </c>
      <c r="AH46" s="6" t="str">
        <f>IF($D46&lt;=AH$4,"",IF(AND($D45=AH$4,$D46&gt;AH$4),$F45,AH45))</f>
        <v/>
      </c>
      <c r="AI46" s="6" t="str">
        <f>IF($D46&lt;=AI$4,"",IF(AND($D45=AI$4,$D46&gt;AI$4),$F45,AI45))</f>
        <v/>
      </c>
      <c r="AJ46" s="6" t="str">
        <f>IF($D46&lt;=AJ$4,"",IF(AND($D45=AJ$4,$D46&gt;AJ$4),$F45,AJ45))</f>
        <v/>
      </c>
      <c r="AK46" s="6" t="str">
        <f>IF($D46&lt;=AK$4,"",IF(AND($D45=AK$4,$D46&gt;AK$4),$F45,AK45))</f>
        <v/>
      </c>
      <c r="AL46" s="6" t="str">
        <f>IF($D46&lt;=AL$4,"",IF(AND($D45=AL$4,$D46&gt;AL$4),$F45,AL45))</f>
        <v/>
      </c>
      <c r="AM46" s="6" t="str">
        <f>IF($D46&lt;=AM$4,"",IF(AND($D45=AM$4,$D46&gt;AM$4),$F45,AM45))</f>
        <v/>
      </c>
      <c r="AN46" s="6" t="str">
        <f>IF($D46&lt;=AN$4,"",IF(AND($D45=AN$4,$D46&gt;AN$4),$F45,AN45))</f>
        <v/>
      </c>
      <c r="AO46" s="6" t="str">
        <f>CONCATENATE(AG46," | ",AH46," | ",AI46," | ",AJ46," | ",AK46," | ",AL46," | ",AM46," | ",AN46)</f>
        <v xml:space="preserve">90MB1BJ0-C1BAY0 |  |  |  |  |  |  | </v>
      </c>
      <c r="AP46" s="6">
        <f>IF(TRIM(H46)="",100,J46)</f>
        <v>0</v>
      </c>
      <c r="AQ46" s="4"/>
      <c r="AR46" s="6" t="b">
        <f>NOT(TRIM(W46)&lt;&gt;"F")</f>
        <v>1</v>
      </c>
      <c r="AS46" s="6" t="str">
        <f>$B46&amp;" | "&amp;$AO46&amp;" | "&amp;IF(TRIM(H46)="","uniq"&amp;ROW(),TRIM(H46))</f>
        <v>461E | 90MB1BJ0-C1BAY0 |  |  |  |  |  |  |  | B3</v>
      </c>
      <c r="AT46" s="63">
        <f>IF(NOT(AR46),IF(TRIM($H46)="","Assembly","Phantom Alt"),VLOOKUP(F46,ZPCS04!B:G,6,0))</f>
        <v>1251</v>
      </c>
      <c r="AU46" s="7"/>
      <c r="AV46" s="38">
        <f ca="1">IF(TRIM($W46)="F",OFFSET($A$5,MATCH($AS46,$AS$5:$AS46,0)-1,0),$A46)</f>
        <v>45</v>
      </c>
      <c r="AW46" s="38">
        <f ca="1">IFERROR(OFFSET(ZPCS04!$A$1,MATCH(F46,ZPCS04!B:B,0)-1,0),100)</f>
        <v>2</v>
      </c>
      <c r="AX46" s="7"/>
      <c r="AY46" s="6" t="b">
        <f>SUMIF(AS:AS,AS46,AP:AP)=100</f>
        <v>1</v>
      </c>
      <c r="AZ46" s="6" t="b">
        <f>SUMIF(AS:AS,AS46,AE:AE)/COUNTIF(AS:AS,AS46)=AE46</f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>C46&amp;" | "&amp;F46</f>
        <v>90MB1BJ0-C1BAY0 | 13071-04972600</v>
      </c>
      <c r="BE46" s="55" t="str">
        <f ca="1">C46&amp;" | "&amp;OFFSET($AF46,0,8-COUNTBLANK($AG46:$AN46))</f>
        <v>90MB1BJ0-C1BAY0 | 90MB1BJ0-C1BAY0</v>
      </c>
      <c r="BF46" s="57">
        <f ca="1">IFERROR(VLOOKUP($BE46,$BD$5:$BF45,3,0)*$AE46,VLOOKUP($C46,Demanda!$A:$B,2,0)*$AE46)*IF(AT46="Phantom Alt",$BC46,TRUE)</f>
        <v>1000</v>
      </c>
      <c r="BG46" s="57">
        <f ca="1">BF46*(AP46/100)</f>
        <v>0</v>
      </c>
      <c r="BH46" s="57">
        <f>SUMIF(Invoice!A:A,F46,Invoice!B:B)</f>
        <v>0</v>
      </c>
      <c r="BI46" s="57">
        <f ca="1">SUMIF(AS:AS,AS46,BG:BG)</f>
        <v>1000</v>
      </c>
      <c r="BJ46" s="57">
        <f ca="1">MIN((BI46-SUMIF($AS$5:AS45,AS46,$BJ$5:BJ45)),MAX(0,BH46-SUMIF($F$5:F45,F46,$BJ$5:BJ45)))</f>
        <v>0</v>
      </c>
      <c r="BK46" s="57">
        <f ca="1">(-SUMIF(AS:AS,AS46,BG:BG)+SUMIF(AS:AS,AS46,BJ:BJ))*(AP46=100)*AR46</f>
        <v>0</v>
      </c>
      <c r="BL46" s="57">
        <f ca="1">MAX(0,SUMIF(Invoice!A:A,F46,Invoice!B:B)-SUMIF(F:F,F46,BJ:BJ))*(COUNTIF(F:F,F46)=COUNTIF($F$5:F46,F46))</f>
        <v>0</v>
      </c>
    </row>
    <row r="47" spans="1:64" hidden="1">
      <c r="A47" s="43">
        <v>47</v>
      </c>
      <c r="B47" s="35" t="s">
        <v>147</v>
      </c>
      <c r="C47" s="35" t="s">
        <v>146</v>
      </c>
      <c r="D47" s="35">
        <v>1</v>
      </c>
      <c r="E47" s="35">
        <v>280</v>
      </c>
      <c r="F47" s="64" t="s">
        <v>247</v>
      </c>
      <c r="G47" s="73" t="s">
        <v>248</v>
      </c>
      <c r="H47" s="35" t="s">
        <v>249</v>
      </c>
      <c r="I47" s="35" t="s">
        <v>54</v>
      </c>
      <c r="J47" s="35">
        <v>100</v>
      </c>
      <c r="K47" s="35" t="s">
        <v>150</v>
      </c>
      <c r="L47" s="35" t="s">
        <v>53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73</v>
      </c>
      <c r="S47" s="35" t="s">
        <v>73</v>
      </c>
      <c r="T47" s="36">
        <v>36892</v>
      </c>
      <c r="U47" s="36">
        <v>2958465</v>
      </c>
      <c r="V47" s="35" t="s">
        <v>151</v>
      </c>
      <c r="W47" s="35" t="s">
        <v>145</v>
      </c>
      <c r="X47" s="35"/>
      <c r="Y47" s="35" t="s">
        <v>143</v>
      </c>
      <c r="Z47" s="35">
        <v>7589153</v>
      </c>
      <c r="AA47" s="35">
        <v>84</v>
      </c>
      <c r="AB47" s="35">
        <v>42</v>
      </c>
      <c r="AC47" s="35"/>
      <c r="AE47" s="51">
        <f>M47/O47</f>
        <v>1</v>
      </c>
      <c r="AG47" s="6" t="str">
        <f>C47</f>
        <v>90MB1BJ0-C1BAY0</v>
      </c>
      <c r="AH47" s="6" t="str">
        <f>IF($D47&lt;=AH$4,"",IF(AND($D46=AH$4,$D47&gt;AH$4),$F46,AH46))</f>
        <v/>
      </c>
      <c r="AI47" s="6" t="str">
        <f>IF($D47&lt;=AI$4,"",IF(AND($D46=AI$4,$D47&gt;AI$4),$F46,AI46))</f>
        <v/>
      </c>
      <c r="AJ47" s="6" t="str">
        <f>IF($D47&lt;=AJ$4,"",IF(AND($D46=AJ$4,$D47&gt;AJ$4),$F46,AJ46))</f>
        <v/>
      </c>
      <c r="AK47" s="6" t="str">
        <f>IF($D47&lt;=AK$4,"",IF(AND($D46=AK$4,$D47&gt;AK$4),$F46,AK46))</f>
        <v/>
      </c>
      <c r="AL47" s="6" t="str">
        <f>IF($D47&lt;=AL$4,"",IF(AND($D46=AL$4,$D47&gt;AL$4),$F46,AL46))</f>
        <v/>
      </c>
      <c r="AM47" s="6" t="str">
        <f>IF($D47&lt;=AM$4,"",IF(AND($D46=AM$4,$D47&gt;AM$4),$F46,AM46))</f>
        <v/>
      </c>
      <c r="AN47" s="6" t="str">
        <f>IF($D47&lt;=AN$4,"",IF(AND($D46=AN$4,$D47&gt;AN$4),$F46,AN46))</f>
        <v/>
      </c>
      <c r="AO47" s="6" t="str">
        <f>CONCATENATE(AG47," | ",AH47," | ",AI47," | ",AJ47," | ",AK47," | ",AL47," | ",AM47," | ",AN47)</f>
        <v xml:space="preserve">90MB1BJ0-C1BAY0 |  |  |  |  |  |  | </v>
      </c>
      <c r="AP47" s="6">
        <f>IF(TRIM(H47)="",100,J47)</f>
        <v>100</v>
      </c>
      <c r="AQ47" s="4"/>
      <c r="AR47" s="6" t="b">
        <f>NOT(TRIM(W47)&lt;&gt;"F")</f>
        <v>1</v>
      </c>
      <c r="AS47" s="6" t="str">
        <f>$B47&amp;" | "&amp;$AO47&amp;" | "&amp;IF(TRIM(H47)="","uniq"&amp;ROW(),TRIM(H47))</f>
        <v>461E | 90MB1BJ0-C1BAY0 |  |  |  |  |  |  |  | B4</v>
      </c>
      <c r="AT47" s="63">
        <f>IF(NOT(AR47),IF(TRIM($H47)="","Assembly","Phantom Alt"),VLOOKUP(F47,ZPCS04!B:G,6,0))</f>
        <v>1184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1.9999999800000001</v>
      </c>
      <c r="AX47" s="7"/>
      <c r="AY47" s="6" t="b">
        <f>SUMIF(AS:AS,AS47,AP:AP)=100</f>
        <v>1</v>
      </c>
      <c r="AZ47" s="6" t="b">
        <f>SUMIF(AS:AS,AS47,AE:AE)/COUNTIF(AS:AS,AS47)=AE47</f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>C47&amp;" | "&amp;F47</f>
        <v>90MB1BJ0-C1BAY0 | 13020-00097400</v>
      </c>
      <c r="BE47" s="55" t="str">
        <f ca="1">C47&amp;" | "&amp;OFFSET($AF47,0,8-COUNTBLANK($AG47:$AN47))</f>
        <v>90MB1BJ0-C1BAY0 | 90MB1BJ0-C1BAY0</v>
      </c>
      <c r="BF47" s="57">
        <f ca="1">IFERROR(VLOOKUP($BE47,$BD$5:$BF46,3,0)*$AE47,VLOOKUP($C47,Demanda!$A:$B,2,0)*$AE47)*IF(AT47="Phantom Alt",$BC47,TRUE)</f>
        <v>1000</v>
      </c>
      <c r="BG47" s="57">
        <f ca="1">BF47*(AP47/100)</f>
        <v>1000</v>
      </c>
      <c r="BH47" s="57">
        <f>SUMIF(Invoice!A:A,F47,Invoice!B:B)</f>
        <v>2000</v>
      </c>
      <c r="BI47" s="57">
        <f ca="1">SUMIF(AS:AS,AS47,BG:BG)</f>
        <v>1000</v>
      </c>
      <c r="BJ47" s="57">
        <f ca="1">MIN((BI47-SUMIF($AS$5:AS46,AS47,$BJ$5:BJ46)),MAX(0,BH47-SUMIF($F$5:F46,F47,$BJ$5:BJ46)))</f>
        <v>1000</v>
      </c>
      <c r="BK47" s="57">
        <f ca="1">(-SUMIF(AS:AS,AS47,BG:BG)+SUMIF(AS:AS,AS47,BJ:BJ))*(AP47=100)*AR47</f>
        <v>0</v>
      </c>
      <c r="BL47" s="57">
        <f ca="1">MAX(0,SUMIF(Invoice!A:A,F47,Invoice!B:B)-SUMIF(F:F,F47,BJ:BJ))*(COUNTIF(F:F,F47)=COUNTIF($F$5:F47,F47))</f>
        <v>1000</v>
      </c>
    </row>
    <row r="48" spans="1:64" hidden="1">
      <c r="A48" s="43">
        <v>48</v>
      </c>
      <c r="B48" s="35" t="s">
        <v>147</v>
      </c>
      <c r="C48" s="35" t="s">
        <v>146</v>
      </c>
      <c r="D48" s="35">
        <v>1</v>
      </c>
      <c r="E48" s="35">
        <v>280</v>
      </c>
      <c r="F48" s="64" t="s">
        <v>250</v>
      </c>
      <c r="G48" s="73" t="s">
        <v>251</v>
      </c>
      <c r="H48" s="35" t="s">
        <v>249</v>
      </c>
      <c r="I48" s="35" t="s">
        <v>55</v>
      </c>
      <c r="J48" s="35">
        <v>0</v>
      </c>
      <c r="K48" s="35" t="s">
        <v>150</v>
      </c>
      <c r="L48" s="35" t="s">
        <v>53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73</v>
      </c>
      <c r="S48" s="35" t="s">
        <v>73</v>
      </c>
      <c r="T48" s="36">
        <v>36892</v>
      </c>
      <c r="U48" s="36">
        <v>2958465</v>
      </c>
      <c r="V48" s="35" t="s">
        <v>151</v>
      </c>
      <c r="W48" s="35" t="s">
        <v>145</v>
      </c>
      <c r="X48" s="35"/>
      <c r="Y48" s="35" t="s">
        <v>143</v>
      </c>
      <c r="Z48" s="35">
        <v>7589153</v>
      </c>
      <c r="AA48" s="35">
        <v>86</v>
      </c>
      <c r="AB48" s="35">
        <v>43</v>
      </c>
      <c r="AC48" s="35"/>
      <c r="AE48" s="51">
        <f>M48/O48</f>
        <v>1</v>
      </c>
      <c r="AG48" s="6" t="str">
        <f>C48</f>
        <v>90MB1BJ0-C1BAY0</v>
      </c>
      <c r="AH48" s="6" t="str">
        <f>IF($D48&lt;=AH$4,"",IF(AND($D47=AH$4,$D48&gt;AH$4),$F47,AH47))</f>
        <v/>
      </c>
      <c r="AI48" s="6" t="str">
        <f>IF($D48&lt;=AI$4,"",IF(AND($D47=AI$4,$D48&gt;AI$4),$F47,AI47))</f>
        <v/>
      </c>
      <c r="AJ48" s="6" t="str">
        <f>IF($D48&lt;=AJ$4,"",IF(AND($D47=AJ$4,$D48&gt;AJ$4),$F47,AJ47))</f>
        <v/>
      </c>
      <c r="AK48" s="6" t="str">
        <f>IF($D48&lt;=AK$4,"",IF(AND($D47=AK$4,$D48&gt;AK$4),$F47,AK47))</f>
        <v/>
      </c>
      <c r="AL48" s="6" t="str">
        <f>IF($D48&lt;=AL$4,"",IF(AND($D47=AL$4,$D48&gt;AL$4),$F47,AL47))</f>
        <v/>
      </c>
      <c r="AM48" s="6" t="str">
        <f>IF($D48&lt;=AM$4,"",IF(AND($D47=AM$4,$D48&gt;AM$4),$F47,AM47))</f>
        <v/>
      </c>
      <c r="AN48" s="6" t="str">
        <f>IF($D48&lt;=AN$4,"",IF(AND($D47=AN$4,$D48&gt;AN$4),$F47,AN47))</f>
        <v/>
      </c>
      <c r="AO48" s="6" t="str">
        <f>CONCATENATE(AG48," | ",AH48," | ",AI48," | ",AJ48," | ",AK48," | ",AL48," | ",AM48," | ",AN48)</f>
        <v xml:space="preserve">90MB1BJ0-C1BAY0 |  |  |  |  |  |  | </v>
      </c>
      <c r="AP48" s="6">
        <f>IF(TRIM(H48)="",100,J48)</f>
        <v>0</v>
      </c>
      <c r="AQ48" s="4"/>
      <c r="AR48" s="6" t="b">
        <f>NOT(TRIM(W48)&lt;&gt;"F")</f>
        <v>1</v>
      </c>
      <c r="AS48" s="6" t="str">
        <f>$B48&amp;" | "&amp;$AO48&amp;" | "&amp;IF(TRIM(H48)="","uniq"&amp;ROW(),TRIM(H48))</f>
        <v>461E | 90MB1BJ0-C1BAY0 |  |  |  |  |  |  |  | B4</v>
      </c>
      <c r="AT48" s="63">
        <f>IF(NOT(AR48),IF(TRIM($H48)="","Assembly","Phantom Alt"),VLOOKUP(F48,ZPCS04!B:G,6,0))</f>
        <v>1184</v>
      </c>
      <c r="AU48" s="7"/>
      <c r="AV48" s="38">
        <f ca="1">IF(TRIM($W48)="F",OFFSET($A$5,MATCH($AS48,$AS$5:$AS48,0)-1,0),$A48)</f>
        <v>47</v>
      </c>
      <c r="AW48" s="38">
        <f ca="1">IFERROR(OFFSET(ZPCS04!$A$1,MATCH(F48,ZPCS04!B:B,0)-1,0),100)</f>
        <v>2</v>
      </c>
      <c r="AX48" s="7"/>
      <c r="AY48" s="6" t="b">
        <f>SUMIF(AS:AS,AS48,AP:AP)=100</f>
        <v>1</v>
      </c>
      <c r="AZ48" s="6" t="b">
        <f>SUMIF(AS:AS,AS48,AE:AE)/COUNTIF(AS:AS,AS48)=AE48</f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>C48&amp;" | "&amp;F48</f>
        <v>90MB1BJ0-C1BAY0 | 13020-00097700</v>
      </c>
      <c r="BE48" s="55" t="str">
        <f ca="1">C48&amp;" | "&amp;OFFSET($AF48,0,8-COUNTBLANK($AG48:$AN48))</f>
        <v>90MB1BJ0-C1BAY0 | 90MB1BJ0-C1BAY0</v>
      </c>
      <c r="BF48" s="57">
        <f ca="1">IFERROR(VLOOKUP($BE48,$BD$5:$BF47,3,0)*$AE48,VLOOKUP($C48,Demanda!$A:$B,2,0)*$AE48)*IF(AT48="Phantom Alt",$BC48,TRUE)</f>
        <v>1000</v>
      </c>
      <c r="BG48" s="57">
        <f ca="1">BF48*(AP48/100)</f>
        <v>0</v>
      </c>
      <c r="BH48" s="57">
        <f>SUMIF(Invoice!A:A,F48,Invoice!B:B)</f>
        <v>0</v>
      </c>
      <c r="BI48" s="57">
        <f ca="1">SUMIF(AS:AS,AS48,BG:BG)</f>
        <v>1000</v>
      </c>
      <c r="BJ48" s="57">
        <f ca="1">MIN((BI48-SUMIF($AS$5:AS47,AS48,$BJ$5:BJ47)),MAX(0,BH48-SUMIF($F$5:F47,F48,$BJ$5:BJ47)))</f>
        <v>0</v>
      </c>
      <c r="BK48" s="57">
        <f ca="1">(-SUMIF(AS:AS,AS48,BG:BG)+SUMIF(AS:AS,AS48,BJ:BJ))*(AP48=100)*AR48</f>
        <v>0</v>
      </c>
      <c r="BL48" s="57">
        <f ca="1">MAX(0,SUMIF(Invoice!A:A,F48,Invoice!B:B)-SUMIF(F:F,F48,BJ:BJ))*(COUNTIF(F:F,F48)=COUNTIF($F$5:F48,F48))</f>
        <v>0</v>
      </c>
    </row>
    <row r="49" spans="1:64" hidden="1">
      <c r="A49" s="43">
        <v>49</v>
      </c>
      <c r="B49" s="35" t="s">
        <v>147</v>
      </c>
      <c r="C49" s="35" t="s">
        <v>146</v>
      </c>
      <c r="D49" s="35">
        <v>1</v>
      </c>
      <c r="E49" s="35">
        <v>290</v>
      </c>
      <c r="F49" s="64" t="s">
        <v>252</v>
      </c>
      <c r="G49" s="73" t="s">
        <v>253</v>
      </c>
      <c r="H49" s="35"/>
      <c r="I49" s="35" t="s">
        <v>54</v>
      </c>
      <c r="J49" s="35">
        <v>0</v>
      </c>
      <c r="K49" s="35" t="s">
        <v>150</v>
      </c>
      <c r="L49" s="35" t="s">
        <v>53</v>
      </c>
      <c r="M49" s="35">
        <v>3</v>
      </c>
      <c r="N49" s="35">
        <v>3</v>
      </c>
      <c r="O49" s="35">
        <v>1</v>
      </c>
      <c r="P49" s="35"/>
      <c r="Q49" s="35"/>
      <c r="R49" s="35" t="s">
        <v>73</v>
      </c>
      <c r="S49" s="35" t="s">
        <v>73</v>
      </c>
      <c r="T49" s="36">
        <v>36892</v>
      </c>
      <c r="U49" s="36">
        <v>2958465</v>
      </c>
      <c r="V49" s="35" t="s">
        <v>151</v>
      </c>
      <c r="W49" s="35" t="s">
        <v>145</v>
      </c>
      <c r="X49" s="35"/>
      <c r="Y49" s="35" t="s">
        <v>143</v>
      </c>
      <c r="Z49" s="35">
        <v>7589153</v>
      </c>
      <c r="AA49" s="35">
        <v>88</v>
      </c>
      <c r="AB49" s="35">
        <v>44</v>
      </c>
      <c r="AC49" s="35"/>
      <c r="AE49" s="51">
        <f>M49/O49</f>
        <v>3</v>
      </c>
      <c r="AG49" s="6" t="str">
        <f>C49</f>
        <v>90MB1BJ0-C1BAY0</v>
      </c>
      <c r="AH49" s="6" t="str">
        <f>IF($D49&lt;=AH$4,"",IF(AND($D48=AH$4,$D49&gt;AH$4),$F48,AH48))</f>
        <v/>
      </c>
      <c r="AI49" s="6" t="str">
        <f>IF($D49&lt;=AI$4,"",IF(AND($D48=AI$4,$D49&gt;AI$4),$F48,AI48))</f>
        <v/>
      </c>
      <c r="AJ49" s="6" t="str">
        <f>IF($D49&lt;=AJ$4,"",IF(AND($D48=AJ$4,$D49&gt;AJ$4),$F48,AJ48))</f>
        <v/>
      </c>
      <c r="AK49" s="6" t="str">
        <f>IF($D49&lt;=AK$4,"",IF(AND($D48=AK$4,$D49&gt;AK$4),$F48,AK48))</f>
        <v/>
      </c>
      <c r="AL49" s="6" t="str">
        <f>IF($D49&lt;=AL$4,"",IF(AND($D48=AL$4,$D49&gt;AL$4),$F48,AL48))</f>
        <v/>
      </c>
      <c r="AM49" s="6" t="str">
        <f>IF($D49&lt;=AM$4,"",IF(AND($D48=AM$4,$D49&gt;AM$4),$F48,AM48))</f>
        <v/>
      </c>
      <c r="AN49" s="6" t="str">
        <f>IF($D49&lt;=AN$4,"",IF(AND($D48=AN$4,$D49&gt;AN$4),$F48,AN48))</f>
        <v/>
      </c>
      <c r="AO49" s="6" t="str">
        <f>CONCATENATE(AG49," | ",AH49," | ",AI49," | ",AJ49," | ",AK49," | ",AL49," | ",AM49," | ",AN49)</f>
        <v xml:space="preserve">90MB1BJ0-C1BAY0 |  |  |  |  |  |  | </v>
      </c>
      <c r="AP49" s="6">
        <f>IF(TRIM(H49)="",100,J49)</f>
        <v>100</v>
      </c>
      <c r="AQ49" s="4"/>
      <c r="AR49" s="6" t="b">
        <f>NOT(TRIM(W49)&lt;&gt;"F")</f>
        <v>1</v>
      </c>
      <c r="AS49" s="6" t="str">
        <f>$B49&amp;" | "&amp;$AO49&amp;" | "&amp;IF(TRIM(H49)="","uniq"&amp;ROW(),TRIM(H49))</f>
        <v>461E | 90MB1BJ0-C1BAY0 |  |  |  |  |  |  |  | uniq49</v>
      </c>
      <c r="AT49" s="63">
        <f>IF(NOT(AR49),IF(TRIM($H49)="","Assembly","Phantom Alt"),VLOOKUP(F49,ZPCS04!B:G,6,0))</f>
        <v>175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1.99999997</v>
      </c>
      <c r="AX49" s="7"/>
      <c r="AY49" s="6" t="b">
        <f>SUMIF(AS:AS,AS49,AP:AP)=100</f>
        <v>1</v>
      </c>
      <c r="AZ49" s="6" t="b">
        <f>SUMIF(AS:AS,AS49,AE:AE)/COUNTIF(AS:AS,AS49)=AE49</f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>C49&amp;" | "&amp;F49</f>
        <v>90MB1BJ0-C1BAY0 | 13MB18E0P02011</v>
      </c>
      <c r="BE49" s="55" t="str">
        <f ca="1">C49&amp;" | "&amp;OFFSET($AF49,0,8-COUNTBLANK($AG49:$AN49))</f>
        <v>90MB1BJ0-C1BAY0 | 90MB1BJ0-C1BAY0</v>
      </c>
      <c r="BF49" s="57">
        <f ca="1">IFERROR(VLOOKUP($BE49,$BD$5:$BF48,3,0)*$AE49,VLOOKUP($C49,Demanda!$A:$B,2,0)*$AE49)*IF(AT49="Phantom Alt",$BC49,TRUE)</f>
        <v>3000</v>
      </c>
      <c r="BG49" s="57">
        <f ca="1">BF49*(AP49/100)</f>
        <v>3000</v>
      </c>
      <c r="BH49" s="57">
        <f>SUMIF(Invoice!A:A,F49,Invoice!B:B)</f>
        <v>3000</v>
      </c>
      <c r="BI49" s="57">
        <f ca="1">SUMIF(AS:AS,AS49,BG:BG)</f>
        <v>3000</v>
      </c>
      <c r="BJ49" s="57">
        <f ca="1">MIN((BI49-SUMIF($AS$5:AS48,AS49,$BJ$5:BJ48)),MAX(0,BH49-SUMIF($F$5:F48,F49,$BJ$5:BJ48)))</f>
        <v>3000</v>
      </c>
      <c r="BK49" s="57">
        <f ca="1">(-SUMIF(AS:AS,AS49,BG:BG)+SUMIF(AS:AS,AS49,BJ:BJ))*(AP49=100)*AR49</f>
        <v>0</v>
      </c>
      <c r="BL49" s="57">
        <f ca="1">MAX(0,SUMIF(Invoice!A:A,F49,Invoice!B:B)-SUMIF(F:F,F49,BJ:BJ))*(COUNTIF(F:F,F49)=COUNTIF($F$5:F49,F49))</f>
        <v>0</v>
      </c>
    </row>
    <row r="50" spans="1:64" hidden="1">
      <c r="A50" s="43">
        <v>51</v>
      </c>
      <c r="B50" s="35" t="s">
        <v>147</v>
      </c>
      <c r="C50" s="35" t="s">
        <v>146</v>
      </c>
      <c r="D50" s="35">
        <v>1</v>
      </c>
      <c r="E50" s="35">
        <v>300</v>
      </c>
      <c r="F50" s="64" t="s">
        <v>257</v>
      </c>
      <c r="G50" s="73" t="s">
        <v>258</v>
      </c>
      <c r="H50" s="35" t="s">
        <v>256</v>
      </c>
      <c r="I50" s="35" t="s">
        <v>54</v>
      </c>
      <c r="J50" s="35">
        <v>100</v>
      </c>
      <c r="K50" s="35" t="s">
        <v>150</v>
      </c>
      <c r="L50" s="35" t="s">
        <v>53</v>
      </c>
      <c r="M50" s="35">
        <v>4</v>
      </c>
      <c r="N50" s="35">
        <v>4</v>
      </c>
      <c r="O50" s="35">
        <v>1</v>
      </c>
      <c r="P50" s="35">
        <v>2</v>
      </c>
      <c r="Q50" s="35">
        <v>1</v>
      </c>
      <c r="R50" s="35" t="s">
        <v>73</v>
      </c>
      <c r="S50" s="35" t="s">
        <v>73</v>
      </c>
      <c r="T50" s="36">
        <v>36892</v>
      </c>
      <c r="U50" s="36">
        <v>2958465</v>
      </c>
      <c r="V50" s="35" t="s">
        <v>151</v>
      </c>
      <c r="W50" s="35" t="s">
        <v>145</v>
      </c>
      <c r="X50" s="35"/>
      <c r="Y50" s="35" t="s">
        <v>143</v>
      </c>
      <c r="Z50" s="35">
        <v>7589153</v>
      </c>
      <c r="AA50" s="35">
        <v>90</v>
      </c>
      <c r="AB50" s="35">
        <v>45</v>
      </c>
      <c r="AC50" s="35"/>
      <c r="AE50" s="51">
        <f>M50/O50</f>
        <v>4</v>
      </c>
      <c r="AG50" s="6" t="str">
        <f>C50</f>
        <v>90MB1BJ0-C1BAY0</v>
      </c>
      <c r="AH50" s="6" t="str">
        <f>IF($D50&lt;=AH$4,"",IF(AND($D49=AH$4,$D50&gt;AH$4),$F49,AH49))</f>
        <v/>
      </c>
      <c r="AI50" s="6" t="str">
        <f>IF($D50&lt;=AI$4,"",IF(AND($D49=AI$4,$D50&gt;AI$4),$F49,AI49))</f>
        <v/>
      </c>
      <c r="AJ50" s="6" t="str">
        <f>IF($D50&lt;=AJ$4,"",IF(AND($D49=AJ$4,$D50&gt;AJ$4),$F49,AJ49))</f>
        <v/>
      </c>
      <c r="AK50" s="6" t="str">
        <f>IF($D50&lt;=AK$4,"",IF(AND($D49=AK$4,$D50&gt;AK$4),$F49,AK49))</f>
        <v/>
      </c>
      <c r="AL50" s="6" t="str">
        <f>IF($D50&lt;=AL$4,"",IF(AND($D49=AL$4,$D50&gt;AL$4),$F49,AL49))</f>
        <v/>
      </c>
      <c r="AM50" s="6" t="str">
        <f>IF($D50&lt;=AM$4,"",IF(AND($D49=AM$4,$D50&gt;AM$4),$F49,AM49))</f>
        <v/>
      </c>
      <c r="AN50" s="6" t="str">
        <f>IF($D50&lt;=AN$4,"",IF(AND($D49=AN$4,$D50&gt;AN$4),$F49,AN49))</f>
        <v/>
      </c>
      <c r="AO50" s="6" t="str">
        <f>CONCATENATE(AG50," | ",AH50," | ",AI50," | ",AJ50," | ",AK50," | ",AL50," | ",AM50," | ",AN50)</f>
        <v xml:space="preserve">90MB1BJ0-C1BAY0 |  |  |  |  |  |  | </v>
      </c>
      <c r="AP50" s="6">
        <f>IF(TRIM(H50)="",100,J50)</f>
        <v>100</v>
      </c>
      <c r="AQ50" s="4"/>
      <c r="AR50" s="6" t="b">
        <f>NOT(TRIM(W50)&lt;&gt;"F")</f>
        <v>1</v>
      </c>
      <c r="AS50" s="6" t="str">
        <f>$B50&amp;" | "&amp;$AO50&amp;" | "&amp;IF(TRIM(H50)="","uniq"&amp;ROW(),TRIM(H50))</f>
        <v>461E | 90MB1BJ0-C1BAY0 |  |  |  |  |  |  |  | B5</v>
      </c>
      <c r="AT50" s="63">
        <f>IF(NOT(AR50),IF(TRIM($H50)="","Assembly","Phantom Alt"),VLOOKUP(F50,ZPCS04!B:G,6,0))</f>
        <v>1020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1.99999996</v>
      </c>
      <c r="AX50" s="7"/>
      <c r="AY50" s="6" t="b">
        <f>SUMIF(AS:AS,AS50,AP:AP)=100</f>
        <v>1</v>
      </c>
      <c r="AZ50" s="6" t="b">
        <f>SUMIF(AS:AS,AS50,AE:AE)/COUNTIF(AS:AS,AS50)=AE50</f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>C50&amp;" | "&amp;F50</f>
        <v>90MB1BJ0-C1BAY0 | 13040-01260000</v>
      </c>
      <c r="BE50" s="55" t="str">
        <f ca="1">C50&amp;" | "&amp;OFFSET($AF50,0,8-COUNTBLANK($AG50:$AN50))</f>
        <v>90MB1BJ0-C1BAY0 | 90MB1BJ0-C1BAY0</v>
      </c>
      <c r="BF50" s="57">
        <f ca="1">IFERROR(VLOOKUP($BE50,$BD$5:$BF49,3,0)*$AE50,VLOOKUP($C50,Demanda!$A:$B,2,0)*$AE50)*IF(AT50="Phantom Alt",$BC50,TRUE)</f>
        <v>4000</v>
      </c>
      <c r="BG50" s="57">
        <f ca="1">BF50*(AP50/100)</f>
        <v>4000</v>
      </c>
      <c r="BH50" s="57">
        <f>SUMIF(Invoice!A:A,F50,Invoice!B:B)</f>
        <v>4000</v>
      </c>
      <c r="BI50" s="57">
        <f ca="1">SUMIF(AS:AS,AS50,BG:BG)</f>
        <v>4000</v>
      </c>
      <c r="BJ50" s="57">
        <f ca="1">MIN((BI50-SUMIF($AS$5:AS49,AS50,$BJ$5:BJ49)),MAX(0,BH50-SUMIF($F$5:F49,F50,$BJ$5:BJ49)))</f>
        <v>4000</v>
      </c>
      <c r="BK50" s="57">
        <f ca="1">(-SUMIF(AS:AS,AS50,BG:BG)+SUMIF(AS:AS,AS50,BJ:BJ))*(AP50=100)*AR50</f>
        <v>0</v>
      </c>
      <c r="BL50" s="57">
        <f ca="1">MAX(0,SUMIF(Invoice!A:A,F50,Invoice!B:B)-SUMIF(F:F,F50,BJ:BJ))*(COUNTIF(F:F,F50)=COUNTIF($F$5:F50,F50))</f>
        <v>0</v>
      </c>
    </row>
    <row r="51" spans="1:64" hidden="1">
      <c r="A51" s="43">
        <v>50</v>
      </c>
      <c r="B51" s="35" t="s">
        <v>147</v>
      </c>
      <c r="C51" s="35" t="s">
        <v>146</v>
      </c>
      <c r="D51" s="35">
        <v>1</v>
      </c>
      <c r="E51" s="35">
        <v>300</v>
      </c>
      <c r="F51" s="64" t="s">
        <v>254</v>
      </c>
      <c r="G51" s="73" t="s">
        <v>255</v>
      </c>
      <c r="H51" s="35" t="s">
        <v>256</v>
      </c>
      <c r="I51" s="35" t="s">
        <v>55</v>
      </c>
      <c r="J51" s="35">
        <v>0</v>
      </c>
      <c r="K51" s="35" t="s">
        <v>150</v>
      </c>
      <c r="L51" s="35" t="s">
        <v>53</v>
      </c>
      <c r="M51" s="35">
        <v>4</v>
      </c>
      <c r="N51" s="35"/>
      <c r="O51" s="35">
        <v>1</v>
      </c>
      <c r="P51" s="35">
        <v>2</v>
      </c>
      <c r="Q51" s="35">
        <v>2</v>
      </c>
      <c r="R51" s="35" t="s">
        <v>73</v>
      </c>
      <c r="S51" s="35" t="s">
        <v>73</v>
      </c>
      <c r="T51" s="36">
        <v>36892</v>
      </c>
      <c r="U51" s="36">
        <v>2958465</v>
      </c>
      <c r="V51" s="35" t="s">
        <v>151</v>
      </c>
      <c r="W51" s="35" t="s">
        <v>145</v>
      </c>
      <c r="X51" s="35"/>
      <c r="Y51" s="35" t="s">
        <v>143</v>
      </c>
      <c r="Z51" s="35">
        <v>7589153</v>
      </c>
      <c r="AA51" s="35">
        <v>92</v>
      </c>
      <c r="AB51" s="35">
        <v>46</v>
      </c>
      <c r="AC51" s="35"/>
      <c r="AE51" s="51">
        <f>M51/O51</f>
        <v>4</v>
      </c>
      <c r="AG51" s="6" t="str">
        <f>C51</f>
        <v>90MB1BJ0-C1BAY0</v>
      </c>
      <c r="AH51" s="6" t="str">
        <f>IF($D51&lt;=AH$4,"",IF(AND($D50=AH$4,$D51&gt;AH$4),$F50,AH50))</f>
        <v/>
      </c>
      <c r="AI51" s="6" t="str">
        <f>IF($D51&lt;=AI$4,"",IF(AND($D50=AI$4,$D51&gt;AI$4),$F50,AI50))</f>
        <v/>
      </c>
      <c r="AJ51" s="6" t="str">
        <f>IF($D51&lt;=AJ$4,"",IF(AND($D50=AJ$4,$D51&gt;AJ$4),$F50,AJ50))</f>
        <v/>
      </c>
      <c r="AK51" s="6" t="str">
        <f>IF($D51&lt;=AK$4,"",IF(AND($D50=AK$4,$D51&gt;AK$4),$F50,AK50))</f>
        <v/>
      </c>
      <c r="AL51" s="6" t="str">
        <f>IF($D51&lt;=AL$4,"",IF(AND($D50=AL$4,$D51&gt;AL$4),$F50,AL50))</f>
        <v/>
      </c>
      <c r="AM51" s="6" t="str">
        <f>IF($D51&lt;=AM$4,"",IF(AND($D50=AM$4,$D51&gt;AM$4),$F50,AM50))</f>
        <v/>
      </c>
      <c r="AN51" s="6" t="str">
        <f>IF($D51&lt;=AN$4,"",IF(AND($D50=AN$4,$D51&gt;AN$4),$F50,AN50))</f>
        <v/>
      </c>
      <c r="AO51" s="6" t="str">
        <f>CONCATENATE(AG51," | ",AH51," | ",AI51," | ",AJ51," | ",AK51," | ",AL51," | ",AM51," | ",AN51)</f>
        <v xml:space="preserve">90MB1BJ0-C1BAY0 |  |  |  |  |  |  | </v>
      </c>
      <c r="AP51" s="6">
        <f>IF(TRIM(H51)="",100,J51)</f>
        <v>0</v>
      </c>
      <c r="AQ51" s="4"/>
      <c r="AR51" s="6" t="b">
        <f>NOT(TRIM(W51)&lt;&gt;"F")</f>
        <v>1</v>
      </c>
      <c r="AS51" s="6" t="str">
        <f>$B51&amp;" | "&amp;$AO51&amp;" | "&amp;IF(TRIM(H51)="","uniq"&amp;ROW(),TRIM(H51))</f>
        <v>461E | 90MB1BJ0-C1BAY0 |  |  |  |  |  |  |  | B5</v>
      </c>
      <c r="AT51" s="63">
        <f>IF(NOT(AR51),IF(TRIM($H51)="","Assembly","Phantom Alt"),VLOOKUP(F51,ZPCS04!B:G,6,0))</f>
        <v>1020</v>
      </c>
      <c r="AU51" s="7"/>
      <c r="AV51" s="38">
        <f ca="1">IF(TRIM($W51)="F",OFFSET($A$5,MATCH($AS51,$AS$5:$AS51,0)-1,0),$A51)</f>
        <v>51</v>
      </c>
      <c r="AW51" s="38">
        <f ca="1">IFERROR(OFFSET(ZPCS04!$A$1,MATCH(F51,ZPCS04!B:B,0)-1,0),100)</f>
        <v>2</v>
      </c>
      <c r="AX51" s="7"/>
      <c r="AY51" s="6" t="b">
        <f>SUMIF(AS:AS,AS51,AP:AP)=100</f>
        <v>1</v>
      </c>
      <c r="AZ51" s="6" t="b">
        <f>SUMIF(AS:AS,AS51,AE:AE)/COUNTIF(AS:AS,AS51)=AE51</f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>C51&amp;" | "&amp;F51</f>
        <v>90MB1BJ0-C1BAY0 | 13040-00270500</v>
      </c>
      <c r="BE51" s="55" t="str">
        <f ca="1">C51&amp;" | "&amp;OFFSET($AF51,0,8-COUNTBLANK($AG51:$AN51))</f>
        <v>90MB1BJ0-C1BAY0 | 90MB1BJ0-C1BAY0</v>
      </c>
      <c r="BF51" s="57">
        <f ca="1">IFERROR(VLOOKUP($BE51,$BD$5:$BF50,3,0)*$AE51,VLOOKUP($C51,Demanda!$A:$B,2,0)*$AE51)*IF(AT51="Phantom Alt",$BC51,TRUE)</f>
        <v>4000</v>
      </c>
      <c r="BG51" s="57">
        <f ca="1">BF51*(AP51/100)</f>
        <v>0</v>
      </c>
      <c r="BH51" s="57">
        <f>SUMIF(Invoice!A:A,F51,Invoice!B:B)</f>
        <v>0</v>
      </c>
      <c r="BI51" s="57">
        <f ca="1">SUMIF(AS:AS,AS51,BG:BG)</f>
        <v>4000</v>
      </c>
      <c r="BJ51" s="57">
        <f ca="1">MIN((BI51-SUMIF($AS$5:AS50,AS51,$BJ$5:BJ50)),MAX(0,BH51-SUMIF($F$5:F50,F51,$BJ$5:BJ50)))</f>
        <v>0</v>
      </c>
      <c r="BK51" s="57">
        <f ca="1">(-SUMIF(AS:AS,AS51,BG:BG)+SUMIF(AS:AS,AS51,BJ:BJ))*(AP51=100)*AR51</f>
        <v>0</v>
      </c>
      <c r="BL51" s="57">
        <f ca="1">MAX(0,SUMIF(Invoice!A:A,F51,Invoice!B:B)-SUMIF(F:F,F51,BJ:BJ))*(COUNTIF(F:F,F51)=COUNTIF($F$5:F51,F51))</f>
        <v>0</v>
      </c>
    </row>
    <row r="52" spans="1:64" hidden="1">
      <c r="A52" s="43">
        <v>52</v>
      </c>
      <c r="B52" s="35" t="s">
        <v>147</v>
      </c>
      <c r="C52" s="35" t="s">
        <v>146</v>
      </c>
      <c r="D52" s="35">
        <v>1</v>
      </c>
      <c r="E52" s="35">
        <v>310</v>
      </c>
      <c r="F52" s="64" t="s">
        <v>259</v>
      </c>
      <c r="G52" s="73" t="s">
        <v>260</v>
      </c>
      <c r="H52" s="35" t="s">
        <v>261</v>
      </c>
      <c r="I52" s="35" t="s">
        <v>54</v>
      </c>
      <c r="J52" s="35">
        <v>100</v>
      </c>
      <c r="K52" s="35" t="s">
        <v>150</v>
      </c>
      <c r="L52" s="35" t="s">
        <v>53</v>
      </c>
      <c r="M52" s="35">
        <v>13</v>
      </c>
      <c r="N52" s="35">
        <v>13</v>
      </c>
      <c r="O52" s="35">
        <v>1</v>
      </c>
      <c r="P52" s="35">
        <v>2</v>
      </c>
      <c r="Q52" s="35">
        <v>1</v>
      </c>
      <c r="R52" s="35" t="s">
        <v>73</v>
      </c>
      <c r="S52" s="35" t="s">
        <v>73</v>
      </c>
      <c r="T52" s="36">
        <v>36892</v>
      </c>
      <c r="U52" s="36">
        <v>2958465</v>
      </c>
      <c r="V52" s="35" t="s">
        <v>151</v>
      </c>
      <c r="W52" s="35" t="s">
        <v>145</v>
      </c>
      <c r="X52" s="35"/>
      <c r="Y52" s="35" t="s">
        <v>143</v>
      </c>
      <c r="Z52" s="35">
        <v>7589153</v>
      </c>
      <c r="AA52" s="35">
        <v>94</v>
      </c>
      <c r="AB52" s="35">
        <v>47</v>
      </c>
      <c r="AC52" s="35"/>
      <c r="AE52" s="51">
        <f>M52/O52</f>
        <v>13</v>
      </c>
      <c r="AG52" s="6" t="str">
        <f>C52</f>
        <v>90MB1BJ0-C1BAY0</v>
      </c>
      <c r="AH52" s="6" t="str">
        <f>IF($D52&lt;=AH$4,"",IF(AND($D51=AH$4,$D52&gt;AH$4),$F51,AH51))</f>
        <v/>
      </c>
      <c r="AI52" s="6" t="str">
        <f>IF($D52&lt;=AI$4,"",IF(AND($D51=AI$4,$D52&gt;AI$4),$F51,AI51))</f>
        <v/>
      </c>
      <c r="AJ52" s="6" t="str">
        <f>IF($D52&lt;=AJ$4,"",IF(AND($D51=AJ$4,$D52&gt;AJ$4),$F51,AJ51))</f>
        <v/>
      </c>
      <c r="AK52" s="6" t="str">
        <f>IF($D52&lt;=AK$4,"",IF(AND($D51=AK$4,$D52&gt;AK$4),$F51,AK51))</f>
        <v/>
      </c>
      <c r="AL52" s="6" t="str">
        <f>IF($D52&lt;=AL$4,"",IF(AND($D51=AL$4,$D52&gt;AL$4),$F51,AL51))</f>
        <v/>
      </c>
      <c r="AM52" s="6" t="str">
        <f>IF($D52&lt;=AM$4,"",IF(AND($D51=AM$4,$D52&gt;AM$4),$F51,AM51))</f>
        <v/>
      </c>
      <c r="AN52" s="6" t="str">
        <f>IF($D52&lt;=AN$4,"",IF(AND($D51=AN$4,$D52&gt;AN$4),$F51,AN51))</f>
        <v/>
      </c>
      <c r="AO52" s="6" t="str">
        <f>CONCATENATE(AG52," | ",AH52," | ",AI52," | ",AJ52," | ",AK52," | ",AL52," | ",AM52," | ",AN52)</f>
        <v xml:space="preserve">90MB1BJ0-C1BAY0 |  |  |  |  |  |  | </v>
      </c>
      <c r="AP52" s="6">
        <f>IF(TRIM(H52)="",100,J52)</f>
        <v>100</v>
      </c>
      <c r="AQ52" s="4"/>
      <c r="AR52" s="6" t="b">
        <f>NOT(TRIM(W52)&lt;&gt;"F")</f>
        <v>1</v>
      </c>
      <c r="AS52" s="6" t="str">
        <f>$B52&amp;" | "&amp;$AO52&amp;" | "&amp;IF(TRIM(H52)="","uniq"&amp;ROW(),TRIM(H52))</f>
        <v>461E | 90MB1BJ0-C1BAY0 |  |  |  |  |  |  |  | B6</v>
      </c>
      <c r="AT52" s="63">
        <f>IF(NOT(AR52),IF(TRIM($H52)="","Assembly","Phantom Alt"),VLOOKUP(F52,ZPCS04!B:G,6,0))</f>
        <v>329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1.99999986</v>
      </c>
      <c r="AX52" s="7"/>
      <c r="AY52" s="6" t="b">
        <f>SUMIF(AS:AS,AS52,AP:AP)=100</f>
        <v>1</v>
      </c>
      <c r="AZ52" s="6" t="b">
        <f>SUMIF(AS:AS,AS52,AE:AE)/COUNTIF(AS:AS,AS52)=AE52</f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>C52&amp;" | "&amp;F52</f>
        <v>90MB1BJ0-C1BAY0 | 13020-00405100</v>
      </c>
      <c r="BE52" s="55" t="str">
        <f ca="1">C52&amp;" | "&amp;OFFSET($AF52,0,8-COUNTBLANK($AG52:$AN52))</f>
        <v>90MB1BJ0-C1BAY0 | 90MB1BJ0-C1BAY0</v>
      </c>
      <c r="BF52" s="57">
        <f ca="1">IFERROR(VLOOKUP($BE52,$BD$5:$BF51,3,0)*$AE52,VLOOKUP($C52,Demanda!$A:$B,2,0)*$AE52)*IF(AT52="Phantom Alt",$BC52,TRUE)</f>
        <v>13000</v>
      </c>
      <c r="BG52" s="57">
        <f ca="1">BF52*(AP52/100)</f>
        <v>13000</v>
      </c>
      <c r="BH52" s="57">
        <f>SUMIF(Invoice!A:A,F52,Invoice!B:B)</f>
        <v>14000</v>
      </c>
      <c r="BI52" s="57">
        <f ca="1">SUMIF(AS:AS,AS52,BG:BG)</f>
        <v>13000</v>
      </c>
      <c r="BJ52" s="57">
        <f ca="1">MIN((BI52-SUMIF($AS$5:AS51,AS52,$BJ$5:BJ51)),MAX(0,BH52-SUMIF($F$5:F51,F52,$BJ$5:BJ51)))</f>
        <v>13000</v>
      </c>
      <c r="BK52" s="57">
        <f ca="1">(-SUMIF(AS:AS,AS52,BG:BG)+SUMIF(AS:AS,AS52,BJ:BJ))*(AP52=100)*AR52</f>
        <v>0</v>
      </c>
      <c r="BL52" s="57">
        <f ca="1">MAX(0,SUMIF(Invoice!A:A,F52,Invoice!B:B)-SUMIF(F:F,F52,BJ:BJ))*(COUNTIF(F:F,F52)=COUNTIF($F$5:F52,F52))</f>
        <v>1000</v>
      </c>
    </row>
    <row r="53" spans="1:64" hidden="1">
      <c r="A53" s="43">
        <v>53</v>
      </c>
      <c r="B53" s="35" t="s">
        <v>147</v>
      </c>
      <c r="C53" s="35" t="s">
        <v>146</v>
      </c>
      <c r="D53" s="35">
        <v>1</v>
      </c>
      <c r="E53" s="35">
        <v>310</v>
      </c>
      <c r="F53" s="64" t="s">
        <v>262</v>
      </c>
      <c r="G53" s="73" t="s">
        <v>263</v>
      </c>
      <c r="H53" s="35" t="s">
        <v>261</v>
      </c>
      <c r="I53" s="35" t="s">
        <v>55</v>
      </c>
      <c r="J53" s="35">
        <v>0</v>
      </c>
      <c r="K53" s="35" t="s">
        <v>150</v>
      </c>
      <c r="L53" s="35" t="s">
        <v>53</v>
      </c>
      <c r="M53" s="35">
        <v>13</v>
      </c>
      <c r="N53" s="35"/>
      <c r="O53" s="35">
        <v>1</v>
      </c>
      <c r="P53" s="35">
        <v>2</v>
      </c>
      <c r="Q53" s="35">
        <v>2</v>
      </c>
      <c r="R53" s="35" t="s">
        <v>73</v>
      </c>
      <c r="S53" s="35" t="s">
        <v>73</v>
      </c>
      <c r="T53" s="36">
        <v>36892</v>
      </c>
      <c r="U53" s="36">
        <v>2958465</v>
      </c>
      <c r="V53" s="35" t="s">
        <v>151</v>
      </c>
      <c r="W53" s="35" t="s">
        <v>145</v>
      </c>
      <c r="X53" s="35"/>
      <c r="Y53" s="35" t="s">
        <v>143</v>
      </c>
      <c r="Z53" s="35">
        <v>7589153</v>
      </c>
      <c r="AA53" s="35">
        <v>96</v>
      </c>
      <c r="AB53" s="35">
        <v>48</v>
      </c>
      <c r="AC53" s="35"/>
      <c r="AE53" s="51">
        <f>M53/O53</f>
        <v>13</v>
      </c>
      <c r="AG53" s="6" t="str">
        <f>C53</f>
        <v>90MB1BJ0-C1BAY0</v>
      </c>
      <c r="AH53" s="6" t="str">
        <f>IF($D53&lt;=AH$4,"",IF(AND($D52=AH$4,$D53&gt;AH$4),$F52,AH52))</f>
        <v/>
      </c>
      <c r="AI53" s="6" t="str">
        <f>IF($D53&lt;=AI$4,"",IF(AND($D52=AI$4,$D53&gt;AI$4),$F52,AI52))</f>
        <v/>
      </c>
      <c r="AJ53" s="6" t="str">
        <f>IF($D53&lt;=AJ$4,"",IF(AND($D52=AJ$4,$D53&gt;AJ$4),$F52,AJ52))</f>
        <v/>
      </c>
      <c r="AK53" s="6" t="str">
        <f>IF($D53&lt;=AK$4,"",IF(AND($D52=AK$4,$D53&gt;AK$4),$F52,AK52))</f>
        <v/>
      </c>
      <c r="AL53" s="6" t="str">
        <f>IF($D53&lt;=AL$4,"",IF(AND($D52=AL$4,$D53&gt;AL$4),$F52,AL52))</f>
        <v/>
      </c>
      <c r="AM53" s="6" t="str">
        <f>IF($D53&lt;=AM$4,"",IF(AND($D52=AM$4,$D53&gt;AM$4),$F52,AM52))</f>
        <v/>
      </c>
      <c r="AN53" s="6" t="str">
        <f>IF($D53&lt;=AN$4,"",IF(AND($D52=AN$4,$D53&gt;AN$4),$F52,AN52))</f>
        <v/>
      </c>
      <c r="AO53" s="6" t="str">
        <f>CONCATENATE(AG53," | ",AH53," | ",AI53," | ",AJ53," | ",AK53," | ",AL53," | ",AM53," | ",AN53)</f>
        <v xml:space="preserve">90MB1BJ0-C1BAY0 |  |  |  |  |  |  | </v>
      </c>
      <c r="AP53" s="6">
        <f>IF(TRIM(H53)="",100,J53)</f>
        <v>0</v>
      </c>
      <c r="AQ53" s="4"/>
      <c r="AR53" s="6" t="b">
        <f>NOT(TRIM(W53)&lt;&gt;"F")</f>
        <v>1</v>
      </c>
      <c r="AS53" s="6" t="str">
        <f>$B53&amp;" | "&amp;$AO53&amp;" | "&amp;IF(TRIM(H53)="","uniq"&amp;ROW(),TRIM(H53))</f>
        <v>461E | 90MB1BJ0-C1BAY0 |  |  |  |  |  |  |  | B6</v>
      </c>
      <c r="AT53" s="63">
        <f>IF(NOT(AR53),IF(TRIM($H53)="","Assembly","Phantom Alt"),VLOOKUP(F53,ZPCS04!B:G,6,0))</f>
        <v>329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2</v>
      </c>
      <c r="AX53" s="7"/>
      <c r="AY53" s="6" t="b">
        <f>SUMIF(AS:AS,AS53,AP:AP)=100</f>
        <v>1</v>
      </c>
      <c r="AZ53" s="6" t="b">
        <f>SUMIF(AS:AS,AS53,AE:AE)/COUNTIF(AS:AS,AS53)=AE53</f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>C53&amp;" | "&amp;F53</f>
        <v>90MB1BJ0-C1BAY0 | 13050-72B0403A</v>
      </c>
      <c r="BE53" s="55" t="str">
        <f ca="1">C53&amp;" | "&amp;OFFSET($AF53,0,8-COUNTBLANK($AG53:$AN53))</f>
        <v>90MB1BJ0-C1BAY0 | 90MB1BJ0-C1BAY0</v>
      </c>
      <c r="BF53" s="57">
        <f ca="1">IFERROR(VLOOKUP($BE53,$BD$5:$BF52,3,0)*$AE53,VLOOKUP($C53,Demanda!$A:$B,2,0)*$AE53)*IF(AT53="Phantom Alt",$BC53,TRUE)</f>
        <v>13000</v>
      </c>
      <c r="BG53" s="57">
        <f ca="1">BF53*(AP53/100)</f>
        <v>0</v>
      </c>
      <c r="BH53" s="57">
        <f>SUMIF(Invoice!A:A,F53,Invoice!B:B)</f>
        <v>0</v>
      </c>
      <c r="BI53" s="57">
        <f ca="1">SUMIF(AS:AS,AS53,BG:BG)</f>
        <v>13000</v>
      </c>
      <c r="BJ53" s="57">
        <f ca="1">MIN((BI53-SUMIF($AS$5:AS52,AS53,$BJ$5:BJ52)),MAX(0,BH53-SUMIF($F$5:F52,F53,$BJ$5:BJ52)))</f>
        <v>0</v>
      </c>
      <c r="BK53" s="57">
        <f ca="1">(-SUMIF(AS:AS,AS53,BG:BG)+SUMIF(AS:AS,AS53,BJ:BJ))*(AP53=100)*AR53</f>
        <v>0</v>
      </c>
      <c r="BL53" s="57">
        <f ca="1">MAX(0,SUMIF(Invoice!A:A,F53,Invoice!B:B)-SUMIF(F:F,F53,BJ:BJ))*(COUNTIF(F:F,F53)=COUNTIF($F$5:F53,F53))</f>
        <v>0</v>
      </c>
    </row>
    <row r="54" spans="1:64" hidden="1">
      <c r="A54" s="43">
        <v>55</v>
      </c>
      <c r="B54" s="35" t="s">
        <v>147</v>
      </c>
      <c r="C54" s="35" t="s">
        <v>146</v>
      </c>
      <c r="D54" s="35">
        <v>1</v>
      </c>
      <c r="E54" s="35">
        <v>320</v>
      </c>
      <c r="F54" s="64" t="s">
        <v>267</v>
      </c>
      <c r="G54" s="73" t="s">
        <v>268</v>
      </c>
      <c r="H54" s="35" t="s">
        <v>266</v>
      </c>
      <c r="I54" s="35" t="s">
        <v>54</v>
      </c>
      <c r="J54" s="35">
        <v>100</v>
      </c>
      <c r="K54" s="35" t="s">
        <v>150</v>
      </c>
      <c r="L54" s="35" t="s">
        <v>53</v>
      </c>
      <c r="M54" s="35">
        <v>3</v>
      </c>
      <c r="N54" s="35">
        <v>3</v>
      </c>
      <c r="O54" s="35">
        <v>1</v>
      </c>
      <c r="P54" s="35">
        <v>2</v>
      </c>
      <c r="Q54" s="35">
        <v>1</v>
      </c>
      <c r="R54" s="35" t="s">
        <v>73</v>
      </c>
      <c r="S54" s="35" t="s">
        <v>73</v>
      </c>
      <c r="T54" s="36">
        <v>36892</v>
      </c>
      <c r="U54" s="36">
        <v>2958465</v>
      </c>
      <c r="V54" s="35" t="s">
        <v>151</v>
      </c>
      <c r="W54" s="35" t="s">
        <v>145</v>
      </c>
      <c r="X54" s="35"/>
      <c r="Y54" s="35" t="s">
        <v>143</v>
      </c>
      <c r="Z54" s="35">
        <v>7589153</v>
      </c>
      <c r="AA54" s="35">
        <v>98</v>
      </c>
      <c r="AB54" s="35">
        <v>49</v>
      </c>
      <c r="AC54" s="35" t="s">
        <v>144</v>
      </c>
      <c r="AE54" s="51">
        <f>M54/O54</f>
        <v>3</v>
      </c>
      <c r="AG54" s="6" t="str">
        <f>C54</f>
        <v>90MB1BJ0-C1BAY0</v>
      </c>
      <c r="AH54" s="6" t="str">
        <f>IF($D54&lt;=AH$4,"",IF(AND($D53=AH$4,$D54&gt;AH$4),$F53,AH53))</f>
        <v/>
      </c>
      <c r="AI54" s="6" t="str">
        <f>IF($D54&lt;=AI$4,"",IF(AND($D53=AI$4,$D54&gt;AI$4),$F53,AI53))</f>
        <v/>
      </c>
      <c r="AJ54" s="6" t="str">
        <f>IF($D54&lt;=AJ$4,"",IF(AND($D53=AJ$4,$D54&gt;AJ$4),$F53,AJ53))</f>
        <v/>
      </c>
      <c r="AK54" s="6" t="str">
        <f>IF($D54&lt;=AK$4,"",IF(AND($D53=AK$4,$D54&gt;AK$4),$F53,AK53))</f>
        <v/>
      </c>
      <c r="AL54" s="6" t="str">
        <f>IF($D54&lt;=AL$4,"",IF(AND($D53=AL$4,$D54&gt;AL$4),$F53,AL53))</f>
        <v/>
      </c>
      <c r="AM54" s="6" t="str">
        <f>IF($D54&lt;=AM$4,"",IF(AND($D53=AM$4,$D54&gt;AM$4),$F53,AM53))</f>
        <v/>
      </c>
      <c r="AN54" s="6" t="str">
        <f>IF($D54&lt;=AN$4,"",IF(AND($D53=AN$4,$D54&gt;AN$4),$F53,AN53))</f>
        <v/>
      </c>
      <c r="AO54" s="6" t="str">
        <f>CONCATENATE(AG54," | ",AH54," | ",AI54," | ",AJ54," | ",AK54," | ",AL54," | ",AM54," | ",AN54)</f>
        <v xml:space="preserve">90MB1BJ0-C1BAY0 |  |  |  |  |  |  | </v>
      </c>
      <c r="AP54" s="6">
        <f>IF(TRIM(H54)="",100,J54)</f>
        <v>100</v>
      </c>
      <c r="AQ54" s="4"/>
      <c r="AR54" s="6" t="b">
        <f>NOT(TRIM(W54)&lt;&gt;"F")</f>
        <v>1</v>
      </c>
      <c r="AS54" s="6" t="str">
        <f>$B54&amp;" | "&amp;$AO54&amp;" | "&amp;IF(TRIM(H54)="","uniq"&amp;ROW(),TRIM(H54))</f>
        <v>461E | 90MB1BJ0-C1BAY0 |  |  |  |  |  |  |  | B7</v>
      </c>
      <c r="AT54" s="63">
        <f>IF(NOT(AR54),IF(TRIM($H54)="","Assembly","Phantom Alt"),VLOOKUP(F54,ZPCS04!B:G,6,0))</f>
        <v>1021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1.99999995944</v>
      </c>
      <c r="AX54" s="7"/>
      <c r="AY54" s="6" t="b">
        <f>SUMIF(AS:AS,AS54,AP:AP)=100</f>
        <v>1</v>
      </c>
      <c r="AZ54" s="6" t="b">
        <f>SUMIF(AS:AS,AS54,AE:AE)/COUNTIF(AS:AS,AS54)=AE54</f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>C54&amp;" | "&amp;F54</f>
        <v>90MB1BJ0-C1BAY0 | 13090-00141400</v>
      </c>
      <c r="BE54" s="55" t="str">
        <f ca="1">C54&amp;" | "&amp;OFFSET($AF54,0,8-COUNTBLANK($AG54:$AN54))</f>
        <v>90MB1BJ0-C1BAY0 | 90MB1BJ0-C1BAY0</v>
      </c>
      <c r="BF54" s="57">
        <f ca="1">IFERROR(VLOOKUP($BE54,$BD$5:$BF53,3,0)*$AE54,VLOOKUP($C54,Demanda!$A:$B,2,0)*$AE54)*IF(AT54="Phantom Alt",$BC54,TRUE)</f>
        <v>3000</v>
      </c>
      <c r="BG54" s="57">
        <f ca="1">BF54*(AP54/100)</f>
        <v>3000</v>
      </c>
      <c r="BH54" s="57">
        <f>SUMIF(Invoice!A:A,F54,Invoice!B:B)</f>
        <v>4056</v>
      </c>
      <c r="BI54" s="57">
        <f ca="1">SUMIF(AS:AS,AS54,BG:BG)</f>
        <v>3000</v>
      </c>
      <c r="BJ54" s="57">
        <f ca="1">MIN((BI54-SUMIF($AS$5:AS53,AS54,$BJ$5:BJ53)),MAX(0,BH54-SUMIF($F$5:F53,F54,$BJ$5:BJ53)))</f>
        <v>3000</v>
      </c>
      <c r="BK54" s="57">
        <f ca="1">(-SUMIF(AS:AS,AS54,BG:BG)+SUMIF(AS:AS,AS54,BJ:BJ))*(AP54=100)*AR54</f>
        <v>0</v>
      </c>
      <c r="BL54" s="57">
        <f ca="1">MAX(0,SUMIF(Invoice!A:A,F54,Invoice!B:B)-SUMIF(F:F,F54,BJ:BJ))*(COUNTIF(F:F,F54)=COUNTIF($F$5:F54,F54))</f>
        <v>1056</v>
      </c>
    </row>
    <row r="55" spans="1:64" hidden="1">
      <c r="A55" s="43">
        <v>54</v>
      </c>
      <c r="B55" s="35" t="s">
        <v>147</v>
      </c>
      <c r="C55" s="35" t="s">
        <v>146</v>
      </c>
      <c r="D55" s="35">
        <v>1</v>
      </c>
      <c r="E55" s="35">
        <v>320</v>
      </c>
      <c r="F55" s="64" t="s">
        <v>264</v>
      </c>
      <c r="G55" s="73" t="s">
        <v>265</v>
      </c>
      <c r="H55" s="35" t="s">
        <v>266</v>
      </c>
      <c r="I55" s="35" t="s">
        <v>55</v>
      </c>
      <c r="J55" s="35">
        <v>0</v>
      </c>
      <c r="K55" s="35" t="s">
        <v>150</v>
      </c>
      <c r="L55" s="35" t="s">
        <v>53</v>
      </c>
      <c r="M55" s="35">
        <v>3</v>
      </c>
      <c r="N55" s="35"/>
      <c r="O55" s="35">
        <v>1</v>
      </c>
      <c r="P55" s="35">
        <v>2</v>
      </c>
      <c r="Q55" s="35">
        <v>2</v>
      </c>
      <c r="R55" s="35" t="s">
        <v>73</v>
      </c>
      <c r="S55" s="35" t="s">
        <v>73</v>
      </c>
      <c r="T55" s="36">
        <v>36892</v>
      </c>
      <c r="U55" s="36">
        <v>2958465</v>
      </c>
      <c r="V55" s="35" t="s">
        <v>151</v>
      </c>
      <c r="W55" s="35" t="s">
        <v>145</v>
      </c>
      <c r="X55" s="35"/>
      <c r="Y55" s="35" t="s">
        <v>143</v>
      </c>
      <c r="Z55" s="35">
        <v>7589153</v>
      </c>
      <c r="AA55" s="35">
        <v>100</v>
      </c>
      <c r="AB55" s="35">
        <v>50</v>
      </c>
      <c r="AC55" s="35"/>
      <c r="AE55" s="51">
        <f>M55/O55</f>
        <v>3</v>
      </c>
      <c r="AG55" s="6" t="str">
        <f>C55</f>
        <v>90MB1BJ0-C1BAY0</v>
      </c>
      <c r="AH55" s="6" t="str">
        <f>IF($D55&lt;=AH$4,"",IF(AND($D54=AH$4,$D55&gt;AH$4),$F54,AH54))</f>
        <v/>
      </c>
      <c r="AI55" s="6" t="str">
        <f>IF($D55&lt;=AI$4,"",IF(AND($D54=AI$4,$D55&gt;AI$4),$F54,AI54))</f>
        <v/>
      </c>
      <c r="AJ55" s="6" t="str">
        <f>IF($D55&lt;=AJ$4,"",IF(AND($D54=AJ$4,$D55&gt;AJ$4),$F54,AJ54))</f>
        <v/>
      </c>
      <c r="AK55" s="6" t="str">
        <f>IF($D55&lt;=AK$4,"",IF(AND($D54=AK$4,$D55&gt;AK$4),$F54,AK54))</f>
        <v/>
      </c>
      <c r="AL55" s="6" t="str">
        <f>IF($D55&lt;=AL$4,"",IF(AND($D54=AL$4,$D55&gt;AL$4),$F54,AL54))</f>
        <v/>
      </c>
      <c r="AM55" s="6" t="str">
        <f>IF($D55&lt;=AM$4,"",IF(AND($D54=AM$4,$D55&gt;AM$4),$F54,AM54))</f>
        <v/>
      </c>
      <c r="AN55" s="6" t="str">
        <f>IF($D55&lt;=AN$4,"",IF(AND($D54=AN$4,$D55&gt;AN$4),$F54,AN54))</f>
        <v/>
      </c>
      <c r="AO55" s="6" t="str">
        <f>CONCATENATE(AG55," | ",AH55," | ",AI55," | ",AJ55," | ",AK55," | ",AL55," | ",AM55," | ",AN55)</f>
        <v xml:space="preserve">90MB1BJ0-C1BAY0 |  |  |  |  |  |  | </v>
      </c>
      <c r="AP55" s="6">
        <f>IF(TRIM(H55)="",100,J55)</f>
        <v>0</v>
      </c>
      <c r="AQ55" s="4"/>
      <c r="AR55" s="6" t="b">
        <f>NOT(TRIM(W55)&lt;&gt;"F")</f>
        <v>1</v>
      </c>
      <c r="AS55" s="6" t="str">
        <f>$B55&amp;" | "&amp;$AO55&amp;" | "&amp;IF(TRIM(H55)="","uniq"&amp;ROW(),TRIM(H55))</f>
        <v>461E | 90MB1BJ0-C1BAY0 |  |  |  |  |  |  |  | B7</v>
      </c>
      <c r="AT55" s="63">
        <f>IF(NOT(AR55),IF(TRIM($H55)="","Assembly","Phantom Alt"),VLOOKUP(F55,ZPCS04!B:G,6,0))</f>
        <v>1021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2</v>
      </c>
      <c r="AX55" s="7"/>
      <c r="AY55" s="6" t="b">
        <f>SUMIF(AS:AS,AS55,AP:AP)=100</f>
        <v>1</v>
      </c>
      <c r="AZ55" s="6" t="b">
        <f>SUMIF(AS:AS,AS55,AE:AE)/COUNTIF(AS:AS,AS55)=AE55</f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>C55&amp;" | "&amp;F55</f>
        <v>90MB1BJ0-C1BAY0 | 13090-00070600</v>
      </c>
      <c r="BE55" s="55" t="str">
        <f ca="1">C55&amp;" | "&amp;OFFSET($AF55,0,8-COUNTBLANK($AG55:$AN55))</f>
        <v>90MB1BJ0-C1BAY0 | 90MB1BJ0-C1BAY0</v>
      </c>
      <c r="BF55" s="57">
        <f ca="1">IFERROR(VLOOKUP($BE55,$BD$5:$BF54,3,0)*$AE55,VLOOKUP($C55,Demanda!$A:$B,2,0)*$AE55)*IF(AT55="Phantom Alt",$BC55,TRUE)</f>
        <v>3000</v>
      </c>
      <c r="BG55" s="57">
        <f ca="1">BF55*(AP55/100)</f>
        <v>0</v>
      </c>
      <c r="BH55" s="57">
        <f>SUMIF(Invoice!A:A,F55,Invoice!B:B)</f>
        <v>0</v>
      </c>
      <c r="BI55" s="57">
        <f ca="1">SUMIF(AS:AS,AS55,BG:BG)</f>
        <v>3000</v>
      </c>
      <c r="BJ55" s="57">
        <f ca="1">MIN((BI55-SUMIF($AS$5:AS54,AS55,$BJ$5:BJ54)),MAX(0,BH55-SUMIF($F$5:F54,F55,$BJ$5:BJ54)))</f>
        <v>0</v>
      </c>
      <c r="BK55" s="57">
        <f ca="1">(-SUMIF(AS:AS,AS55,BG:BG)+SUMIF(AS:AS,AS55,BJ:BJ))*(AP55=100)*AR55</f>
        <v>0</v>
      </c>
      <c r="BL55" s="57">
        <f ca="1">MAX(0,SUMIF(Invoice!A:A,F55,Invoice!B:B)-SUMIF(F:F,F55,BJ:BJ))*(COUNTIF(F:F,F55)=COUNTIF($F$5:F55,F55))</f>
        <v>0</v>
      </c>
    </row>
    <row r="56" spans="1:64">
      <c r="A56" s="43">
        <v>56</v>
      </c>
      <c r="B56" s="35" t="s">
        <v>147</v>
      </c>
      <c r="C56" s="35" t="s">
        <v>146</v>
      </c>
      <c r="D56" s="35">
        <v>1</v>
      </c>
      <c r="E56" s="35">
        <v>330</v>
      </c>
      <c r="F56" s="64" t="s">
        <v>269</v>
      </c>
      <c r="G56" s="73" t="s">
        <v>270</v>
      </c>
      <c r="H56" s="35"/>
      <c r="I56" s="35" t="s">
        <v>54</v>
      </c>
      <c r="J56" s="35">
        <v>0</v>
      </c>
      <c r="K56" s="35" t="s">
        <v>150</v>
      </c>
      <c r="L56" s="35" t="s">
        <v>53</v>
      </c>
      <c r="M56" s="35">
        <v>0.25</v>
      </c>
      <c r="N56" s="35">
        <v>1</v>
      </c>
      <c r="O56" s="35">
        <v>1</v>
      </c>
      <c r="P56" s="35"/>
      <c r="Q56" s="35"/>
      <c r="R56" s="35" t="s">
        <v>73</v>
      </c>
      <c r="S56" s="35" t="s">
        <v>73</v>
      </c>
      <c r="T56" s="36">
        <v>36892</v>
      </c>
      <c r="U56" s="36">
        <v>2958465</v>
      </c>
      <c r="V56" s="35" t="s">
        <v>151</v>
      </c>
      <c r="W56" s="35" t="s">
        <v>145</v>
      </c>
      <c r="X56" s="35"/>
      <c r="Y56" s="35" t="s">
        <v>143</v>
      </c>
      <c r="Z56" s="35">
        <v>7589153</v>
      </c>
      <c r="AA56" s="35">
        <v>102</v>
      </c>
      <c r="AB56" s="35">
        <v>51</v>
      </c>
      <c r="AC56" s="35" t="s">
        <v>144</v>
      </c>
      <c r="AE56" s="51">
        <f>M56/O56</f>
        <v>0.25</v>
      </c>
      <c r="AG56" s="6" t="str">
        <f>C56</f>
        <v>90MB1BJ0-C1BAY0</v>
      </c>
      <c r="AH56" s="6" t="str">
        <f>IF($D56&lt;=AH$4,"",IF(AND($D55=AH$4,$D56&gt;AH$4),$F55,AH55))</f>
        <v/>
      </c>
      <c r="AI56" s="6" t="str">
        <f>IF($D56&lt;=AI$4,"",IF(AND($D55=AI$4,$D56&gt;AI$4),$F55,AI55))</f>
        <v/>
      </c>
      <c r="AJ56" s="6" t="str">
        <f>IF($D56&lt;=AJ$4,"",IF(AND($D55=AJ$4,$D56&gt;AJ$4),$F55,AJ55))</f>
        <v/>
      </c>
      <c r="AK56" s="6" t="str">
        <f>IF($D56&lt;=AK$4,"",IF(AND($D55=AK$4,$D56&gt;AK$4),$F55,AK55))</f>
        <v/>
      </c>
      <c r="AL56" s="6" t="str">
        <f>IF($D56&lt;=AL$4,"",IF(AND($D55=AL$4,$D56&gt;AL$4),$F55,AL55))</f>
        <v/>
      </c>
      <c r="AM56" s="6" t="str">
        <f>IF($D56&lt;=AM$4,"",IF(AND($D55=AM$4,$D56&gt;AM$4),$F55,AM55))</f>
        <v/>
      </c>
      <c r="AN56" s="6" t="str">
        <f>IF($D56&lt;=AN$4,"",IF(AND($D55=AN$4,$D56&gt;AN$4),$F55,AN55))</f>
        <v/>
      </c>
      <c r="AO56" s="6" t="str">
        <f>CONCATENATE(AG56," | ",AH56," | ",AI56," | ",AJ56," | ",AK56," | ",AL56," | ",AM56," | ",AN56)</f>
        <v xml:space="preserve">90MB1BJ0-C1BAY0 |  |  |  |  |  |  | </v>
      </c>
      <c r="AP56" s="6">
        <f>IF(TRIM(H56)="",100,J56)</f>
        <v>100</v>
      </c>
      <c r="AQ56" s="4"/>
      <c r="AR56" s="6" t="b">
        <f>NOT(TRIM(W56)&lt;&gt;"F")</f>
        <v>1</v>
      </c>
      <c r="AS56" s="6" t="str">
        <f>$B56&amp;" | "&amp;$AO56&amp;" | "&amp;IF(TRIM(H56)="","uniq"&amp;ROW(),TRIM(H56))</f>
        <v>461E | 90MB1BJ0-C1BAY0 |  |  |  |  |  |  |  | uniq56</v>
      </c>
      <c r="AT56" s="63">
        <f>IF(NOT(AR56),IF(TRIM($H56)="","Assembly","Phantom Alt"),VLOOKUP(F56,ZPCS04!B:G,6,0))</f>
        <v>236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2</v>
      </c>
      <c r="AX56" s="7"/>
      <c r="AY56" s="6" t="b">
        <f>SUMIF(AS:AS,AS56,AP:AP)=100</f>
        <v>1</v>
      </c>
      <c r="AZ56" s="6" t="b">
        <f>SUMIF(AS:AS,AS56,AE:AE)/COUNTIF(AS:AS,AS56)=AE56</f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>C56&amp;" | "&amp;F56</f>
        <v>90MB1BJ0-C1BAY0 | 15L-00000104</v>
      </c>
      <c r="BE56" s="55" t="str">
        <f ca="1">C56&amp;" | "&amp;OFFSET($AF56,0,8-COUNTBLANK($AG56:$AN56))</f>
        <v>90MB1BJ0-C1BAY0 | 90MB1BJ0-C1BAY0</v>
      </c>
      <c r="BF56" s="57">
        <f ca="1">IFERROR(VLOOKUP($BE56,$BD$5:$BF55,3,0)*$AE56,VLOOKUP($C56,Demanda!$A:$B,2,0)*$AE56)*IF(AT56="Phantom Alt",$BC56,TRUE)</f>
        <v>250</v>
      </c>
      <c r="BG56" s="57">
        <f ca="1">BF56*(AP56/100)</f>
        <v>250</v>
      </c>
      <c r="BH56" s="57">
        <f>SUMIF(Invoice!A:A,F56,Invoice!B:B)</f>
        <v>0</v>
      </c>
      <c r="BI56" s="57">
        <f ca="1">SUMIF(AS:AS,AS56,BG:BG)</f>
        <v>250</v>
      </c>
      <c r="BJ56" s="57">
        <f ca="1">MIN((BI56-SUMIF($AS$5:AS55,AS56,$BJ$5:BJ55)),MAX(0,BH56-SUMIF($F$5:F55,F56,$BJ$5:BJ55)))</f>
        <v>0</v>
      </c>
      <c r="BK56" s="57">
        <f ca="1">(-SUMIF(AS:AS,AS56,BG:BG)+SUMIF(AS:AS,AS56,BJ:BJ))*(AP56=100)*AR56</f>
        <v>-250</v>
      </c>
      <c r="BL56" s="57">
        <f ca="1">MAX(0,SUMIF(Invoice!A:A,F56,Invoice!B:B)-SUMIF(F:F,F56,BJ:BJ))*(COUNTIF(F:F,F56)=COUNTIF($F$5:F56,F56))</f>
        <v>0</v>
      </c>
    </row>
    <row r="57" spans="1:64">
      <c r="A57" s="43">
        <v>57</v>
      </c>
      <c r="B57" s="35" t="s">
        <v>147</v>
      </c>
      <c r="C57" s="35" t="s">
        <v>146</v>
      </c>
      <c r="D57" s="35">
        <v>1</v>
      </c>
      <c r="E57" s="35">
        <v>340</v>
      </c>
      <c r="F57" s="64" t="s">
        <v>271</v>
      </c>
      <c r="G57" s="73" t="s">
        <v>272</v>
      </c>
      <c r="H57" s="35"/>
      <c r="I57" s="35" t="s">
        <v>54</v>
      </c>
      <c r="J57" s="35">
        <v>0</v>
      </c>
      <c r="K57" s="35" t="s">
        <v>150</v>
      </c>
      <c r="L57" s="35" t="s">
        <v>53</v>
      </c>
      <c r="M57" s="35">
        <v>1</v>
      </c>
      <c r="N57" s="35">
        <v>1</v>
      </c>
      <c r="O57" s="35">
        <v>1</v>
      </c>
      <c r="P57" s="35"/>
      <c r="Q57" s="35"/>
      <c r="R57" s="35" t="s">
        <v>73</v>
      </c>
      <c r="S57" s="35" t="s">
        <v>73</v>
      </c>
      <c r="T57" s="36">
        <v>36892</v>
      </c>
      <c r="U57" s="36">
        <v>2958465</v>
      </c>
      <c r="V57" s="35" t="s">
        <v>151</v>
      </c>
      <c r="W57" s="35" t="s">
        <v>145</v>
      </c>
      <c r="X57" s="35"/>
      <c r="Y57" s="35" t="s">
        <v>143</v>
      </c>
      <c r="Z57" s="35">
        <v>7589153</v>
      </c>
      <c r="AA57" s="35">
        <v>104</v>
      </c>
      <c r="AB57" s="35">
        <v>52</v>
      </c>
      <c r="AC57" s="35"/>
      <c r="AE57" s="51">
        <f>M57/O57</f>
        <v>1</v>
      </c>
      <c r="AG57" s="6" t="str">
        <f>C57</f>
        <v>90MB1BJ0-C1BAY0</v>
      </c>
      <c r="AH57" s="6" t="str">
        <f>IF($D57&lt;=AH$4,"",IF(AND($D56=AH$4,$D57&gt;AH$4),$F56,AH56))</f>
        <v/>
      </c>
      <c r="AI57" s="6" t="str">
        <f>IF($D57&lt;=AI$4,"",IF(AND($D56=AI$4,$D57&gt;AI$4),$F56,AI56))</f>
        <v/>
      </c>
      <c r="AJ57" s="6" t="str">
        <f>IF($D57&lt;=AJ$4,"",IF(AND($D56=AJ$4,$D57&gt;AJ$4),$F56,AJ56))</f>
        <v/>
      </c>
      <c r="AK57" s="6" t="str">
        <f>IF($D57&lt;=AK$4,"",IF(AND($D56=AK$4,$D57&gt;AK$4),$F56,AK56))</f>
        <v/>
      </c>
      <c r="AL57" s="6" t="str">
        <f>IF($D57&lt;=AL$4,"",IF(AND($D56=AL$4,$D57&gt;AL$4),$F56,AL56))</f>
        <v/>
      </c>
      <c r="AM57" s="6" t="str">
        <f>IF($D57&lt;=AM$4,"",IF(AND($D56=AM$4,$D57&gt;AM$4),$F56,AM56))</f>
        <v/>
      </c>
      <c r="AN57" s="6" t="str">
        <f>IF($D57&lt;=AN$4,"",IF(AND($D56=AN$4,$D57&gt;AN$4),$F56,AN56))</f>
        <v/>
      </c>
      <c r="AO57" s="6" t="str">
        <f>CONCATENATE(AG57," | ",AH57," | ",AI57," | ",AJ57," | ",AK57," | ",AL57," | ",AM57," | ",AN57)</f>
        <v xml:space="preserve">90MB1BJ0-C1BAY0 |  |  |  |  |  |  | </v>
      </c>
      <c r="AP57" s="6">
        <f>IF(TRIM(H57)="",100,J57)</f>
        <v>100</v>
      </c>
      <c r="AQ57" s="4"/>
      <c r="AR57" s="6" t="b">
        <f>NOT(TRIM(W57)&lt;&gt;"F")</f>
        <v>1</v>
      </c>
      <c r="AS57" s="6" t="str">
        <f>$B57&amp;" | "&amp;$AO57&amp;" | "&amp;IF(TRIM(H57)="","uniq"&amp;ROW(),TRIM(H57))</f>
        <v>461E | 90MB1BJ0-C1BAY0 |  |  |  |  |  |  |  | uniq57</v>
      </c>
      <c r="AT57" s="63">
        <f>IF(NOT(AR57),IF(TRIM($H57)="","Assembly","Phantom Alt"),VLOOKUP(F57,ZPCS04!B:G,6,0))</f>
        <v>330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2</v>
      </c>
      <c r="AX57" s="7"/>
      <c r="AY57" s="6" t="b">
        <f>SUMIF(AS:AS,AS57,AP:AP)=100</f>
        <v>1</v>
      </c>
      <c r="AZ57" s="6" t="b">
        <f>SUMIF(AS:AS,AS57,AE:AE)/COUNTIF(AS:AS,AS57)=AE57</f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>C57&amp;" | "&amp;F57</f>
        <v>90MB1BJ0-C1BAY0 | 15L-00000102</v>
      </c>
      <c r="BE57" s="55" t="str">
        <f ca="1">C57&amp;" | "&amp;OFFSET($AF57,0,8-COUNTBLANK($AG57:$AN57))</f>
        <v>90MB1BJ0-C1BAY0 | 90MB1BJ0-C1BAY0</v>
      </c>
      <c r="BF57" s="57">
        <f ca="1">IFERROR(VLOOKUP($BE57,$BD$5:$BF56,3,0)*$AE57,VLOOKUP($C57,Demanda!$A:$B,2,0)*$AE57)*IF(AT57="Phantom Alt",$BC57,TRUE)</f>
        <v>1000</v>
      </c>
      <c r="BG57" s="57">
        <f ca="1">BF57*(AP57/100)</f>
        <v>1000</v>
      </c>
      <c r="BH57" s="57">
        <f>SUMIF(Invoice!A:A,F57,Invoice!B:B)</f>
        <v>0</v>
      </c>
      <c r="BI57" s="57">
        <f ca="1">SUMIF(AS:AS,AS57,BG:BG)</f>
        <v>1000</v>
      </c>
      <c r="BJ57" s="57">
        <f ca="1">MIN((BI57-SUMIF($AS$5:AS56,AS57,$BJ$5:BJ56)),MAX(0,BH57-SUMIF($F$5:F56,F57,$BJ$5:BJ56)))</f>
        <v>0</v>
      </c>
      <c r="BK57" s="57">
        <f ca="1">(-SUMIF(AS:AS,AS57,BG:BG)+SUMIF(AS:AS,AS57,BJ:BJ))*(AP57=100)*AR57</f>
        <v>-1000</v>
      </c>
      <c r="BL57" s="57">
        <f ca="1">MAX(0,SUMIF(Invoice!A:A,F57,Invoice!B:B)-SUMIF(F:F,F57,BJ:BJ))*(COUNTIF(F:F,F57)=COUNTIF($F$5:F57,F57))</f>
        <v>0</v>
      </c>
    </row>
    <row r="58" spans="1:64">
      <c r="A58" s="43">
        <v>58</v>
      </c>
      <c r="B58" s="35" t="s">
        <v>147</v>
      </c>
      <c r="C58" s="35" t="s">
        <v>146</v>
      </c>
      <c r="D58" s="35">
        <v>1</v>
      </c>
      <c r="E58" s="35">
        <v>350</v>
      </c>
      <c r="F58" s="64" t="s">
        <v>273</v>
      </c>
      <c r="G58" s="73" t="s">
        <v>274</v>
      </c>
      <c r="H58" s="35"/>
      <c r="I58" s="35" t="s">
        <v>54</v>
      </c>
      <c r="J58" s="35">
        <v>0</v>
      </c>
      <c r="K58" s="35" t="s">
        <v>275</v>
      </c>
      <c r="L58" s="35" t="s">
        <v>53</v>
      </c>
      <c r="M58" s="35">
        <v>1</v>
      </c>
      <c r="N58" s="35">
        <v>1</v>
      </c>
      <c r="O58" s="35">
        <v>1</v>
      </c>
      <c r="P58" s="35"/>
      <c r="Q58" s="35"/>
      <c r="R58" s="35" t="s">
        <v>73</v>
      </c>
      <c r="S58" s="35" t="s">
        <v>73</v>
      </c>
      <c r="T58" s="36">
        <v>36892</v>
      </c>
      <c r="U58" s="36">
        <v>2958465</v>
      </c>
      <c r="V58" s="35" t="s">
        <v>151</v>
      </c>
      <c r="W58" s="35" t="s">
        <v>145</v>
      </c>
      <c r="X58" s="35"/>
      <c r="Y58" s="35" t="s">
        <v>143</v>
      </c>
      <c r="Z58" s="35">
        <v>7589153</v>
      </c>
      <c r="AA58" s="35">
        <v>106</v>
      </c>
      <c r="AB58" s="35">
        <v>53</v>
      </c>
      <c r="AC58" s="35"/>
      <c r="AE58" s="51">
        <f>M58/O58</f>
        <v>1</v>
      </c>
      <c r="AG58" s="6" t="str">
        <f>C58</f>
        <v>90MB1BJ0-C1BAY0</v>
      </c>
      <c r="AH58" s="6" t="str">
        <f>IF($D58&lt;=AH$4,"",IF(AND($D57=AH$4,$D58&gt;AH$4),$F57,AH57))</f>
        <v/>
      </c>
      <c r="AI58" s="6" t="str">
        <f>IF($D58&lt;=AI$4,"",IF(AND($D57=AI$4,$D58&gt;AI$4),$F57,AI57))</f>
        <v/>
      </c>
      <c r="AJ58" s="6" t="str">
        <f>IF($D58&lt;=AJ$4,"",IF(AND($D57=AJ$4,$D58&gt;AJ$4),$F57,AJ57))</f>
        <v/>
      </c>
      <c r="AK58" s="6" t="str">
        <f>IF($D58&lt;=AK$4,"",IF(AND($D57=AK$4,$D58&gt;AK$4),$F57,AK57))</f>
        <v/>
      </c>
      <c r="AL58" s="6" t="str">
        <f>IF($D58&lt;=AL$4,"",IF(AND($D57=AL$4,$D58&gt;AL$4),$F57,AL57))</f>
        <v/>
      </c>
      <c r="AM58" s="6" t="str">
        <f>IF($D58&lt;=AM$4,"",IF(AND($D57=AM$4,$D58&gt;AM$4),$F57,AM57))</f>
        <v/>
      </c>
      <c r="AN58" s="6" t="str">
        <f>IF($D58&lt;=AN$4,"",IF(AND($D57=AN$4,$D58&gt;AN$4),$F57,AN57))</f>
        <v/>
      </c>
      <c r="AO58" s="6" t="str">
        <f>CONCATENATE(AG58," | ",AH58," | ",AI58," | ",AJ58," | ",AK58," | ",AL58," | ",AM58," | ",AN58)</f>
        <v xml:space="preserve">90MB1BJ0-C1BAY0 |  |  |  |  |  |  | </v>
      </c>
      <c r="AP58" s="6">
        <f>IF(TRIM(H58)="",100,J58)</f>
        <v>100</v>
      </c>
      <c r="AQ58" s="4"/>
      <c r="AR58" s="6" t="b">
        <f>NOT(TRIM(W58)&lt;&gt;"F")</f>
        <v>1</v>
      </c>
      <c r="AS58" s="6" t="str">
        <f>$B58&amp;" | "&amp;$AO58&amp;" | "&amp;IF(TRIM(H58)="","uniq"&amp;ROW(),TRIM(H58))</f>
        <v>461E | 90MB1BJ0-C1BAY0 |  |  |  |  |  |  |  | uniq58</v>
      </c>
      <c r="AT58" s="63">
        <f>IF(NOT(AR58),IF(TRIM($H58)="","Assembly","Phantom Alt"),VLOOKUP(F58,ZPCS04!B:G,6,0))</f>
        <v>330</v>
      </c>
      <c r="AU58" s="7"/>
      <c r="AV58" s="38">
        <f ca="1">IF(TRIM($W58)="F",OFFSET($A$5,MATCH($AS58,$AS$5:$AS58,0)-1,0),$A58)</f>
        <v>58</v>
      </c>
      <c r="AW58" s="38">
        <f ca="1">IFERROR(OFFSET(ZPCS04!$A$1,MATCH(F58,ZPCS04!B:B,0)-1,0),100)</f>
        <v>2</v>
      </c>
      <c r="AX58" s="7"/>
      <c r="AY58" s="6" t="b">
        <f>SUMIF(AS:AS,AS58,AP:AP)=100</f>
        <v>1</v>
      </c>
      <c r="AZ58" s="6" t="b">
        <f>SUMIF(AS:AS,AS58,AE:AE)/COUNTIF(AS:AS,AS58)=AE58</f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>C58&amp;" | "&amp;F58</f>
        <v>90MB1BJ0-C1BAY0 | 15L-00000102-1</v>
      </c>
      <c r="BE58" s="55" t="str">
        <f ca="1">C58&amp;" | "&amp;OFFSET($AF58,0,8-COUNTBLANK($AG58:$AN58))</f>
        <v>90MB1BJ0-C1BAY0 | 90MB1BJ0-C1BAY0</v>
      </c>
      <c r="BF58" s="57">
        <f ca="1">IFERROR(VLOOKUP($BE58,$BD$5:$BF57,3,0)*$AE58,VLOOKUP($C58,Demanda!$A:$B,2,0)*$AE58)*IF(AT58="Phantom Alt",$BC58,TRUE)</f>
        <v>1000</v>
      </c>
      <c r="BG58" s="57">
        <f ca="1">BF58*(AP58/100)</f>
        <v>1000</v>
      </c>
      <c r="BH58" s="57">
        <f>SUMIF(Invoice!A:A,F58,Invoice!B:B)</f>
        <v>0</v>
      </c>
      <c r="BI58" s="57">
        <f ca="1">SUMIF(AS:AS,AS58,BG:BG)</f>
        <v>1000</v>
      </c>
      <c r="BJ58" s="57">
        <f ca="1">MIN((BI58-SUMIF($AS$5:AS57,AS58,$BJ$5:BJ57)),MAX(0,BH58-SUMIF($F$5:F57,F58,$BJ$5:BJ57)))</f>
        <v>0</v>
      </c>
      <c r="BK58" s="57">
        <f ca="1">(-SUMIF(AS:AS,AS58,BG:BG)+SUMIF(AS:AS,AS58,BJ:BJ))*(AP58=100)*AR58</f>
        <v>-1000</v>
      </c>
      <c r="BL58" s="57">
        <f ca="1">MAX(0,SUMIF(Invoice!A:A,F58,Invoice!B:B)-SUMIF(F:F,F58,BJ:BJ))*(COUNTIF(F:F,F58)=COUNTIF($F$5:F58,F58))</f>
        <v>0</v>
      </c>
    </row>
    <row r="59" spans="1:64">
      <c r="A59" s="43">
        <v>59</v>
      </c>
      <c r="B59" s="35" t="s">
        <v>147</v>
      </c>
      <c r="C59" s="35" t="s">
        <v>146</v>
      </c>
      <c r="D59" s="35">
        <v>1</v>
      </c>
      <c r="E59" s="35">
        <v>360</v>
      </c>
      <c r="F59" s="64" t="s">
        <v>276</v>
      </c>
      <c r="G59" s="73" t="s">
        <v>277</v>
      </c>
      <c r="H59" s="35"/>
      <c r="I59" s="35" t="s">
        <v>54</v>
      </c>
      <c r="J59" s="35">
        <v>0</v>
      </c>
      <c r="K59" s="35" t="s">
        <v>150</v>
      </c>
      <c r="L59" s="35" t="s">
        <v>53</v>
      </c>
      <c r="M59" s="35">
        <v>1</v>
      </c>
      <c r="N59" s="35">
        <v>1</v>
      </c>
      <c r="O59" s="35">
        <v>1</v>
      </c>
      <c r="P59" s="35"/>
      <c r="Q59" s="35"/>
      <c r="R59" s="35" t="s">
        <v>73</v>
      </c>
      <c r="S59" s="35" t="s">
        <v>73</v>
      </c>
      <c r="T59" s="36">
        <v>36892</v>
      </c>
      <c r="U59" s="36">
        <v>2958465</v>
      </c>
      <c r="V59" s="35" t="s">
        <v>151</v>
      </c>
      <c r="W59" s="35" t="s">
        <v>145</v>
      </c>
      <c r="X59" s="35"/>
      <c r="Y59" s="35" t="s">
        <v>143</v>
      </c>
      <c r="Z59" s="35">
        <v>7589153</v>
      </c>
      <c r="AA59" s="35">
        <v>108</v>
      </c>
      <c r="AB59" s="35">
        <v>54</v>
      </c>
      <c r="AC59" s="35"/>
      <c r="AE59" s="51">
        <f>M59/O59</f>
        <v>1</v>
      </c>
      <c r="AG59" s="6" t="str">
        <f>C59</f>
        <v>90MB1BJ0-C1BAY0</v>
      </c>
      <c r="AH59" s="6" t="str">
        <f>IF($D59&lt;=AH$4,"",IF(AND($D58=AH$4,$D59&gt;AH$4),$F58,AH58))</f>
        <v/>
      </c>
      <c r="AI59" s="6" t="str">
        <f>IF($D59&lt;=AI$4,"",IF(AND($D58=AI$4,$D59&gt;AI$4),$F58,AI58))</f>
        <v/>
      </c>
      <c r="AJ59" s="6" t="str">
        <f>IF($D59&lt;=AJ$4,"",IF(AND($D58=AJ$4,$D59&gt;AJ$4),$F58,AJ58))</f>
        <v/>
      </c>
      <c r="AK59" s="6" t="str">
        <f>IF($D59&lt;=AK$4,"",IF(AND($D58=AK$4,$D59&gt;AK$4),$F58,AK58))</f>
        <v/>
      </c>
      <c r="AL59" s="6" t="str">
        <f>IF($D59&lt;=AL$4,"",IF(AND($D58=AL$4,$D59&gt;AL$4),$F58,AL58))</f>
        <v/>
      </c>
      <c r="AM59" s="6" t="str">
        <f>IF($D59&lt;=AM$4,"",IF(AND($D58=AM$4,$D59&gt;AM$4),$F58,AM58))</f>
        <v/>
      </c>
      <c r="AN59" s="6" t="str">
        <f>IF($D59&lt;=AN$4,"",IF(AND($D58=AN$4,$D59&gt;AN$4),$F58,AN58))</f>
        <v/>
      </c>
      <c r="AO59" s="6" t="str">
        <f>CONCATENATE(AG59," | ",AH59," | ",AI59," | ",AJ59," | ",AK59," | ",AL59," | ",AM59," | ",AN59)</f>
        <v xml:space="preserve">90MB1BJ0-C1BAY0 |  |  |  |  |  |  | </v>
      </c>
      <c r="AP59" s="6">
        <f>IF(TRIM(H59)="",100,J59)</f>
        <v>100</v>
      </c>
      <c r="AQ59" s="4"/>
      <c r="AR59" s="6" t="b">
        <f>NOT(TRIM(W59)&lt;&gt;"F")</f>
        <v>1</v>
      </c>
      <c r="AS59" s="6" t="str">
        <f>$B59&amp;" | "&amp;$AO59&amp;" | "&amp;IF(TRIM(H59)="","uniq"&amp;ROW(),TRIM(H59))</f>
        <v>461E | 90MB1BJ0-C1BAY0 |  |  |  |  |  |  |  | uniq59</v>
      </c>
      <c r="AT59" s="63">
        <f>IF(NOT(AR59),IF(TRIM($H59)="","Assembly","Phantom Alt"),VLOOKUP(F59,ZPCS04!B:G,6,0))</f>
        <v>235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2</v>
      </c>
      <c r="AX59" s="7"/>
      <c r="AY59" s="6" t="b">
        <f>SUMIF(AS:AS,AS59,AP:AP)=100</f>
        <v>1</v>
      </c>
      <c r="AZ59" s="6" t="b">
        <f>SUMIF(AS:AS,AS59,AE:AE)/COUNTIF(AS:AS,AS59)=AE59</f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>C59&amp;" | "&amp;F59</f>
        <v>90MB1BJ0-C1BAY0 | 15L-00000103</v>
      </c>
      <c r="BE59" s="55" t="str">
        <f ca="1">C59&amp;" | "&amp;OFFSET($AF59,0,8-COUNTBLANK($AG59:$AN59))</f>
        <v>90MB1BJ0-C1BAY0 | 90MB1BJ0-C1BAY0</v>
      </c>
      <c r="BF59" s="57">
        <f ca="1">IFERROR(VLOOKUP($BE59,$BD$5:$BF58,3,0)*$AE59,VLOOKUP($C59,Demanda!$A:$B,2,0)*$AE59)*IF(AT59="Phantom Alt",$BC59,TRUE)</f>
        <v>1000</v>
      </c>
      <c r="BG59" s="57">
        <f ca="1">BF59*(AP59/100)</f>
        <v>1000</v>
      </c>
      <c r="BH59" s="57">
        <f>SUMIF(Invoice!A:A,F59,Invoice!B:B)</f>
        <v>0</v>
      </c>
      <c r="BI59" s="57">
        <f ca="1">SUMIF(AS:AS,AS59,BG:BG)</f>
        <v>1000</v>
      </c>
      <c r="BJ59" s="57">
        <f ca="1">MIN((BI59-SUMIF($AS$5:AS58,AS59,$BJ$5:BJ58)),MAX(0,BH59-SUMIF($F$5:F58,F59,$BJ$5:BJ58)))</f>
        <v>0</v>
      </c>
      <c r="BK59" s="57">
        <f ca="1">(-SUMIF(AS:AS,AS59,BG:BG)+SUMIF(AS:AS,AS59,BJ:BJ))*(AP59=100)*AR59</f>
        <v>-1000</v>
      </c>
      <c r="BL59" s="57">
        <f ca="1">MAX(0,SUMIF(Invoice!A:A,F59,Invoice!B:B)-SUMIF(F:F,F59,BJ:BJ))*(COUNTIF(F:F,F59)=COUNTIF($F$5:F59,F59))</f>
        <v>0</v>
      </c>
    </row>
    <row r="60" spans="1:64">
      <c r="A60" s="43">
        <v>60</v>
      </c>
      <c r="B60" s="35" t="s">
        <v>147</v>
      </c>
      <c r="C60" s="35" t="s">
        <v>146</v>
      </c>
      <c r="D60" s="35">
        <v>1</v>
      </c>
      <c r="E60" s="35">
        <v>370</v>
      </c>
      <c r="F60" s="64" t="s">
        <v>278</v>
      </c>
      <c r="G60" s="73" t="s">
        <v>279</v>
      </c>
      <c r="H60" s="35"/>
      <c r="I60" s="35" t="s">
        <v>54</v>
      </c>
      <c r="J60" s="35">
        <v>0</v>
      </c>
      <c r="K60" s="35" t="s">
        <v>150</v>
      </c>
      <c r="L60" s="35" t="s">
        <v>53</v>
      </c>
      <c r="M60" s="35">
        <v>1</v>
      </c>
      <c r="N60" s="35">
        <v>1</v>
      </c>
      <c r="O60" s="35">
        <v>1</v>
      </c>
      <c r="P60" s="35"/>
      <c r="Q60" s="35"/>
      <c r="R60" s="35" t="s">
        <v>73</v>
      </c>
      <c r="S60" s="35" t="s">
        <v>73</v>
      </c>
      <c r="T60" s="36">
        <v>36892</v>
      </c>
      <c r="U60" s="36">
        <v>2958465</v>
      </c>
      <c r="V60" s="35" t="s">
        <v>151</v>
      </c>
      <c r="W60" s="35" t="s">
        <v>145</v>
      </c>
      <c r="X60" s="35"/>
      <c r="Y60" s="35" t="s">
        <v>143</v>
      </c>
      <c r="Z60" s="35">
        <v>7589153</v>
      </c>
      <c r="AA60" s="35">
        <v>110</v>
      </c>
      <c r="AB60" s="35">
        <v>55</v>
      </c>
      <c r="AC60" s="35"/>
      <c r="AE60" s="51">
        <f>M60/O60</f>
        <v>1</v>
      </c>
      <c r="AG60" s="6" t="str">
        <f>C60</f>
        <v>90MB1BJ0-C1BAY0</v>
      </c>
      <c r="AH60" s="6" t="str">
        <f>IF($D60&lt;=AH$4,"",IF(AND($D59=AH$4,$D60&gt;AH$4),$F59,AH59))</f>
        <v/>
      </c>
      <c r="AI60" s="6" t="str">
        <f>IF($D60&lt;=AI$4,"",IF(AND($D59=AI$4,$D60&gt;AI$4),$F59,AI59))</f>
        <v/>
      </c>
      <c r="AJ60" s="6" t="str">
        <f>IF($D60&lt;=AJ$4,"",IF(AND($D59=AJ$4,$D60&gt;AJ$4),$F59,AJ59))</f>
        <v/>
      </c>
      <c r="AK60" s="6" t="str">
        <f>IF($D60&lt;=AK$4,"",IF(AND($D59=AK$4,$D60&gt;AK$4),$F59,AK59))</f>
        <v/>
      </c>
      <c r="AL60" s="6" t="str">
        <f>IF($D60&lt;=AL$4,"",IF(AND($D59=AL$4,$D60&gt;AL$4),$F59,AL59))</f>
        <v/>
      </c>
      <c r="AM60" s="6" t="str">
        <f>IF($D60&lt;=AM$4,"",IF(AND($D59=AM$4,$D60&gt;AM$4),$F59,AM59))</f>
        <v/>
      </c>
      <c r="AN60" s="6" t="str">
        <f>IF($D60&lt;=AN$4,"",IF(AND($D59=AN$4,$D60&gt;AN$4),$F59,AN59))</f>
        <v/>
      </c>
      <c r="AO60" s="6" t="str">
        <f>CONCATENATE(AG60," | ",AH60," | ",AI60," | ",AJ60," | ",AK60," | ",AL60," | ",AM60," | ",AN60)</f>
        <v xml:space="preserve">90MB1BJ0-C1BAY0 |  |  |  |  |  |  | </v>
      </c>
      <c r="AP60" s="6">
        <f>IF(TRIM(H60)="",100,J60)</f>
        <v>100</v>
      </c>
      <c r="AQ60" s="4"/>
      <c r="AR60" s="6" t="b">
        <f>NOT(TRIM(W60)&lt;&gt;"F")</f>
        <v>1</v>
      </c>
      <c r="AS60" s="6" t="str">
        <f>$B60&amp;" | "&amp;$AO60&amp;" | "&amp;IF(TRIM(H60)="","uniq"&amp;ROW(),TRIM(H60))</f>
        <v>461E | 90MB1BJ0-C1BAY0 |  |  |  |  |  |  |  | uniq60</v>
      </c>
      <c r="AT60" s="63">
        <f>IF(NOT(AR60),IF(TRIM($H60)="","Assembly","Phantom Alt"),VLOOKUP(F60,ZPCS04!B:G,6,0))</f>
        <v>237</v>
      </c>
      <c r="AU60" s="7"/>
      <c r="AV60" s="38">
        <f ca="1">IF(TRIM($W60)="F",OFFSET($A$5,MATCH($AS60,$AS$5:$AS60,0)-1,0),$A60)</f>
        <v>60</v>
      </c>
      <c r="AW60" s="38">
        <f ca="1">IFERROR(OFFSET(ZPCS04!$A$1,MATCH(F60,ZPCS04!B:B,0)-1,0),100)</f>
        <v>2</v>
      </c>
      <c r="AX60" s="7"/>
      <c r="AY60" s="6" t="b">
        <f>SUMIF(AS:AS,AS60,AP:AP)=100</f>
        <v>1</v>
      </c>
      <c r="AZ60" s="6" t="b">
        <f>SUMIF(AS:AS,AS60,AE:AE)/COUNTIF(AS:AS,AS60)=AE60</f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>C60&amp;" | "&amp;F60</f>
        <v>90MB1BJ0-C1BAY0 | 15L-00000106</v>
      </c>
      <c r="BE60" s="55" t="str">
        <f ca="1">C60&amp;" | "&amp;OFFSET($AF60,0,8-COUNTBLANK($AG60:$AN60))</f>
        <v>90MB1BJ0-C1BAY0 | 90MB1BJ0-C1BAY0</v>
      </c>
      <c r="BF60" s="57">
        <f ca="1">IFERROR(VLOOKUP($BE60,$BD$5:$BF59,3,0)*$AE60,VLOOKUP($C60,Demanda!$A:$B,2,0)*$AE60)*IF(AT60="Phantom Alt",$BC60,TRUE)</f>
        <v>1000</v>
      </c>
      <c r="BG60" s="57">
        <f ca="1">BF60*(AP60/100)</f>
        <v>1000</v>
      </c>
      <c r="BH60" s="57">
        <f>SUMIF(Invoice!A:A,F60,Invoice!B:B)</f>
        <v>0</v>
      </c>
      <c r="BI60" s="57">
        <f ca="1">SUMIF(AS:AS,AS60,BG:BG)</f>
        <v>1000</v>
      </c>
      <c r="BJ60" s="57">
        <f ca="1">MIN((BI60-SUMIF($AS$5:AS59,AS60,$BJ$5:BJ59)),MAX(0,BH60-SUMIF($F$5:F59,F60,$BJ$5:BJ59)))</f>
        <v>0</v>
      </c>
      <c r="BK60" s="57">
        <f ca="1">(-SUMIF(AS:AS,AS60,BG:BG)+SUMIF(AS:AS,AS60,BJ:BJ))*(AP60=100)*AR60</f>
        <v>-1000</v>
      </c>
      <c r="BL60" s="57">
        <f ca="1">MAX(0,SUMIF(Invoice!A:A,F60,Invoice!B:B)-SUMIF(F:F,F60,BJ:BJ))*(COUNTIF(F:F,F60)=COUNTIF($F$5:F60,F60))</f>
        <v>0</v>
      </c>
    </row>
    <row r="61" spans="1:64">
      <c r="A61" s="43">
        <v>61</v>
      </c>
      <c r="B61" s="35" t="s">
        <v>147</v>
      </c>
      <c r="C61" s="35" t="s">
        <v>146</v>
      </c>
      <c r="D61" s="35">
        <v>1</v>
      </c>
      <c r="E61" s="35">
        <v>380</v>
      </c>
      <c r="F61" s="64">
        <v>102006000</v>
      </c>
      <c r="G61" s="73" t="s">
        <v>280</v>
      </c>
      <c r="H61" s="35"/>
      <c r="I61" s="35" t="s">
        <v>54</v>
      </c>
      <c r="J61" s="35">
        <v>0</v>
      </c>
      <c r="K61" s="35" t="s">
        <v>150</v>
      </c>
      <c r="L61" s="35" t="s">
        <v>53</v>
      </c>
      <c r="M61" s="35">
        <v>0.15</v>
      </c>
      <c r="N61" s="35">
        <v>0.15</v>
      </c>
      <c r="O61" s="35">
        <v>1</v>
      </c>
      <c r="P61" s="35"/>
      <c r="Q61" s="35"/>
      <c r="R61" s="35" t="s">
        <v>281</v>
      </c>
      <c r="S61" s="35" t="s">
        <v>281</v>
      </c>
      <c r="T61" s="36">
        <v>44901</v>
      </c>
      <c r="U61" s="36">
        <v>2958465</v>
      </c>
      <c r="V61" s="35" t="s">
        <v>282</v>
      </c>
      <c r="W61" s="35" t="s">
        <v>145</v>
      </c>
      <c r="X61" s="35"/>
      <c r="Y61" s="35" t="s">
        <v>143</v>
      </c>
      <c r="Z61" s="35">
        <v>7589153</v>
      </c>
      <c r="AA61" s="35">
        <v>123</v>
      </c>
      <c r="AB61" s="35">
        <v>61</v>
      </c>
      <c r="AC61" s="35" t="s">
        <v>144</v>
      </c>
      <c r="AE61" s="51">
        <f>M61/O61</f>
        <v>0.15</v>
      </c>
      <c r="AG61" s="6" t="str">
        <f>C61</f>
        <v>90MB1BJ0-C1BAY0</v>
      </c>
      <c r="AH61" s="6" t="str">
        <f>IF($D61&lt;=AH$4,"",IF(AND($D60=AH$4,$D61&gt;AH$4),$F60,AH60))</f>
        <v/>
      </c>
      <c r="AI61" s="6" t="str">
        <f>IF($D61&lt;=AI$4,"",IF(AND($D60=AI$4,$D61&gt;AI$4),$F60,AI60))</f>
        <v/>
      </c>
      <c r="AJ61" s="6" t="str">
        <f>IF($D61&lt;=AJ$4,"",IF(AND($D60=AJ$4,$D61&gt;AJ$4),$F60,AJ60))</f>
        <v/>
      </c>
      <c r="AK61" s="6" t="str">
        <f>IF($D61&lt;=AK$4,"",IF(AND($D60=AK$4,$D61&gt;AK$4),$F60,AK60))</f>
        <v/>
      </c>
      <c r="AL61" s="6" t="str">
        <f>IF($D61&lt;=AL$4,"",IF(AND($D60=AL$4,$D61&gt;AL$4),$F60,AL60))</f>
        <v/>
      </c>
      <c r="AM61" s="6" t="str">
        <f>IF($D61&lt;=AM$4,"",IF(AND($D60=AM$4,$D61&gt;AM$4),$F60,AM60))</f>
        <v/>
      </c>
      <c r="AN61" s="6" t="str">
        <f>IF($D61&lt;=AN$4,"",IF(AND($D60=AN$4,$D61&gt;AN$4),$F60,AN60))</f>
        <v/>
      </c>
      <c r="AO61" s="6" t="str">
        <f>CONCATENATE(AG61," | ",AH61," | ",AI61," | ",AJ61," | ",AK61," | ",AL61," | ",AM61," | ",AN61)</f>
        <v xml:space="preserve">90MB1BJ0-C1BAY0 |  |  |  |  |  |  | </v>
      </c>
      <c r="AP61" s="6">
        <f>IF(TRIM(H61)="",100,J61)</f>
        <v>100</v>
      </c>
      <c r="AQ61" s="4"/>
      <c r="AR61" s="6" t="b">
        <f>NOT(TRIM(W61)&lt;&gt;"F")</f>
        <v>1</v>
      </c>
      <c r="AS61" s="6" t="str">
        <f>$B61&amp;" | "&amp;$AO61&amp;" | "&amp;IF(TRIM(H61)="","uniq"&amp;ROW(),TRIM(H61))</f>
        <v>461E | 90MB1BJ0-C1BAY0 |  |  |  |  |  |  |  | uniq61</v>
      </c>
      <c r="AT61" s="63">
        <f>IF(NOT(AR61),IF(TRIM($H61)="","Assembly","Phantom Alt"),VLOOKUP(F61,ZPCS04!B:G,6,0))</f>
        <v>111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2</v>
      </c>
      <c r="AX61" s="7"/>
      <c r="AY61" s="6" t="b">
        <f>SUMIF(AS:AS,AS61,AP:AP)=100</f>
        <v>1</v>
      </c>
      <c r="AZ61" s="6" t="b">
        <f>SUMIF(AS:AS,AS61,AE:AE)/COUNTIF(AS:AS,AS61)=AE61</f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>C61&amp;" | "&amp;F61</f>
        <v>90MB1BJ0-C1BAY0 | 102006000</v>
      </c>
      <c r="BE61" s="55" t="str">
        <f ca="1">C61&amp;" | "&amp;OFFSET($AF61,0,8-COUNTBLANK($AG61:$AN61))</f>
        <v>90MB1BJ0-C1BAY0 | 90MB1BJ0-C1BAY0</v>
      </c>
      <c r="BF61" s="57">
        <f ca="1">IFERROR(VLOOKUP($BE61,$BD$5:$BF60,3,0)*$AE61,VLOOKUP($C61,Demanda!$A:$B,2,0)*$AE61)*IF(AT61="Phantom Alt",$BC61,TRUE)</f>
        <v>150</v>
      </c>
      <c r="BG61" s="57">
        <f ca="1">BF61*(AP61/100)</f>
        <v>150</v>
      </c>
      <c r="BH61" s="57">
        <f>SUMIF(Invoice!A:A,F61,Invoice!B:B)</f>
        <v>0</v>
      </c>
      <c r="BI61" s="57">
        <f ca="1">SUMIF(AS:AS,AS61,BG:BG)</f>
        <v>150</v>
      </c>
      <c r="BJ61" s="57">
        <f ca="1">MIN((BI61-SUMIF($AS$5:AS60,AS61,$BJ$5:BJ60)),MAX(0,BH61-SUMIF($F$5:F60,F61,$BJ$5:BJ60)))</f>
        <v>0</v>
      </c>
      <c r="BK61" s="57">
        <f ca="1">(-SUMIF(AS:AS,AS61,BG:BG)+SUMIF(AS:AS,AS61,BJ:BJ))*(AP61=100)*AR61</f>
        <v>-150</v>
      </c>
      <c r="BL61" s="57">
        <f ca="1">MAX(0,SUMIF(Invoice!A:A,F61,Invoice!B:B)-SUMIF(F:F,F61,BJ:BJ))*(COUNTIF(F:F,F61)=COUNTIF($F$5:F61,F61))</f>
        <v>0</v>
      </c>
    </row>
    <row r="62" spans="1:64" hidden="1">
      <c r="A62" s="43">
        <v>62</v>
      </c>
      <c r="B62" s="35" t="s">
        <v>147</v>
      </c>
      <c r="C62" s="35" t="s">
        <v>146</v>
      </c>
      <c r="D62" s="35">
        <v>1</v>
      </c>
      <c r="E62" s="35">
        <v>390</v>
      </c>
      <c r="F62" s="64" t="s">
        <v>283</v>
      </c>
      <c r="G62" s="73" t="s">
        <v>284</v>
      </c>
      <c r="H62" s="35" t="s">
        <v>285</v>
      </c>
      <c r="I62" s="35" t="s">
        <v>54</v>
      </c>
      <c r="J62" s="35">
        <v>100</v>
      </c>
      <c r="K62" s="35" t="s">
        <v>150</v>
      </c>
      <c r="L62" s="35" t="s">
        <v>53</v>
      </c>
      <c r="M62" s="35">
        <v>1</v>
      </c>
      <c r="N62" s="35">
        <v>1</v>
      </c>
      <c r="O62" s="35">
        <v>1</v>
      </c>
      <c r="P62" s="35">
        <v>2</v>
      </c>
      <c r="Q62" s="35">
        <v>1</v>
      </c>
      <c r="R62" s="35" t="s">
        <v>73</v>
      </c>
      <c r="S62" s="35" t="s">
        <v>73</v>
      </c>
      <c r="T62" s="36">
        <v>44901</v>
      </c>
      <c r="U62" s="36">
        <v>2958465</v>
      </c>
      <c r="V62" s="35" t="s">
        <v>282</v>
      </c>
      <c r="W62" s="35" t="s">
        <v>145</v>
      </c>
      <c r="X62" s="35"/>
      <c r="Y62" s="35" t="s">
        <v>143</v>
      </c>
      <c r="Z62" s="35">
        <v>7589153</v>
      </c>
      <c r="AA62" s="35">
        <v>116</v>
      </c>
      <c r="AB62" s="35">
        <v>58</v>
      </c>
      <c r="AC62" s="35"/>
      <c r="AE62" s="51">
        <f>M62/O62</f>
        <v>1</v>
      </c>
      <c r="AG62" s="6" t="str">
        <f>C62</f>
        <v>90MB1BJ0-C1BAY0</v>
      </c>
      <c r="AH62" s="6" t="str">
        <f>IF($D62&lt;=AH$4,"",IF(AND($D61=AH$4,$D62&gt;AH$4),$F61,AH61))</f>
        <v/>
      </c>
      <c r="AI62" s="6" t="str">
        <f>IF($D62&lt;=AI$4,"",IF(AND($D61=AI$4,$D62&gt;AI$4),$F61,AI61))</f>
        <v/>
      </c>
      <c r="AJ62" s="6" t="str">
        <f>IF($D62&lt;=AJ$4,"",IF(AND($D61=AJ$4,$D62&gt;AJ$4),$F61,AJ61))</f>
        <v/>
      </c>
      <c r="AK62" s="6" t="str">
        <f>IF($D62&lt;=AK$4,"",IF(AND($D61=AK$4,$D62&gt;AK$4),$F61,AK61))</f>
        <v/>
      </c>
      <c r="AL62" s="6" t="str">
        <f>IF($D62&lt;=AL$4,"",IF(AND($D61=AL$4,$D62&gt;AL$4),$F61,AL61))</f>
        <v/>
      </c>
      <c r="AM62" s="6" t="str">
        <f>IF($D62&lt;=AM$4,"",IF(AND($D61=AM$4,$D62&gt;AM$4),$F61,AM61))</f>
        <v/>
      </c>
      <c r="AN62" s="6" t="str">
        <f>IF($D62&lt;=AN$4,"",IF(AND($D61=AN$4,$D62&gt;AN$4),$F61,AN61))</f>
        <v/>
      </c>
      <c r="AO62" s="6" t="str">
        <f>CONCATENATE(AG62," | ",AH62," | ",AI62," | ",AJ62," | ",AK62," | ",AL62," | ",AM62," | ",AN62)</f>
        <v xml:space="preserve">90MB1BJ0-C1BAY0 |  |  |  |  |  |  | </v>
      </c>
      <c r="AP62" s="6">
        <f>IF(TRIM(H62)="",100,J62)</f>
        <v>100</v>
      </c>
      <c r="AQ62" s="4"/>
      <c r="AR62" s="6" t="b">
        <f>NOT(TRIM(W62)&lt;&gt;"F")</f>
        <v>1</v>
      </c>
      <c r="AS62" s="6" t="str">
        <f>$B62&amp;" | "&amp;$AO62&amp;" | "&amp;IF(TRIM(H62)="","uniq"&amp;ROW(),TRIM(H62))</f>
        <v>461E | 90MB1BJ0-C1BAY0 |  |  |  |  |  |  |  | B8</v>
      </c>
      <c r="AT62" s="63">
        <f>IF(NOT(AR62),IF(TRIM($H62)="","Assembly","Phantom Alt"),VLOOKUP(F62,ZPCS04!B:G,6,0))</f>
        <v>1252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1.9999999896</v>
      </c>
      <c r="AX62" s="7"/>
      <c r="AY62" s="6" t="b">
        <f>SUMIF(AS:AS,AS62,AP:AP)=100</f>
        <v>1</v>
      </c>
      <c r="AZ62" s="6" t="b">
        <f>SUMIF(AS:AS,AS62,AE:AE)/COUNTIF(AS:AS,AS62)=AE62</f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>C62&amp;" | "&amp;F62</f>
        <v>90MB1BJ0-C1BAY0 | 13MB1BZ0L01011</v>
      </c>
      <c r="BE62" s="55" t="str">
        <f ca="1">C62&amp;" | "&amp;OFFSET($AF62,0,8-COUNTBLANK($AG62:$AN62))</f>
        <v>90MB1BJ0-C1BAY0 | 90MB1BJ0-C1BAY0</v>
      </c>
      <c r="BF62" s="57">
        <f ca="1">IFERROR(VLOOKUP($BE62,$BD$5:$BF61,3,0)*$AE62,VLOOKUP($C62,Demanda!$A:$B,2,0)*$AE62)*IF(AT62="Phantom Alt",$BC62,TRUE)</f>
        <v>1000</v>
      </c>
      <c r="BG62" s="57">
        <f ca="1">BF62*(AP62/100)</f>
        <v>1000</v>
      </c>
      <c r="BH62" s="57">
        <f>SUMIF(Invoice!A:A,F62,Invoice!B:B)</f>
        <v>1040</v>
      </c>
      <c r="BI62" s="57">
        <f ca="1">SUMIF(AS:AS,AS62,BG:BG)</f>
        <v>1000</v>
      </c>
      <c r="BJ62" s="57">
        <f ca="1">MIN((BI62-SUMIF($AS$5:AS61,AS62,$BJ$5:BJ61)),MAX(0,BH62-SUMIF($F$5:F61,F62,$BJ$5:BJ61)))</f>
        <v>1000</v>
      </c>
      <c r="BK62" s="57">
        <f ca="1">(-SUMIF(AS:AS,AS62,BG:BG)+SUMIF(AS:AS,AS62,BJ:BJ))*(AP62=100)*AR62</f>
        <v>0</v>
      </c>
      <c r="BL62" s="57">
        <f ca="1">MAX(0,SUMIF(Invoice!A:A,F62,Invoice!B:B)-SUMIF(F:F,F62,BJ:BJ))*(COUNTIF(F:F,F62)=COUNTIF($F$5:F62,F62))</f>
        <v>40</v>
      </c>
    </row>
    <row r="63" spans="1:64" hidden="1">
      <c r="A63" s="43">
        <v>63</v>
      </c>
      <c r="B63" s="35" t="s">
        <v>147</v>
      </c>
      <c r="C63" s="35" t="s">
        <v>146</v>
      </c>
      <c r="D63" s="35">
        <v>1</v>
      </c>
      <c r="E63" s="35">
        <v>390</v>
      </c>
      <c r="F63" s="64" t="s">
        <v>286</v>
      </c>
      <c r="G63" s="73" t="s">
        <v>287</v>
      </c>
      <c r="H63" s="35" t="s">
        <v>285</v>
      </c>
      <c r="I63" s="35" t="s">
        <v>55</v>
      </c>
      <c r="J63" s="35">
        <v>0</v>
      </c>
      <c r="K63" s="35" t="s">
        <v>150</v>
      </c>
      <c r="L63" s="35" t="s">
        <v>53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73</v>
      </c>
      <c r="S63" s="35" t="s">
        <v>73</v>
      </c>
      <c r="T63" s="36">
        <v>44901</v>
      </c>
      <c r="U63" s="36">
        <v>2958465</v>
      </c>
      <c r="V63" s="35" t="s">
        <v>282</v>
      </c>
      <c r="W63" s="35" t="s">
        <v>145</v>
      </c>
      <c r="X63" s="35"/>
      <c r="Y63" s="35" t="s">
        <v>143</v>
      </c>
      <c r="Z63" s="35">
        <v>7589153</v>
      </c>
      <c r="AA63" s="35">
        <v>118</v>
      </c>
      <c r="AB63" s="35">
        <v>59</v>
      </c>
      <c r="AC63" s="35"/>
      <c r="AE63" s="51">
        <f>M63/O63</f>
        <v>1</v>
      </c>
      <c r="AG63" s="6" t="str">
        <f>C63</f>
        <v>90MB1BJ0-C1BAY0</v>
      </c>
      <c r="AH63" s="6" t="str">
        <f>IF($D63&lt;=AH$4,"",IF(AND($D62=AH$4,$D63&gt;AH$4),$F62,AH62))</f>
        <v/>
      </c>
      <c r="AI63" s="6" t="str">
        <f>IF($D63&lt;=AI$4,"",IF(AND($D62=AI$4,$D63&gt;AI$4),$F62,AI62))</f>
        <v/>
      </c>
      <c r="AJ63" s="6" t="str">
        <f>IF($D63&lt;=AJ$4,"",IF(AND($D62=AJ$4,$D63&gt;AJ$4),$F62,AJ62))</f>
        <v/>
      </c>
      <c r="AK63" s="6" t="str">
        <f>IF($D63&lt;=AK$4,"",IF(AND($D62=AK$4,$D63&gt;AK$4),$F62,AK62))</f>
        <v/>
      </c>
      <c r="AL63" s="6" t="str">
        <f>IF($D63&lt;=AL$4,"",IF(AND($D62=AL$4,$D63&gt;AL$4),$F62,AL62))</f>
        <v/>
      </c>
      <c r="AM63" s="6" t="str">
        <f>IF($D63&lt;=AM$4,"",IF(AND($D62=AM$4,$D63&gt;AM$4),$F62,AM62))</f>
        <v/>
      </c>
      <c r="AN63" s="6" t="str">
        <f>IF($D63&lt;=AN$4,"",IF(AND($D62=AN$4,$D63&gt;AN$4),$F62,AN62))</f>
        <v/>
      </c>
      <c r="AO63" s="6" t="str">
        <f>CONCATENATE(AG63," | ",AH63," | ",AI63," | ",AJ63," | ",AK63," | ",AL63," | ",AM63," | ",AN63)</f>
        <v xml:space="preserve">90MB1BJ0-C1BAY0 |  |  |  |  |  |  | </v>
      </c>
      <c r="AP63" s="6">
        <f>IF(TRIM(H63)="",100,J63)</f>
        <v>0</v>
      </c>
      <c r="AQ63" s="4"/>
      <c r="AR63" s="6" t="b">
        <f>NOT(TRIM(W63)&lt;&gt;"F")</f>
        <v>1</v>
      </c>
      <c r="AS63" s="6" t="str">
        <f>$B63&amp;" | "&amp;$AO63&amp;" | "&amp;IF(TRIM(H63)="","uniq"&amp;ROW(),TRIM(H63))</f>
        <v>461E | 90MB1BJ0-C1BAY0 |  |  |  |  |  |  |  | B8</v>
      </c>
      <c r="AT63" s="63">
        <f>IF(NOT(AR63),IF(TRIM($H63)="","Assembly","Phantom Alt"),VLOOKUP(F63,ZPCS04!B:G,6,0))</f>
        <v>1252</v>
      </c>
      <c r="AU63" s="7"/>
      <c r="AV63" s="38">
        <f ca="1">IF(TRIM($W63)="F",OFFSET($A$5,MATCH($AS63,$AS$5:$AS63,0)-1,0),$A63)</f>
        <v>62</v>
      </c>
      <c r="AW63" s="38">
        <f ca="1">IFERROR(OFFSET(ZPCS04!$A$1,MATCH(F63,ZPCS04!B:B,0)-1,0),100)</f>
        <v>2</v>
      </c>
      <c r="AX63" s="7"/>
      <c r="AY63" s="6" t="b">
        <f>SUMIF(AS:AS,AS63,AP:AP)=100</f>
        <v>1</v>
      </c>
      <c r="AZ63" s="6" t="b">
        <f>SUMIF(AS:AS,AS63,AE:AE)/COUNTIF(AS:AS,AS63)=AE63</f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>C63&amp;" | "&amp;F63</f>
        <v>90MB1BJ0-C1BAY0 | 13MB1BZ0L01021</v>
      </c>
      <c r="BE63" s="55" t="str">
        <f ca="1">C63&amp;" | "&amp;OFFSET($AF63,0,8-COUNTBLANK($AG63:$AN63))</f>
        <v>90MB1BJ0-C1BAY0 | 90MB1BJ0-C1BAY0</v>
      </c>
      <c r="BF63" s="57">
        <f ca="1">IFERROR(VLOOKUP($BE63,$BD$5:$BF62,3,0)*$AE63,VLOOKUP($C63,Demanda!$A:$B,2,0)*$AE63)*IF(AT63="Phantom Alt",$BC63,TRUE)</f>
        <v>1000</v>
      </c>
      <c r="BG63" s="57">
        <f ca="1">BF63*(AP63/100)</f>
        <v>0</v>
      </c>
      <c r="BH63" s="57">
        <f>SUMIF(Invoice!A:A,F63,Invoice!B:B)</f>
        <v>0</v>
      </c>
      <c r="BI63" s="57">
        <f ca="1">SUMIF(AS:AS,AS63,BG:BG)</f>
        <v>1000</v>
      </c>
      <c r="BJ63" s="57">
        <f ca="1">MIN((BI63-SUMIF($AS$5:AS62,AS63,$BJ$5:BJ62)),MAX(0,BH63-SUMIF($F$5:F62,F63,$BJ$5:BJ62)))</f>
        <v>0</v>
      </c>
      <c r="BK63" s="57">
        <f ca="1">(-SUMIF(AS:AS,AS63,BG:BG)+SUMIF(AS:AS,AS63,BJ:BJ))*(AP63=100)*AR63</f>
        <v>0</v>
      </c>
      <c r="BL63" s="57">
        <f ca="1">MAX(0,SUMIF(Invoice!A:A,F63,Invoice!B:B)-SUMIF(F:F,F63,BJ:BJ))*(COUNTIF(F:F,F63)=COUNTIF($F$5:F63,F63))</f>
        <v>0</v>
      </c>
    </row>
    <row r="64" spans="1:64" hidden="1">
      <c r="A64" s="43">
        <v>64</v>
      </c>
      <c r="B64" s="35" t="s">
        <v>147</v>
      </c>
      <c r="C64" s="35" t="s">
        <v>146</v>
      </c>
      <c r="D64" s="35">
        <v>1</v>
      </c>
      <c r="E64" s="35">
        <v>400</v>
      </c>
      <c r="F64" s="87" t="s">
        <v>288</v>
      </c>
      <c r="G64" s="73" t="s">
        <v>289</v>
      </c>
      <c r="H64" s="35"/>
      <c r="I64" s="35" t="s">
        <v>54</v>
      </c>
      <c r="J64" s="35">
        <v>0</v>
      </c>
      <c r="K64" s="35" t="s">
        <v>275</v>
      </c>
      <c r="L64" s="35" t="s">
        <v>290</v>
      </c>
      <c r="M64" s="35">
        <v>1</v>
      </c>
      <c r="N64" s="35">
        <v>1</v>
      </c>
      <c r="O64" s="35">
        <v>1</v>
      </c>
      <c r="P64" s="35"/>
      <c r="Q64" s="35"/>
      <c r="R64" s="35" t="s">
        <v>73</v>
      </c>
      <c r="S64" s="35" t="s">
        <v>73</v>
      </c>
      <c r="T64" s="36">
        <v>44901</v>
      </c>
      <c r="U64" s="36">
        <v>2958465</v>
      </c>
      <c r="V64" s="35" t="s">
        <v>282</v>
      </c>
      <c r="W64" s="35" t="s">
        <v>291</v>
      </c>
      <c r="X64" s="35"/>
      <c r="Y64" s="35" t="s">
        <v>143</v>
      </c>
      <c r="Z64" s="35">
        <v>7589153</v>
      </c>
      <c r="AA64" s="35">
        <v>120</v>
      </c>
      <c r="AB64" s="35">
        <v>60</v>
      </c>
      <c r="AC64" s="35"/>
      <c r="AE64" s="51">
        <f>M64/O64</f>
        <v>1</v>
      </c>
      <c r="AG64" s="6" t="str">
        <f>C64</f>
        <v>90MB1BJ0-C1BAY0</v>
      </c>
      <c r="AH64" s="6" t="str">
        <f>IF($D64&lt;=AH$4,"",IF(AND($D63=AH$4,$D64&gt;AH$4),$F63,AH63))</f>
        <v/>
      </c>
      <c r="AI64" s="6" t="str">
        <f>IF($D64&lt;=AI$4,"",IF(AND($D63=AI$4,$D64&gt;AI$4),$F63,AI63))</f>
        <v/>
      </c>
      <c r="AJ64" s="6" t="str">
        <f>IF($D64&lt;=AJ$4,"",IF(AND($D63=AJ$4,$D64&gt;AJ$4),$F63,AJ63))</f>
        <v/>
      </c>
      <c r="AK64" s="6" t="str">
        <f>IF($D64&lt;=AK$4,"",IF(AND($D63=AK$4,$D64&gt;AK$4),$F63,AK63))</f>
        <v/>
      </c>
      <c r="AL64" s="6" t="str">
        <f>IF($D64&lt;=AL$4,"",IF(AND($D63=AL$4,$D64&gt;AL$4),$F63,AL63))</f>
        <v/>
      </c>
      <c r="AM64" s="6" t="str">
        <f>IF($D64&lt;=AM$4,"",IF(AND($D63=AM$4,$D64&gt;AM$4),$F63,AM63))</f>
        <v/>
      </c>
      <c r="AN64" s="6" t="str">
        <f>IF($D64&lt;=AN$4,"",IF(AND($D63=AN$4,$D64&gt;AN$4),$F63,AN63))</f>
        <v/>
      </c>
      <c r="AO64" s="6" t="str">
        <f>CONCATENATE(AG64," | ",AH64," | ",AI64," | ",AJ64," | ",AK64," | ",AL64," | ",AM64," | ",AN64)</f>
        <v xml:space="preserve">90MB1BJ0-C1BAY0 |  |  |  |  |  |  | </v>
      </c>
      <c r="AP64" s="6">
        <f>IF(TRIM(H64)="",100,J64)</f>
        <v>100</v>
      </c>
      <c r="AQ64" s="4"/>
      <c r="AR64" s="6" t="b">
        <f>NOT(TRIM(W64)&lt;&gt;"F")</f>
        <v>0</v>
      </c>
      <c r="AS64" s="6" t="str">
        <f>$B64&amp;" | "&amp;$AO64&amp;" | "&amp;IF(TRIM(H64)="","uniq"&amp;ROW(),TRIM(H64))</f>
        <v>461E | 90MB1BJ0-C1BAY0 |  |  |  |  |  |  |  | uniq64</v>
      </c>
      <c r="AT64" s="63" t="str">
        <f>IF(NOT(AR64),IF(TRIM($H64)="","Assembly","Phantom Alt"),VLOOKUP(F64,ZPCS04!B:G,6,0))</f>
        <v>Assembly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100</v>
      </c>
      <c r="AX64" s="7"/>
      <c r="AY64" s="6" t="b">
        <f>SUMIF(AS:AS,AS64,AP:AP)=100</f>
        <v>1</v>
      </c>
      <c r="AZ64" s="6" t="b">
        <f>SUMIF(AS:AS,AS64,AE:AE)/COUNTIF(AS:AS,AS64)=AE64</f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>C64&amp;" | "&amp;F64</f>
        <v>90MB1BJ0-C1BAY0 | 59MB1BJB-MB0A02S</v>
      </c>
      <c r="BE64" s="55" t="str">
        <f ca="1">C64&amp;" | "&amp;OFFSET($AF64,0,8-COUNTBLANK($AG64:$AN64))</f>
        <v>90MB1BJ0-C1BAY0 | 90MB1BJ0-C1BAY0</v>
      </c>
      <c r="BF64" s="57">
        <f ca="1">IFERROR(VLOOKUP($BE64,$BD$5:$BF63,3,0)*$AE64,VLOOKUP($C64,Demanda!$A:$B,2,0)*$AE64)*IF(AT64="Phantom Alt",$BC64,TRUE)</f>
        <v>1000</v>
      </c>
      <c r="BG64" s="57">
        <f ca="1">BF64*(AP64/100)</f>
        <v>1000</v>
      </c>
      <c r="BH64" s="57">
        <f>SUMIF(Invoice!A:A,F64,Invoice!B:B)</f>
        <v>0</v>
      </c>
      <c r="BI64" s="57">
        <f ca="1">SUMIF(AS:AS,AS64,BG:BG)</f>
        <v>1000</v>
      </c>
      <c r="BJ64" s="57">
        <f ca="1">MIN((BI64-SUMIF($AS$5:AS63,AS64,$BJ$5:BJ63)),MAX(0,BH64-SUMIF($F$5:F63,F64,$BJ$5:BJ63)))</f>
        <v>0</v>
      </c>
      <c r="BK64" s="57">
        <f ca="1">(-SUMIF(AS:AS,AS64,BG:BG)+SUMIF(AS:AS,AS64,BJ:BJ))*(AP64=100)*AR64</f>
        <v>0</v>
      </c>
      <c r="BL64" s="57">
        <f ca="1">MAX(0,SUMIF(Invoice!A:A,F64,Invoice!B:B)-SUMIF(F:F,F64,BJ:BJ))*(COUNTIF(F:F,F64)=COUNTIF($F$5:F64,F64))</f>
        <v>0</v>
      </c>
    </row>
    <row r="65" spans="1:64" hidden="1">
      <c r="A65" s="43">
        <v>67</v>
      </c>
      <c r="B65" s="35" t="s">
        <v>147</v>
      </c>
      <c r="C65" s="35" t="s">
        <v>146</v>
      </c>
      <c r="D65" s="35">
        <v>2</v>
      </c>
      <c r="E65" s="35">
        <v>20</v>
      </c>
      <c r="F65" s="64" t="s">
        <v>296</v>
      </c>
      <c r="G65" s="73" t="s">
        <v>297</v>
      </c>
      <c r="H65" s="35">
        <v>2</v>
      </c>
      <c r="I65" s="35" t="s">
        <v>54</v>
      </c>
      <c r="J65" s="35">
        <v>100</v>
      </c>
      <c r="K65" s="35" t="s">
        <v>150</v>
      </c>
      <c r="L65" s="35" t="s">
        <v>53</v>
      </c>
      <c r="M65" s="35">
        <v>1</v>
      </c>
      <c r="N65" s="35">
        <v>1</v>
      </c>
      <c r="O65" s="35">
        <v>1</v>
      </c>
      <c r="P65" s="35">
        <v>2</v>
      </c>
      <c r="Q65" s="35">
        <v>1</v>
      </c>
      <c r="R65" s="35" t="s">
        <v>73</v>
      </c>
      <c r="S65" s="35" t="s">
        <v>73</v>
      </c>
      <c r="T65" s="36">
        <v>44901</v>
      </c>
      <c r="U65" s="36">
        <v>2958465</v>
      </c>
      <c r="V65" s="35" t="s">
        <v>282</v>
      </c>
      <c r="W65" s="35" t="s">
        <v>145</v>
      </c>
      <c r="X65" s="35"/>
      <c r="Y65" s="35" t="s">
        <v>143</v>
      </c>
      <c r="Z65" s="35">
        <v>7589154</v>
      </c>
      <c r="AA65" s="35">
        <v>8</v>
      </c>
      <c r="AB65" s="35">
        <v>4</v>
      </c>
      <c r="AC65" s="35"/>
      <c r="AE65" s="51">
        <f>M65/O65</f>
        <v>1</v>
      </c>
      <c r="AG65" s="6" t="str">
        <f>C65</f>
        <v>90MB1BJ0-C1BAY0</v>
      </c>
      <c r="AH65" s="6" t="str">
        <f>IF($D65&lt;=AH$4,"",IF(AND($D64=AH$4,$D65&gt;AH$4),$F64,AH64))</f>
        <v>59MB1BJB-MB0A02S</v>
      </c>
      <c r="AI65" s="6" t="str">
        <f>IF($D65&lt;=AI$4,"",IF(AND($D64=AI$4,$D65&gt;AI$4),$F64,AI64))</f>
        <v/>
      </c>
      <c r="AJ65" s="6" t="str">
        <f>IF($D65&lt;=AJ$4,"",IF(AND($D64=AJ$4,$D65&gt;AJ$4),$F64,AJ64))</f>
        <v/>
      </c>
      <c r="AK65" s="6" t="str">
        <f>IF($D65&lt;=AK$4,"",IF(AND($D64=AK$4,$D65&gt;AK$4),$F64,AK64))</f>
        <v/>
      </c>
      <c r="AL65" s="6" t="str">
        <f>IF($D65&lt;=AL$4,"",IF(AND($D64=AL$4,$D65&gt;AL$4),$F64,AL64))</f>
        <v/>
      </c>
      <c r="AM65" s="6" t="str">
        <f>IF($D65&lt;=AM$4,"",IF(AND($D64=AM$4,$D65&gt;AM$4),$F64,AM64))</f>
        <v/>
      </c>
      <c r="AN65" s="6" t="str">
        <f>IF($D65&lt;=AN$4,"",IF(AND($D64=AN$4,$D65&gt;AN$4),$F64,AN64))</f>
        <v/>
      </c>
      <c r="AO65" s="6" t="str">
        <f>CONCATENATE(AG65," | ",AH65," | ",AI65," | ",AJ65," | ",AK65," | ",AL65," | ",AM65," | ",AN65)</f>
        <v xml:space="preserve">90MB1BJ0-C1BAY0 | 59MB1BJB-MB0A02S |  |  |  |  |  | </v>
      </c>
      <c r="AP65" s="6">
        <f>IF(TRIM(H65)="",100,J65)</f>
        <v>100</v>
      </c>
      <c r="AQ65" s="4"/>
      <c r="AR65" s="6" t="b">
        <f>NOT(TRIM(W65)&lt;&gt;"F")</f>
        <v>1</v>
      </c>
      <c r="AS65" s="6" t="str">
        <f>$B65&amp;" | "&amp;$AO65&amp;" | "&amp;IF(TRIM(H65)="","uniq"&amp;ROW(),TRIM(H65))</f>
        <v>461E | 90MB1BJ0-C1BAY0 | 59MB1BJB-MB0A02S |  |  |  |  |  |  | 2</v>
      </c>
      <c r="AT65" s="63">
        <f>IF(NOT(AR65),IF(TRIM($H65)="","Assembly","Phantom Alt"),VLOOKUP(F65,ZPCS04!B:G,6,0))</f>
        <v>1254</v>
      </c>
      <c r="AU65" s="7"/>
      <c r="AV65" s="38">
        <f ca="1">IF(TRIM($W65)="F",OFFSET($A$5,MATCH($AS65,$AS$5:$AS65,0)-1,0),$A65)</f>
        <v>67</v>
      </c>
      <c r="AW65" s="38">
        <f ca="1">IFERROR(OFFSET(ZPCS04!$A$1,MATCH(F65,ZPCS04!B:B,0)-1,0),100)</f>
        <v>2.9999999900000001</v>
      </c>
      <c r="AX65" s="7"/>
      <c r="AY65" s="6" t="b">
        <f>SUMIF(AS:AS,AS65,AP:AP)=100</f>
        <v>1</v>
      </c>
      <c r="AZ65" s="6" t="b">
        <f>SUMIF(AS:AS,AS65,AE:AE)/COUNTIF(AS:AS,AS65)=AE65</f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>C65&amp;" | "&amp;F65</f>
        <v>90MB1BJ0-C1BAY0 | 05002-00091000</v>
      </c>
      <c r="BE65" s="55" t="str">
        <f ca="1">C65&amp;" | "&amp;OFFSET($AF65,0,8-COUNTBLANK($AG65:$AN65))</f>
        <v>90MB1BJ0-C1BAY0 | 59MB1BJB-MB0A02S</v>
      </c>
      <c r="BF65" s="57">
        <f ca="1">IFERROR(VLOOKUP($BE65,$BD$5:$BF64,3,0)*$AE65,VLOOKUP($C65,Demanda!$A:$B,2,0)*$AE65)*IF(AT65="Phantom Alt",$BC65,TRUE)</f>
        <v>1000</v>
      </c>
      <c r="BG65" s="57">
        <f ca="1">BF65*(AP65/100)</f>
        <v>1000</v>
      </c>
      <c r="BH65" s="57">
        <f>SUMIF(Invoice!A:A,F65,Invoice!B:B)</f>
        <v>1000</v>
      </c>
      <c r="BI65" s="57">
        <f ca="1">SUMIF(AS:AS,AS65,BG:BG)</f>
        <v>1000</v>
      </c>
      <c r="BJ65" s="57">
        <f ca="1">MIN((BI65-SUMIF($AS$5:AS64,AS65,$BJ$5:BJ64)),MAX(0,BH65-SUMIF($F$5:F64,F65,$BJ$5:BJ64)))</f>
        <v>1000</v>
      </c>
      <c r="BK65" s="57">
        <f ca="1">(-SUMIF(AS:AS,AS65,BG:BG)+SUMIF(AS:AS,AS65,BJ:BJ))*(AP65=100)*AR65</f>
        <v>0</v>
      </c>
      <c r="BL65" s="57">
        <f ca="1">MAX(0,SUMIF(Invoice!A:A,F65,Invoice!B:B)-SUMIF(F:F,F65,BJ:BJ))*(COUNTIF(F:F,F65)=COUNTIF($F$5:F65,F65))</f>
        <v>0</v>
      </c>
    </row>
    <row r="66" spans="1:64" hidden="1">
      <c r="A66" s="43">
        <v>65</v>
      </c>
      <c r="B66" s="35" t="s">
        <v>147</v>
      </c>
      <c r="C66" s="35" t="s">
        <v>146</v>
      </c>
      <c r="D66" s="35">
        <v>2</v>
      </c>
      <c r="E66" s="35">
        <v>20</v>
      </c>
      <c r="F66" s="64" t="s">
        <v>292</v>
      </c>
      <c r="G66" s="73" t="s">
        <v>293</v>
      </c>
      <c r="H66" s="35">
        <v>2</v>
      </c>
      <c r="I66" s="35" t="s">
        <v>55</v>
      </c>
      <c r="J66" s="35">
        <v>0</v>
      </c>
      <c r="K66" s="35" t="s">
        <v>150</v>
      </c>
      <c r="L66" s="35" t="s">
        <v>53</v>
      </c>
      <c r="M66" s="35">
        <v>1</v>
      </c>
      <c r="N66" s="35"/>
      <c r="O66" s="35">
        <v>1</v>
      </c>
      <c r="P66" s="35">
        <v>2</v>
      </c>
      <c r="Q66" s="35">
        <v>2</v>
      </c>
      <c r="R66" s="35" t="s">
        <v>73</v>
      </c>
      <c r="S66" s="35" t="s">
        <v>73</v>
      </c>
      <c r="T66" s="36">
        <v>44901</v>
      </c>
      <c r="U66" s="36">
        <v>2958465</v>
      </c>
      <c r="V66" s="35" t="s">
        <v>282</v>
      </c>
      <c r="W66" s="35" t="s">
        <v>145</v>
      </c>
      <c r="X66" s="35"/>
      <c r="Y66" s="35" t="s">
        <v>143</v>
      </c>
      <c r="Z66" s="35">
        <v>7589154</v>
      </c>
      <c r="AA66" s="35">
        <v>10</v>
      </c>
      <c r="AB66" s="35">
        <v>5</v>
      </c>
      <c r="AC66" s="35"/>
      <c r="AE66" s="51">
        <f>M66/O66</f>
        <v>1</v>
      </c>
      <c r="AG66" s="6" t="str">
        <f>C66</f>
        <v>90MB1BJ0-C1BAY0</v>
      </c>
      <c r="AH66" s="6" t="str">
        <f>IF($D66&lt;=AH$4,"",IF(AND($D65=AH$4,$D66&gt;AH$4),$F65,AH65))</f>
        <v>59MB1BJB-MB0A02S</v>
      </c>
      <c r="AI66" s="6" t="str">
        <f>IF($D66&lt;=AI$4,"",IF(AND($D65=AI$4,$D66&gt;AI$4),$F65,AI65))</f>
        <v/>
      </c>
      <c r="AJ66" s="6" t="str">
        <f>IF($D66&lt;=AJ$4,"",IF(AND($D65=AJ$4,$D66&gt;AJ$4),$F65,AJ65))</f>
        <v/>
      </c>
      <c r="AK66" s="6" t="str">
        <f>IF($D66&lt;=AK$4,"",IF(AND($D65=AK$4,$D66&gt;AK$4),$F65,AK65))</f>
        <v/>
      </c>
      <c r="AL66" s="6" t="str">
        <f>IF($D66&lt;=AL$4,"",IF(AND($D65=AL$4,$D66&gt;AL$4),$F65,AL65))</f>
        <v/>
      </c>
      <c r="AM66" s="6" t="str">
        <f>IF($D66&lt;=AM$4,"",IF(AND($D65=AM$4,$D66&gt;AM$4),$F65,AM65))</f>
        <v/>
      </c>
      <c r="AN66" s="6" t="str">
        <f>IF($D66&lt;=AN$4,"",IF(AND($D65=AN$4,$D66&gt;AN$4),$F65,AN65))</f>
        <v/>
      </c>
      <c r="AO66" s="6" t="str">
        <f>CONCATENATE(AG66," | ",AH66," | ",AI66," | ",AJ66," | ",AK66," | ",AL66," | ",AM66," | ",AN66)</f>
        <v xml:space="preserve">90MB1BJ0-C1BAY0 | 59MB1BJB-MB0A02S |  |  |  |  |  | </v>
      </c>
      <c r="AP66" s="6">
        <f>IF(TRIM(H66)="",100,J66)</f>
        <v>0</v>
      </c>
      <c r="AQ66" s="4"/>
      <c r="AR66" s="6" t="b">
        <f>NOT(TRIM(W66)&lt;&gt;"F")</f>
        <v>1</v>
      </c>
      <c r="AS66" s="6" t="str">
        <f>$B66&amp;" | "&amp;$AO66&amp;" | "&amp;IF(TRIM(H66)="","uniq"&amp;ROW(),TRIM(H66))</f>
        <v>461E | 90MB1BJ0-C1BAY0 | 59MB1BJB-MB0A02S |  |  |  |  |  |  | 2</v>
      </c>
      <c r="AT66" s="63">
        <f>IF(NOT(AR66),IF(TRIM($H66)="","Assembly","Phantom Alt"),VLOOKUP(F66,ZPCS04!B:G,6,0))</f>
        <v>1254</v>
      </c>
      <c r="AU66" s="7"/>
      <c r="AV66" s="38">
        <f ca="1">IF(TRIM($W66)="F",OFFSET($A$5,MATCH($AS66,$AS$5:$AS66,0)-1,0),$A66)</f>
        <v>67</v>
      </c>
      <c r="AW66" s="38">
        <f ca="1">IFERROR(OFFSET(ZPCS04!$A$1,MATCH(F66,ZPCS04!B:B,0)-1,0),100)</f>
        <v>2</v>
      </c>
      <c r="AX66" s="7"/>
      <c r="AY66" s="6" t="b">
        <f>SUMIF(AS:AS,AS66,AP:AP)=100</f>
        <v>1</v>
      </c>
      <c r="AZ66" s="6" t="b">
        <f>SUMIF(AS:AS,AS66,AE:AE)/COUNTIF(AS:AS,AS66)=AE66</f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>C66&amp;" | "&amp;F66</f>
        <v>90MB1BJ0-C1BAY0 | 05002-00090000</v>
      </c>
      <c r="BE66" s="55" t="str">
        <f ca="1">C66&amp;" | "&amp;OFFSET($AF66,0,8-COUNTBLANK($AG66:$AN66))</f>
        <v>90MB1BJ0-C1BAY0 | 59MB1BJB-MB0A02S</v>
      </c>
      <c r="BF66" s="57">
        <f ca="1">IFERROR(VLOOKUP($BE66,$BD$5:$BF65,3,0)*$AE66,VLOOKUP($C66,Demanda!$A:$B,2,0)*$AE66)*IF(AT66="Phantom Alt",$BC66,TRUE)</f>
        <v>1000</v>
      </c>
      <c r="BG66" s="57">
        <f ca="1">BF66*(AP66/100)</f>
        <v>0</v>
      </c>
      <c r="BH66" s="57">
        <f>SUMIF(Invoice!A:A,F66,Invoice!B:B)</f>
        <v>0</v>
      </c>
      <c r="BI66" s="57">
        <f ca="1">SUMIF(AS:AS,AS66,BG:BG)</f>
        <v>1000</v>
      </c>
      <c r="BJ66" s="57">
        <f ca="1">MIN((BI66-SUMIF($AS$5:AS65,AS66,$BJ$5:BJ65)),MAX(0,BH66-SUMIF($F$5:F65,F66,$BJ$5:BJ65)))</f>
        <v>0</v>
      </c>
      <c r="BK66" s="57">
        <f ca="1">(-SUMIF(AS:AS,AS66,BG:BG)+SUMIF(AS:AS,AS66,BJ:BJ))*(AP66=100)*AR66</f>
        <v>0</v>
      </c>
      <c r="BL66" s="57">
        <f ca="1">MAX(0,SUMIF(Invoice!A:A,F66,Invoice!B:B)-SUMIF(F:F,F66,BJ:BJ))*(COUNTIF(F:F,F66)=COUNTIF($F$5:F66,F66))</f>
        <v>0</v>
      </c>
    </row>
    <row r="67" spans="1:64" hidden="1">
      <c r="A67" s="43">
        <v>66</v>
      </c>
      <c r="B67" s="35" t="s">
        <v>147</v>
      </c>
      <c r="C67" s="35" t="s">
        <v>146</v>
      </c>
      <c r="D67" s="35">
        <v>2</v>
      </c>
      <c r="E67" s="35">
        <v>20</v>
      </c>
      <c r="F67" s="64" t="s">
        <v>294</v>
      </c>
      <c r="G67" s="73" t="s">
        <v>295</v>
      </c>
      <c r="H67" s="35">
        <v>2</v>
      </c>
      <c r="I67" s="35" t="s">
        <v>55</v>
      </c>
      <c r="J67" s="35">
        <v>0</v>
      </c>
      <c r="K67" s="35" t="s">
        <v>150</v>
      </c>
      <c r="L67" s="35" t="s">
        <v>53</v>
      </c>
      <c r="M67" s="35">
        <v>1</v>
      </c>
      <c r="N67" s="35"/>
      <c r="O67" s="35">
        <v>1</v>
      </c>
      <c r="P67" s="35">
        <v>2</v>
      </c>
      <c r="Q67" s="35">
        <v>3</v>
      </c>
      <c r="R67" s="35" t="s">
        <v>73</v>
      </c>
      <c r="S67" s="35" t="s">
        <v>73</v>
      </c>
      <c r="T67" s="36">
        <v>44901</v>
      </c>
      <c r="U67" s="36">
        <v>2958465</v>
      </c>
      <c r="V67" s="35" t="s">
        <v>282</v>
      </c>
      <c r="W67" s="35" t="s">
        <v>145</v>
      </c>
      <c r="X67" s="35"/>
      <c r="Y67" s="35" t="s">
        <v>143</v>
      </c>
      <c r="Z67" s="35">
        <v>7589154</v>
      </c>
      <c r="AA67" s="35">
        <v>12</v>
      </c>
      <c r="AB67" s="35">
        <v>6</v>
      </c>
      <c r="AC67" s="35"/>
      <c r="AE67" s="51">
        <f>M67/O67</f>
        <v>1</v>
      </c>
      <c r="AG67" s="6" t="str">
        <f>C67</f>
        <v>90MB1BJ0-C1BAY0</v>
      </c>
      <c r="AH67" s="6" t="str">
        <f>IF($D67&lt;=AH$4,"",IF(AND($D66=AH$4,$D67&gt;AH$4),$F66,AH66))</f>
        <v>59MB1BJB-MB0A02S</v>
      </c>
      <c r="AI67" s="6" t="str">
        <f>IF($D67&lt;=AI$4,"",IF(AND($D66=AI$4,$D67&gt;AI$4),$F66,AI66))</f>
        <v/>
      </c>
      <c r="AJ67" s="6" t="str">
        <f>IF($D67&lt;=AJ$4,"",IF(AND($D66=AJ$4,$D67&gt;AJ$4),$F66,AJ66))</f>
        <v/>
      </c>
      <c r="AK67" s="6" t="str">
        <f>IF($D67&lt;=AK$4,"",IF(AND($D66=AK$4,$D67&gt;AK$4),$F66,AK66))</f>
        <v/>
      </c>
      <c r="AL67" s="6" t="str">
        <f>IF($D67&lt;=AL$4,"",IF(AND($D66=AL$4,$D67&gt;AL$4),$F66,AL66))</f>
        <v/>
      </c>
      <c r="AM67" s="6" t="str">
        <f>IF($D67&lt;=AM$4,"",IF(AND($D66=AM$4,$D67&gt;AM$4),$F66,AM66))</f>
        <v/>
      </c>
      <c r="AN67" s="6" t="str">
        <f>IF($D67&lt;=AN$4,"",IF(AND($D66=AN$4,$D67&gt;AN$4),$F66,AN66))</f>
        <v/>
      </c>
      <c r="AO67" s="6" t="str">
        <f>CONCATENATE(AG67," | ",AH67," | ",AI67," | ",AJ67," | ",AK67," | ",AL67," | ",AM67," | ",AN67)</f>
        <v xml:space="preserve">90MB1BJ0-C1BAY0 | 59MB1BJB-MB0A02S |  |  |  |  |  | </v>
      </c>
      <c r="AP67" s="6">
        <f>IF(TRIM(H67)="",100,J67)</f>
        <v>0</v>
      </c>
      <c r="AQ67" s="4"/>
      <c r="AR67" s="6" t="b">
        <f>NOT(TRIM(W67)&lt;&gt;"F")</f>
        <v>1</v>
      </c>
      <c r="AS67" s="6" t="str">
        <f>$B67&amp;" | "&amp;$AO67&amp;" | "&amp;IF(TRIM(H67)="","uniq"&amp;ROW(),TRIM(H67))</f>
        <v>461E | 90MB1BJ0-C1BAY0 | 59MB1BJB-MB0A02S |  |  |  |  |  |  | 2</v>
      </c>
      <c r="AT67" s="63">
        <f>IF(NOT(AR67),IF(TRIM($H67)="","Assembly","Phantom Alt"),VLOOKUP(F67,ZPCS04!B:G,6,0))</f>
        <v>1254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</v>
      </c>
      <c r="AX67" s="7"/>
      <c r="AY67" s="6" t="b">
        <f>SUMIF(AS:AS,AS67,AP:AP)=100</f>
        <v>1</v>
      </c>
      <c r="AZ67" s="6" t="b">
        <f>SUMIF(AS:AS,AS67,AE:AE)/COUNTIF(AS:AS,AS67)=AE67</f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>C67&amp;" | "&amp;F67</f>
        <v>90MB1BJ0-C1BAY0 | 05002-00090800</v>
      </c>
      <c r="BE67" s="55" t="str">
        <f ca="1">C67&amp;" | "&amp;OFFSET($AF67,0,8-COUNTBLANK($AG67:$AN67))</f>
        <v>90MB1BJ0-C1BAY0 | 59MB1BJB-MB0A02S</v>
      </c>
      <c r="BF67" s="57">
        <f ca="1">IFERROR(VLOOKUP($BE67,$BD$5:$BF66,3,0)*$AE67,VLOOKUP($C67,Demanda!$A:$B,2,0)*$AE67)*IF(AT67="Phantom Alt",$BC67,TRUE)</f>
        <v>1000</v>
      </c>
      <c r="BG67" s="57">
        <f ca="1">BF67*(AP67/100)</f>
        <v>0</v>
      </c>
      <c r="BH67" s="57">
        <f>SUMIF(Invoice!A:A,F67,Invoice!B:B)</f>
        <v>0</v>
      </c>
      <c r="BI67" s="57">
        <f ca="1">SUMIF(AS:AS,AS67,BG:BG)</f>
        <v>1000</v>
      </c>
      <c r="BJ67" s="57">
        <f ca="1">MIN((BI67-SUMIF($AS$5:AS66,AS67,$BJ$5:BJ66)),MAX(0,BH67-SUMIF($F$5:F66,F67,$BJ$5:BJ66)))</f>
        <v>0</v>
      </c>
      <c r="BK67" s="57">
        <f ca="1">(-SUMIF(AS:AS,AS67,BG:BG)+SUMIF(AS:AS,AS67,BJ:BJ))*(AP67=100)*AR67</f>
        <v>0</v>
      </c>
      <c r="BL67" s="57">
        <f ca="1">MAX(0,SUMIF(Invoice!A:A,F67,Invoice!B:B)-SUMIF(F:F,F67,BJ:BJ))*(COUNTIF(F:F,F67)=COUNTIF($F$5:F67,F67))</f>
        <v>0</v>
      </c>
    </row>
    <row r="68" spans="1:64" hidden="1">
      <c r="A68" s="43">
        <v>69</v>
      </c>
      <c r="B68" s="35" t="s">
        <v>147</v>
      </c>
      <c r="C68" s="35" t="s">
        <v>146</v>
      </c>
      <c r="D68" s="35">
        <v>2</v>
      </c>
      <c r="E68" s="35">
        <v>50</v>
      </c>
      <c r="F68" s="64" t="s">
        <v>300</v>
      </c>
      <c r="G68" s="73" t="s">
        <v>301</v>
      </c>
      <c r="H68" s="35">
        <v>5</v>
      </c>
      <c r="I68" s="35" t="s">
        <v>55</v>
      </c>
      <c r="J68" s="35">
        <v>0</v>
      </c>
      <c r="K68" s="35" t="s">
        <v>150</v>
      </c>
      <c r="L68" s="35" t="s">
        <v>53</v>
      </c>
      <c r="M68" s="35">
        <v>6</v>
      </c>
      <c r="N68" s="35"/>
      <c r="O68" s="35">
        <v>1</v>
      </c>
      <c r="P68" s="35">
        <v>2</v>
      </c>
      <c r="Q68" s="35">
        <v>2</v>
      </c>
      <c r="R68" s="35" t="s">
        <v>73</v>
      </c>
      <c r="S68" s="35" t="s">
        <v>73</v>
      </c>
      <c r="T68" s="36">
        <v>44901</v>
      </c>
      <c r="U68" s="36">
        <v>2958465</v>
      </c>
      <c r="V68" s="35" t="s">
        <v>282</v>
      </c>
      <c r="W68" s="35" t="s">
        <v>145</v>
      </c>
      <c r="X68" s="35"/>
      <c r="Y68" s="35" t="s">
        <v>143</v>
      </c>
      <c r="Z68" s="35">
        <v>7589154</v>
      </c>
      <c r="AA68" s="35">
        <v>26</v>
      </c>
      <c r="AB68" s="35">
        <v>13</v>
      </c>
      <c r="AC68" s="35"/>
      <c r="AE68" s="51">
        <f>M68/O68</f>
        <v>6</v>
      </c>
      <c r="AG68" s="6" t="str">
        <f>C68</f>
        <v>90MB1BJ0-C1BAY0</v>
      </c>
      <c r="AH68" s="6" t="str">
        <f>IF($D68&lt;=AH$4,"",IF(AND($D67=AH$4,$D68&gt;AH$4),$F67,AH67))</f>
        <v>59MB1BJB-MB0A02S</v>
      </c>
      <c r="AI68" s="6" t="str">
        <f>IF($D68&lt;=AI$4,"",IF(AND($D67=AI$4,$D68&gt;AI$4),$F67,AI67))</f>
        <v/>
      </c>
      <c r="AJ68" s="6" t="str">
        <f>IF($D68&lt;=AJ$4,"",IF(AND($D67=AJ$4,$D68&gt;AJ$4),$F67,AJ67))</f>
        <v/>
      </c>
      <c r="AK68" s="6" t="str">
        <f>IF($D68&lt;=AK$4,"",IF(AND($D67=AK$4,$D68&gt;AK$4),$F67,AK67))</f>
        <v/>
      </c>
      <c r="AL68" s="6" t="str">
        <f>IF($D68&lt;=AL$4,"",IF(AND($D67=AL$4,$D68&gt;AL$4),$F67,AL67))</f>
        <v/>
      </c>
      <c r="AM68" s="6" t="str">
        <f>IF($D68&lt;=AM$4,"",IF(AND($D67=AM$4,$D68&gt;AM$4),$F67,AM67))</f>
        <v/>
      </c>
      <c r="AN68" s="6" t="str">
        <f>IF($D68&lt;=AN$4,"",IF(AND($D67=AN$4,$D68&gt;AN$4),$F67,AN67))</f>
        <v/>
      </c>
      <c r="AO68" s="6" t="str">
        <f>CONCATENATE(AG68," | ",AH68," | ",AI68," | ",AJ68," | ",AK68," | ",AL68," | ",AM68," | ",AN68)</f>
        <v xml:space="preserve">90MB1BJ0-C1BAY0 | 59MB1BJB-MB0A02S |  |  |  |  |  | </v>
      </c>
      <c r="AP68" s="6">
        <f>IF(TRIM(H68)="",100,J68)</f>
        <v>0</v>
      </c>
      <c r="AQ68" s="4"/>
      <c r="AR68" s="6" t="b">
        <f>NOT(TRIM(W68)&lt;&gt;"F")</f>
        <v>1</v>
      </c>
      <c r="AS68" s="6" t="str">
        <f>$B68&amp;" | "&amp;$AO68&amp;" | "&amp;IF(TRIM(H68)="","uniq"&amp;ROW(),TRIM(H68))</f>
        <v>461E | 90MB1BJ0-C1BAY0 | 59MB1BJB-MB0A02S |  |  |  |  |  |  | 5</v>
      </c>
      <c r="AT68" s="63">
        <f>IF(NOT(AR68),IF(TRIM($H68)="","Assembly","Phantom Alt"),VLOOKUP(F68,ZPCS04!B:G,6,0))</f>
        <v>299</v>
      </c>
      <c r="AU68" s="7"/>
      <c r="AV68" s="38">
        <f ca="1">IF(TRIM($W68)="F",OFFSET($A$5,MATCH($AS68,$AS$5:$AS68,0)-1,0),$A68)</f>
        <v>69</v>
      </c>
      <c r="AW68" s="38">
        <f ca="1">IFERROR(OFFSET(ZPCS04!$A$1,MATCH(F68,ZPCS04!B:B,0)-1,0),100)</f>
        <v>1.9999999399999999</v>
      </c>
      <c r="AX68" s="7"/>
      <c r="AY68" s="6" t="b">
        <f>SUMIF(AS:AS,AS68,AP:AP)=100</f>
        <v>1</v>
      </c>
      <c r="AZ68" s="6" t="b">
        <f>SUMIF(AS:AS,AS68,AE:AE)/COUNTIF(AS:AS,AS68)=AE68</f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>C68&amp;" | "&amp;F68</f>
        <v>90MB1BJ0-C1BAY0 | 06G004258020</v>
      </c>
      <c r="BE68" s="55" t="str">
        <f ca="1">C68&amp;" | "&amp;OFFSET($AF68,0,8-COUNTBLANK($AG68:$AN68))</f>
        <v>90MB1BJ0-C1BAY0 | 59MB1BJB-MB0A02S</v>
      </c>
      <c r="BF68" s="57">
        <f ca="1">IFERROR(VLOOKUP($BE68,$BD$5:$BF67,3,0)*$AE68,VLOOKUP($C68,Demanda!$A:$B,2,0)*$AE68)*IF(AT68="Phantom Alt",$BC68,TRUE)</f>
        <v>6000</v>
      </c>
      <c r="BG68" s="57">
        <f ca="1">BF68*(AP68/100)</f>
        <v>0</v>
      </c>
      <c r="BH68" s="57">
        <f>SUMIF(Invoice!A:A,F68,Invoice!B:B)</f>
        <v>6000</v>
      </c>
      <c r="BI68" s="57">
        <f ca="1">SUMIF(AS:AS,AS68,BG:BG)</f>
        <v>6000</v>
      </c>
      <c r="BJ68" s="57">
        <f ca="1">MIN((BI68-SUMIF($AS$5:AS67,AS68,$BJ$5:BJ67)),MAX(0,BH68-SUMIF($F$5:F67,F68,$BJ$5:BJ67)))</f>
        <v>6000</v>
      </c>
      <c r="BK68" s="57">
        <f ca="1">(-SUMIF(AS:AS,AS68,BG:BG)+SUMIF(AS:AS,AS68,BJ:BJ))*(AP68=100)*AR68</f>
        <v>0</v>
      </c>
      <c r="BL68" s="57">
        <f ca="1">MAX(0,SUMIF(Invoice!A:A,F68,Invoice!B:B)-SUMIF(F:F,F68,BJ:BJ))*(COUNTIF(F:F,F68)=COUNTIF($F$5:F68,F68))</f>
        <v>0</v>
      </c>
    </row>
    <row r="69" spans="1:64" hidden="1">
      <c r="A69" s="43">
        <v>68</v>
      </c>
      <c r="B69" s="35" t="s">
        <v>147</v>
      </c>
      <c r="C69" s="35" t="s">
        <v>146</v>
      </c>
      <c r="D69" s="35">
        <v>2</v>
      </c>
      <c r="E69" s="35">
        <v>50</v>
      </c>
      <c r="F69" s="64" t="s">
        <v>298</v>
      </c>
      <c r="G69" s="73" t="s">
        <v>299</v>
      </c>
      <c r="H69" s="35">
        <v>5</v>
      </c>
      <c r="I69" s="35" t="s">
        <v>54</v>
      </c>
      <c r="J69" s="35">
        <v>100</v>
      </c>
      <c r="K69" s="35" t="s">
        <v>150</v>
      </c>
      <c r="L69" s="35" t="s">
        <v>53</v>
      </c>
      <c r="M69" s="35">
        <v>6</v>
      </c>
      <c r="N69" s="35">
        <v>6</v>
      </c>
      <c r="O69" s="35">
        <v>1</v>
      </c>
      <c r="P69" s="35">
        <v>2</v>
      </c>
      <c r="Q69" s="35">
        <v>1</v>
      </c>
      <c r="R69" s="35" t="s">
        <v>73</v>
      </c>
      <c r="S69" s="35" t="s">
        <v>73</v>
      </c>
      <c r="T69" s="36">
        <v>44901</v>
      </c>
      <c r="U69" s="36">
        <v>2958465</v>
      </c>
      <c r="V69" s="35" t="s">
        <v>282</v>
      </c>
      <c r="W69" s="35" t="s">
        <v>145</v>
      </c>
      <c r="X69" s="35"/>
      <c r="Y69" s="35" t="s">
        <v>143</v>
      </c>
      <c r="Z69" s="35">
        <v>7589154</v>
      </c>
      <c r="AA69" s="35">
        <v>24</v>
      </c>
      <c r="AB69" s="35">
        <v>12</v>
      </c>
      <c r="AC69" s="35"/>
      <c r="AE69" s="51">
        <f>M69/O69</f>
        <v>6</v>
      </c>
      <c r="AG69" s="6" t="str">
        <f>C69</f>
        <v>90MB1BJ0-C1BAY0</v>
      </c>
      <c r="AH69" s="6" t="str">
        <f>IF($D69&lt;=AH$4,"",IF(AND($D68=AH$4,$D69&gt;AH$4),$F68,AH68))</f>
        <v>59MB1BJB-MB0A02S</v>
      </c>
      <c r="AI69" s="6" t="str">
        <f>IF($D69&lt;=AI$4,"",IF(AND($D68=AI$4,$D69&gt;AI$4),$F68,AI68))</f>
        <v/>
      </c>
      <c r="AJ69" s="6" t="str">
        <f>IF($D69&lt;=AJ$4,"",IF(AND($D68=AJ$4,$D69&gt;AJ$4),$F68,AJ68))</f>
        <v/>
      </c>
      <c r="AK69" s="6" t="str">
        <f>IF($D69&lt;=AK$4,"",IF(AND($D68=AK$4,$D69&gt;AK$4),$F68,AK68))</f>
        <v/>
      </c>
      <c r="AL69" s="6" t="str">
        <f>IF($D69&lt;=AL$4,"",IF(AND($D68=AL$4,$D69&gt;AL$4),$F68,AL68))</f>
        <v/>
      </c>
      <c r="AM69" s="6" t="str">
        <f>IF($D69&lt;=AM$4,"",IF(AND($D68=AM$4,$D69&gt;AM$4),$F68,AM68))</f>
        <v/>
      </c>
      <c r="AN69" s="6" t="str">
        <f>IF($D69&lt;=AN$4,"",IF(AND($D68=AN$4,$D69&gt;AN$4),$F68,AN68))</f>
        <v/>
      </c>
      <c r="AO69" s="6" t="str">
        <f>CONCATENATE(AG69," | ",AH69," | ",AI69," | ",AJ69," | ",AK69," | ",AL69," | ",AM69," | ",AN69)</f>
        <v xml:space="preserve">90MB1BJ0-C1BAY0 | 59MB1BJB-MB0A02S |  |  |  |  |  | </v>
      </c>
      <c r="AP69" s="6">
        <f>IF(TRIM(H69)="",100,J69)</f>
        <v>100</v>
      </c>
      <c r="AQ69" s="4"/>
      <c r="AR69" s="6" t="b">
        <f>NOT(TRIM(W69)&lt;&gt;"F")</f>
        <v>1</v>
      </c>
      <c r="AS69" s="6" t="str">
        <f>$B69&amp;" | "&amp;$AO69&amp;" | "&amp;IF(TRIM(H69)="","uniq"&amp;ROW(),TRIM(H69))</f>
        <v>461E | 90MB1BJ0-C1BAY0 | 59MB1BJB-MB0A02S |  |  |  |  |  |  | 5</v>
      </c>
      <c r="AT69" s="63">
        <f>IF(NOT(AR69),IF(TRIM($H69)="","Assembly","Phantom Alt"),VLOOKUP(F69,ZPCS04!B:G,6,0))</f>
        <v>299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</v>
      </c>
      <c r="AX69" s="7"/>
      <c r="AY69" s="6" t="b">
        <f>SUMIF(AS:AS,AS69,AP:AP)=100</f>
        <v>1</v>
      </c>
      <c r="AZ69" s="6" t="b">
        <f>SUMIF(AS:AS,AS69,AE:AE)/COUNTIF(AS:AS,AS69)=AE69</f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>C69&amp;" | "&amp;F69</f>
        <v>90MB1BJ0-C1BAY0 | 06004-00620400</v>
      </c>
      <c r="BE69" s="55" t="str">
        <f ca="1">C69&amp;" | "&amp;OFFSET($AF69,0,8-COUNTBLANK($AG69:$AN69))</f>
        <v>90MB1BJ0-C1BAY0 | 59MB1BJB-MB0A02S</v>
      </c>
      <c r="BF69" s="57">
        <f ca="1">IFERROR(VLOOKUP($BE69,$BD$5:$BF68,3,0)*$AE69,VLOOKUP($C69,Demanda!$A:$B,2,0)*$AE69)*IF(AT69="Phantom Alt",$BC69,TRUE)</f>
        <v>6000</v>
      </c>
      <c r="BG69" s="57">
        <f ca="1">BF69*(AP69/100)</f>
        <v>6000</v>
      </c>
      <c r="BH69" s="57">
        <f>SUMIF(Invoice!A:A,F69,Invoice!B:B)</f>
        <v>0</v>
      </c>
      <c r="BI69" s="57">
        <f ca="1">SUMIF(AS:AS,AS69,BG:BG)</f>
        <v>6000</v>
      </c>
      <c r="BJ69" s="57">
        <f ca="1">MIN((BI69-SUMIF($AS$5:AS68,AS69,$BJ$5:BJ68)),MAX(0,BH69-SUMIF($F$5:F68,F69,$BJ$5:BJ68)))</f>
        <v>0</v>
      </c>
      <c r="BK69" s="57">
        <f ca="1">(-SUMIF(AS:AS,AS69,BG:BG)+SUMIF(AS:AS,AS69,BJ:BJ))*(AP69=100)*AR69</f>
        <v>0</v>
      </c>
      <c r="BL69" s="57">
        <f ca="1">MAX(0,SUMIF(Invoice!A:A,F69,Invoice!B:B)-SUMIF(F:F,F69,BJ:BJ))*(COUNTIF(F:F,F69)=COUNTIF($F$5:F69,F69))</f>
        <v>0</v>
      </c>
    </row>
    <row r="70" spans="1:64" hidden="1">
      <c r="A70" s="43">
        <v>71</v>
      </c>
      <c r="B70" s="35" t="s">
        <v>147</v>
      </c>
      <c r="C70" s="35" t="s">
        <v>146</v>
      </c>
      <c r="D70" s="35">
        <v>2</v>
      </c>
      <c r="E70" s="35">
        <v>60</v>
      </c>
      <c r="F70" s="64" t="s">
        <v>304</v>
      </c>
      <c r="G70" s="73" t="s">
        <v>305</v>
      </c>
      <c r="H70" s="35">
        <v>6</v>
      </c>
      <c r="I70" s="35" t="s">
        <v>54</v>
      </c>
      <c r="J70" s="35">
        <v>100</v>
      </c>
      <c r="K70" s="35" t="s">
        <v>150</v>
      </c>
      <c r="L70" s="35" t="s">
        <v>53</v>
      </c>
      <c r="M70" s="35">
        <v>2</v>
      </c>
      <c r="N70" s="35">
        <v>2</v>
      </c>
      <c r="O70" s="35">
        <v>1</v>
      </c>
      <c r="P70" s="35">
        <v>2</v>
      </c>
      <c r="Q70" s="35">
        <v>1</v>
      </c>
      <c r="R70" s="35" t="s">
        <v>73</v>
      </c>
      <c r="S70" s="35" t="s">
        <v>73</v>
      </c>
      <c r="T70" s="36">
        <v>44901</v>
      </c>
      <c r="U70" s="36">
        <v>2958465</v>
      </c>
      <c r="V70" s="35" t="s">
        <v>282</v>
      </c>
      <c r="W70" s="35" t="s">
        <v>145</v>
      </c>
      <c r="X70" s="35"/>
      <c r="Y70" s="35" t="s">
        <v>143</v>
      </c>
      <c r="Z70" s="35">
        <v>7589154</v>
      </c>
      <c r="AA70" s="35">
        <v>28</v>
      </c>
      <c r="AB70" s="35">
        <v>14</v>
      </c>
      <c r="AC70" s="35"/>
      <c r="AE70" s="51">
        <f>M70/O70</f>
        <v>2</v>
      </c>
      <c r="AG70" s="6" t="str">
        <f>C70</f>
        <v>90MB1BJ0-C1BAY0</v>
      </c>
      <c r="AH70" s="6" t="str">
        <f>IF($D70&lt;=AH$4,"",IF(AND($D69=AH$4,$D70&gt;AH$4),$F69,AH69))</f>
        <v>59MB1BJB-MB0A02S</v>
      </c>
      <c r="AI70" s="6" t="str">
        <f>IF($D70&lt;=AI$4,"",IF(AND($D69=AI$4,$D70&gt;AI$4),$F69,AI69))</f>
        <v/>
      </c>
      <c r="AJ70" s="6" t="str">
        <f>IF($D70&lt;=AJ$4,"",IF(AND($D69=AJ$4,$D70&gt;AJ$4),$F69,AJ69))</f>
        <v/>
      </c>
      <c r="AK70" s="6" t="str">
        <f>IF($D70&lt;=AK$4,"",IF(AND($D69=AK$4,$D70&gt;AK$4),$F69,AK69))</f>
        <v/>
      </c>
      <c r="AL70" s="6" t="str">
        <f>IF($D70&lt;=AL$4,"",IF(AND($D69=AL$4,$D70&gt;AL$4),$F69,AL69))</f>
        <v/>
      </c>
      <c r="AM70" s="6" t="str">
        <f>IF($D70&lt;=AM$4,"",IF(AND($D69=AM$4,$D70&gt;AM$4),$F69,AM69))</f>
        <v/>
      </c>
      <c r="AN70" s="6" t="str">
        <f>IF($D70&lt;=AN$4,"",IF(AND($D69=AN$4,$D70&gt;AN$4),$F69,AN69))</f>
        <v/>
      </c>
      <c r="AO70" s="6" t="str">
        <f>CONCATENATE(AG70," | ",AH70," | ",AI70," | ",AJ70," | ",AK70," | ",AL70," | ",AM70," | ",AN70)</f>
        <v xml:space="preserve">90MB1BJ0-C1BAY0 | 59MB1BJB-MB0A02S |  |  |  |  |  | </v>
      </c>
      <c r="AP70" s="6">
        <f>IF(TRIM(H70)="",100,J70)</f>
        <v>100</v>
      </c>
      <c r="AQ70" s="4"/>
      <c r="AR70" s="6" t="b">
        <f>NOT(TRIM(W70)&lt;&gt;"F")</f>
        <v>1</v>
      </c>
      <c r="AS70" s="6" t="str">
        <f>$B70&amp;" | "&amp;$AO70&amp;" | "&amp;IF(TRIM(H70)="","uniq"&amp;ROW(),TRIM(H70))</f>
        <v>461E | 90MB1BJ0-C1BAY0 | 59MB1BJB-MB0A02S |  |  |  |  |  |  | 6</v>
      </c>
      <c r="AT70" s="63">
        <f>IF(NOT(AR70),IF(TRIM($H70)="","Assembly","Phantom Alt"),VLOOKUP(F70,ZPCS04!B:G,6,0))</f>
        <v>1257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1.9999999800000001</v>
      </c>
      <c r="AX70" s="7"/>
      <c r="AY70" s="6" t="b">
        <f>SUMIF(AS:AS,AS70,AP:AP)=100</f>
        <v>1</v>
      </c>
      <c r="AZ70" s="6" t="b">
        <f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>C70&amp;" | "&amp;F70</f>
        <v>90MB1BJ0-C1BAY0 | 06004-01260400</v>
      </c>
      <c r="BE70" s="55" t="str">
        <f ca="1">C70&amp;" | "&amp;OFFSET($AF70,0,8-COUNTBLANK($AG70:$AN70))</f>
        <v>90MB1BJ0-C1BAY0 | 59MB1BJB-MB0A02S</v>
      </c>
      <c r="BF70" s="57">
        <f ca="1">IFERROR(VLOOKUP($BE70,$BD$5:$BF69,3,0)*$AE70,VLOOKUP($C70,Demanda!$A:$B,2,0)*$AE70)*IF(AT70="Phantom Alt",$BC70,TRUE)</f>
        <v>2000</v>
      </c>
      <c r="BG70" s="57">
        <f ca="1">BF70*(AP70/100)</f>
        <v>2000</v>
      </c>
      <c r="BH70" s="57">
        <f>SUMIF(Invoice!A:A,F70,Invoice!B:B)</f>
        <v>2000</v>
      </c>
      <c r="BI70" s="57">
        <f ca="1">SUMIF(AS:AS,AS70,BG:BG)</f>
        <v>2000</v>
      </c>
      <c r="BJ70" s="57">
        <f ca="1">MIN((BI70-SUMIF($AS$5:AS69,AS70,$BJ$5:BJ69)),MAX(0,BH70-SUMIF($F$5:F69,F70,$BJ$5:BJ69)))</f>
        <v>2000</v>
      </c>
      <c r="BK70" s="57">
        <f ca="1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 hidden="1">
      <c r="A71" s="43">
        <v>70</v>
      </c>
      <c r="B71" s="35" t="s">
        <v>147</v>
      </c>
      <c r="C71" s="35" t="s">
        <v>146</v>
      </c>
      <c r="D71" s="35">
        <v>2</v>
      </c>
      <c r="E71" s="35">
        <v>60</v>
      </c>
      <c r="F71" s="64" t="s">
        <v>302</v>
      </c>
      <c r="G71" s="73" t="s">
        <v>303</v>
      </c>
      <c r="H71" s="35">
        <v>6</v>
      </c>
      <c r="I71" s="35" t="s">
        <v>55</v>
      </c>
      <c r="J71" s="35">
        <v>0</v>
      </c>
      <c r="K71" s="35" t="s">
        <v>150</v>
      </c>
      <c r="L71" s="35" t="s">
        <v>53</v>
      </c>
      <c r="M71" s="35">
        <v>2</v>
      </c>
      <c r="N71" s="35"/>
      <c r="O71" s="35">
        <v>1</v>
      </c>
      <c r="P71" s="35">
        <v>2</v>
      </c>
      <c r="Q71" s="35">
        <v>3</v>
      </c>
      <c r="R71" s="35" t="s">
        <v>73</v>
      </c>
      <c r="S71" s="35" t="s">
        <v>73</v>
      </c>
      <c r="T71" s="36">
        <v>44901</v>
      </c>
      <c r="U71" s="36">
        <v>2958465</v>
      </c>
      <c r="V71" s="35" t="s">
        <v>282</v>
      </c>
      <c r="W71" s="35" t="s">
        <v>145</v>
      </c>
      <c r="X71" s="35"/>
      <c r="Y71" s="35" t="s">
        <v>143</v>
      </c>
      <c r="Z71" s="35">
        <v>7589154</v>
      </c>
      <c r="AA71" s="35">
        <v>32</v>
      </c>
      <c r="AB71" s="35">
        <v>16</v>
      </c>
      <c r="AC71" s="35"/>
      <c r="AE71" s="51">
        <f>M71/O71</f>
        <v>2</v>
      </c>
      <c r="AG71" s="6" t="str">
        <f>C71</f>
        <v>90MB1BJ0-C1BAY0</v>
      </c>
      <c r="AH71" s="6" t="str">
        <f>IF($D71&lt;=AH$4,"",IF(AND($D70=AH$4,$D71&gt;AH$4),$F70,AH70))</f>
        <v>59MB1BJB-MB0A02S</v>
      </c>
      <c r="AI71" s="6" t="str">
        <f>IF($D71&lt;=AI$4,"",IF(AND($D70=AI$4,$D71&gt;AI$4),$F70,AI70))</f>
        <v/>
      </c>
      <c r="AJ71" s="6" t="str">
        <f>IF($D71&lt;=AJ$4,"",IF(AND($D70=AJ$4,$D71&gt;AJ$4),$F70,AJ70))</f>
        <v/>
      </c>
      <c r="AK71" s="6" t="str">
        <f>IF($D71&lt;=AK$4,"",IF(AND($D70=AK$4,$D71&gt;AK$4),$F70,AK70))</f>
        <v/>
      </c>
      <c r="AL71" s="6" t="str">
        <f>IF($D71&lt;=AL$4,"",IF(AND($D70=AL$4,$D71&gt;AL$4),$F70,AL70))</f>
        <v/>
      </c>
      <c r="AM71" s="6" t="str">
        <f>IF($D71&lt;=AM$4,"",IF(AND($D70=AM$4,$D71&gt;AM$4),$F70,AM70))</f>
        <v/>
      </c>
      <c r="AN71" s="6" t="str">
        <f>IF($D71&lt;=AN$4,"",IF(AND($D70=AN$4,$D71&gt;AN$4),$F70,AN70))</f>
        <v/>
      </c>
      <c r="AO71" s="6" t="str">
        <f>CONCATENATE(AG71," | ",AH71," | ",AI71," | ",AJ71," | ",AK71," | ",AL71," | ",AM71," | ",AN71)</f>
        <v xml:space="preserve">90MB1BJ0-C1BAY0 | 59MB1BJB-MB0A02S |  |  |  |  |  | </v>
      </c>
      <c r="AP71" s="6">
        <f>IF(TRIM(H71)="",100,J71)</f>
        <v>0</v>
      </c>
      <c r="AQ71" s="4"/>
      <c r="AR71" s="6" t="b">
        <f>NOT(TRIM(W71)&lt;&gt;"F")</f>
        <v>1</v>
      </c>
      <c r="AS71" s="6" t="str">
        <f>$B71&amp;" | "&amp;$AO71&amp;" | "&amp;IF(TRIM(H71)="","uniq"&amp;ROW(),TRIM(H71))</f>
        <v>461E | 90MB1BJ0-C1BAY0 | 59MB1BJB-MB0A02S |  |  |  |  |  |  | 6</v>
      </c>
      <c r="AT71" s="63">
        <f>IF(NOT(AR71),IF(TRIM($H71)="","Assembly","Phantom Alt"),VLOOKUP(F71,ZPCS04!B:G,6,0))</f>
        <v>1257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</v>
      </c>
      <c r="AX71" s="7"/>
      <c r="AY71" s="6" t="b">
        <f>SUMIF(AS:AS,AS71,AP:AP)=100</f>
        <v>1</v>
      </c>
      <c r="AZ71" s="6" t="b">
        <f>SUMIF(AS:AS,AS71,AE:AE)/COUNTIF(AS:AS,AS71)=AE71</f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>C71&amp;" | "&amp;F71</f>
        <v>90MB1BJ0-C1BAY0 | 06004-00220000</v>
      </c>
      <c r="BE71" s="55" t="str">
        <f ca="1">C71&amp;" | "&amp;OFFSET($AF71,0,8-COUNTBLANK($AG71:$AN71))</f>
        <v>90MB1BJ0-C1BAY0 | 59MB1BJB-MB0A02S</v>
      </c>
      <c r="BF71" s="57">
        <f ca="1">IFERROR(VLOOKUP($BE71,$BD$5:$BF70,3,0)*$AE71,VLOOKUP($C71,Demanda!$A:$B,2,0)*$AE71)*IF(AT71="Phantom Alt",$BC71,TRUE)</f>
        <v>2000</v>
      </c>
      <c r="BG71" s="57">
        <f ca="1">BF71*(AP71/100)</f>
        <v>0</v>
      </c>
      <c r="BH71" s="57">
        <f>SUMIF(Invoice!A:A,F71,Invoice!B:B)</f>
        <v>0</v>
      </c>
      <c r="BI71" s="57">
        <f ca="1">SUMIF(AS:AS,AS71,BG:BG)</f>
        <v>2000</v>
      </c>
      <c r="BJ71" s="57">
        <f ca="1">MIN((BI71-SUMIF($AS$5:AS70,AS71,$BJ$5:BJ70)),MAX(0,BH71-SUMIF($F$5:F70,F71,$BJ$5:BJ70)))</f>
        <v>0</v>
      </c>
      <c r="BK71" s="57">
        <f ca="1">(-SUMIF(AS:AS,AS71,BG:BG)+SUMIF(AS:AS,AS71,BJ:BJ))*(AP71=100)*AR71</f>
        <v>0</v>
      </c>
      <c r="BL71" s="57">
        <f ca="1">MAX(0,SUMIF(Invoice!A:A,F71,Invoice!B:B)-SUMIF(F:F,F71,BJ:BJ))*(COUNTIF(F:F,F71)=COUNTIF($F$5:F71,F71))</f>
        <v>0</v>
      </c>
    </row>
    <row r="72" spans="1:64" hidden="1">
      <c r="A72" s="43">
        <v>72</v>
      </c>
      <c r="B72" s="35" t="s">
        <v>147</v>
      </c>
      <c r="C72" s="35" t="s">
        <v>146</v>
      </c>
      <c r="D72" s="35">
        <v>2</v>
      </c>
      <c r="E72" s="35">
        <v>60</v>
      </c>
      <c r="F72" s="64" t="s">
        <v>306</v>
      </c>
      <c r="G72" s="73" t="s">
        <v>307</v>
      </c>
      <c r="H72" s="35">
        <v>6</v>
      </c>
      <c r="I72" s="35" t="s">
        <v>55</v>
      </c>
      <c r="J72" s="35">
        <v>0</v>
      </c>
      <c r="K72" s="35" t="s">
        <v>150</v>
      </c>
      <c r="L72" s="35" t="s">
        <v>53</v>
      </c>
      <c r="M72" s="35">
        <v>2</v>
      </c>
      <c r="N72" s="35"/>
      <c r="O72" s="35">
        <v>1</v>
      </c>
      <c r="P72" s="35">
        <v>2</v>
      </c>
      <c r="Q72" s="35">
        <v>2</v>
      </c>
      <c r="R72" s="35" t="s">
        <v>73</v>
      </c>
      <c r="S72" s="35" t="s">
        <v>73</v>
      </c>
      <c r="T72" s="36">
        <v>44901</v>
      </c>
      <c r="U72" s="36">
        <v>2958465</v>
      </c>
      <c r="V72" s="35" t="s">
        <v>282</v>
      </c>
      <c r="W72" s="35" t="s">
        <v>145</v>
      </c>
      <c r="X72" s="35"/>
      <c r="Y72" s="35" t="s">
        <v>143</v>
      </c>
      <c r="Z72" s="35">
        <v>7589154</v>
      </c>
      <c r="AA72" s="35">
        <v>30</v>
      </c>
      <c r="AB72" s="35">
        <v>15</v>
      </c>
      <c r="AC72" s="35"/>
      <c r="AE72" s="51">
        <f>M72/O72</f>
        <v>2</v>
      </c>
      <c r="AG72" s="6" t="str">
        <f>C72</f>
        <v>90MB1BJ0-C1BAY0</v>
      </c>
      <c r="AH72" s="6" t="str">
        <f>IF($D72&lt;=AH$4,"",IF(AND($D71=AH$4,$D72&gt;AH$4),$F71,AH71))</f>
        <v>59MB1BJB-MB0A02S</v>
      </c>
      <c r="AI72" s="6" t="str">
        <f>IF($D72&lt;=AI$4,"",IF(AND($D71=AI$4,$D72&gt;AI$4),$F71,AI71))</f>
        <v/>
      </c>
      <c r="AJ72" s="6" t="str">
        <f>IF($D72&lt;=AJ$4,"",IF(AND($D71=AJ$4,$D72&gt;AJ$4),$F71,AJ71))</f>
        <v/>
      </c>
      <c r="AK72" s="6" t="str">
        <f>IF($D72&lt;=AK$4,"",IF(AND($D71=AK$4,$D72&gt;AK$4),$F71,AK71))</f>
        <v/>
      </c>
      <c r="AL72" s="6" t="str">
        <f>IF($D72&lt;=AL$4,"",IF(AND($D71=AL$4,$D72&gt;AL$4),$F71,AL71))</f>
        <v/>
      </c>
      <c r="AM72" s="6" t="str">
        <f>IF($D72&lt;=AM$4,"",IF(AND($D71=AM$4,$D72&gt;AM$4),$F71,AM71))</f>
        <v/>
      </c>
      <c r="AN72" s="6" t="str">
        <f>IF($D72&lt;=AN$4,"",IF(AND($D71=AN$4,$D72&gt;AN$4),$F71,AN71))</f>
        <v/>
      </c>
      <c r="AO72" s="6" t="str">
        <f>CONCATENATE(AG72," | ",AH72," | ",AI72," | ",AJ72," | ",AK72," | ",AL72," | ",AM72," | ",AN72)</f>
        <v xml:space="preserve">90MB1BJ0-C1BAY0 | 59MB1BJB-MB0A02S |  |  |  |  |  | </v>
      </c>
      <c r="AP72" s="6">
        <f>IF(TRIM(H72)="",100,J72)</f>
        <v>0</v>
      </c>
      <c r="AQ72" s="4"/>
      <c r="AR72" s="6" t="b">
        <f>NOT(TRIM(W72)&lt;&gt;"F")</f>
        <v>1</v>
      </c>
      <c r="AS72" s="6" t="str">
        <f>$B72&amp;" | "&amp;$AO72&amp;" | "&amp;IF(TRIM(H72)="","uniq"&amp;ROW(),TRIM(H72))</f>
        <v>461E | 90MB1BJ0-C1BAY0 | 59MB1BJB-MB0A02S |  |  |  |  |  |  | 6</v>
      </c>
      <c r="AT72" s="63">
        <f>IF(NOT(AR72),IF(TRIM($H72)="","Assembly","Phantom Alt"),VLOOKUP(F72,ZPCS04!B:G,6,0))</f>
        <v>1257</v>
      </c>
      <c r="AU72" s="7"/>
      <c r="AV72" s="38">
        <f ca="1">IF(TRIM($W72)="F",OFFSET($A$5,MATCH($AS72,$AS$5:$AS72,0)-1,0),$A72)</f>
        <v>71</v>
      </c>
      <c r="AW72" s="38">
        <f ca="1">IFERROR(OFFSET(ZPCS04!$A$1,MATCH(F72,ZPCS04!B:B,0)-1,0),100)</f>
        <v>2</v>
      </c>
      <c r="AX72" s="7"/>
      <c r="AY72" s="6" t="b">
        <f>SUMIF(AS:AS,AS72,AP:AP)=100</f>
        <v>1</v>
      </c>
      <c r="AZ72" s="6" t="b">
        <f>SUMIF(AS:AS,AS72,AE:AE)/COUNTIF(AS:AS,AS72)=AE72</f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>C72&amp;" | "&amp;F72</f>
        <v>90MB1BJ0-C1BAY0 | 06016-00240100</v>
      </c>
      <c r="BE72" s="55" t="str">
        <f ca="1">C72&amp;" | "&amp;OFFSET($AF72,0,8-COUNTBLANK($AG72:$AN72))</f>
        <v>90MB1BJ0-C1BAY0 | 59MB1BJB-MB0A02S</v>
      </c>
      <c r="BF72" s="57">
        <f ca="1">IFERROR(VLOOKUP($BE72,$BD$5:$BF71,3,0)*$AE72,VLOOKUP($C72,Demanda!$A:$B,2,0)*$AE72)*IF(AT72="Phantom Alt",$BC72,TRUE)</f>
        <v>2000</v>
      </c>
      <c r="BG72" s="57">
        <f ca="1">BF72*(AP72/100)</f>
        <v>0</v>
      </c>
      <c r="BH72" s="57">
        <f>SUMIF(Invoice!A:A,F72,Invoice!B:B)</f>
        <v>0</v>
      </c>
      <c r="BI72" s="57">
        <f ca="1">SUMIF(AS:AS,AS72,BG:BG)</f>
        <v>2000</v>
      </c>
      <c r="BJ72" s="57">
        <f ca="1">MIN((BI72-SUMIF($AS$5:AS71,AS72,$BJ$5:BJ71)),MAX(0,BH72-SUMIF($F$5:F71,F72,$BJ$5:BJ71)))</f>
        <v>0</v>
      </c>
      <c r="BK72" s="57">
        <f ca="1">(-SUMIF(AS:AS,AS72,BG:BG)+SUMIF(AS:AS,AS72,BJ:BJ))*(AP72=100)*AR72</f>
        <v>0</v>
      </c>
      <c r="BL72" s="57">
        <f ca="1">MAX(0,SUMIF(Invoice!A:A,F72,Invoice!B:B)-SUMIF(F:F,F72,BJ:BJ))*(COUNTIF(F:F,F72)=COUNTIF($F$5:F72,F72))</f>
        <v>0</v>
      </c>
    </row>
    <row r="73" spans="1:64" hidden="1">
      <c r="A73" s="43">
        <v>73</v>
      </c>
      <c r="B73" s="35" t="s">
        <v>147</v>
      </c>
      <c r="C73" s="35" t="s">
        <v>146</v>
      </c>
      <c r="D73" s="35">
        <v>2</v>
      </c>
      <c r="E73" s="35">
        <v>70</v>
      </c>
      <c r="F73" s="64" t="s">
        <v>308</v>
      </c>
      <c r="G73" s="73" t="s">
        <v>309</v>
      </c>
      <c r="H73" s="35">
        <v>7</v>
      </c>
      <c r="I73" s="35" t="s">
        <v>54</v>
      </c>
      <c r="J73" s="35">
        <v>100</v>
      </c>
      <c r="K73" s="35" t="s">
        <v>150</v>
      </c>
      <c r="L73" s="35" t="s">
        <v>53</v>
      </c>
      <c r="M73" s="35">
        <v>2</v>
      </c>
      <c r="N73" s="35">
        <v>2</v>
      </c>
      <c r="O73" s="35">
        <v>1</v>
      </c>
      <c r="P73" s="35">
        <v>2</v>
      </c>
      <c r="Q73" s="35">
        <v>1</v>
      </c>
      <c r="R73" s="35" t="s">
        <v>73</v>
      </c>
      <c r="S73" s="35" t="s">
        <v>73</v>
      </c>
      <c r="T73" s="36">
        <v>44901</v>
      </c>
      <c r="U73" s="36">
        <v>2958465</v>
      </c>
      <c r="V73" s="35" t="s">
        <v>282</v>
      </c>
      <c r="W73" s="35" t="s">
        <v>145</v>
      </c>
      <c r="X73" s="35"/>
      <c r="Y73" s="35" t="s">
        <v>143</v>
      </c>
      <c r="Z73" s="35">
        <v>7589154</v>
      </c>
      <c r="AA73" s="35">
        <v>34</v>
      </c>
      <c r="AB73" s="35">
        <v>17</v>
      </c>
      <c r="AC73" s="35" t="s">
        <v>144</v>
      </c>
      <c r="AE73" s="51">
        <f>M73/O73</f>
        <v>2</v>
      </c>
      <c r="AG73" s="6" t="str">
        <f>C73</f>
        <v>90MB1BJ0-C1BAY0</v>
      </c>
      <c r="AH73" s="6" t="str">
        <f>IF($D73&lt;=AH$4,"",IF(AND($D72=AH$4,$D73&gt;AH$4),$F72,AH72))</f>
        <v>59MB1BJB-MB0A02S</v>
      </c>
      <c r="AI73" s="6" t="str">
        <f>IF($D73&lt;=AI$4,"",IF(AND($D72=AI$4,$D73&gt;AI$4),$F72,AI72))</f>
        <v/>
      </c>
      <c r="AJ73" s="6" t="str">
        <f>IF($D73&lt;=AJ$4,"",IF(AND($D72=AJ$4,$D73&gt;AJ$4),$F72,AJ72))</f>
        <v/>
      </c>
      <c r="AK73" s="6" t="str">
        <f>IF($D73&lt;=AK$4,"",IF(AND($D72=AK$4,$D73&gt;AK$4),$F72,AK72))</f>
        <v/>
      </c>
      <c r="AL73" s="6" t="str">
        <f>IF($D73&lt;=AL$4,"",IF(AND($D72=AL$4,$D73&gt;AL$4),$F72,AL72))</f>
        <v/>
      </c>
      <c r="AM73" s="6" t="str">
        <f>IF($D73&lt;=AM$4,"",IF(AND($D72=AM$4,$D73&gt;AM$4),$F72,AM72))</f>
        <v/>
      </c>
      <c r="AN73" s="6" t="str">
        <f>IF($D73&lt;=AN$4,"",IF(AND($D72=AN$4,$D73&gt;AN$4),$F72,AN72))</f>
        <v/>
      </c>
      <c r="AO73" s="6" t="str">
        <f>CONCATENATE(AG73," | ",AH73," | ",AI73," | ",AJ73," | ",AK73," | ",AL73," | ",AM73," | ",AN73)</f>
        <v xml:space="preserve">90MB1BJ0-C1BAY0 | 59MB1BJB-MB0A02S |  |  |  |  |  | </v>
      </c>
      <c r="AP73" s="6">
        <f>IF(TRIM(H73)="",100,J73)</f>
        <v>100</v>
      </c>
      <c r="AQ73" s="4"/>
      <c r="AR73" s="6" t="b">
        <f>NOT(TRIM(W73)&lt;&gt;"F")</f>
        <v>1</v>
      </c>
      <c r="AS73" s="6" t="str">
        <f>$B73&amp;" | "&amp;$AO73&amp;" | "&amp;IF(TRIM(H73)="","uniq"&amp;ROW(),TRIM(H73))</f>
        <v>461E | 90MB1BJ0-C1BAY0 | 59MB1BJB-MB0A02S |  |  |  |  |  |  | 7</v>
      </c>
      <c r="AT73" s="63">
        <f>IF(NOT(AR73),IF(TRIM($H73)="","Assembly","Phantom Alt"),VLOOKUP(F73,ZPCS04!B:G,6,0))</f>
        <v>294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1.9999999800000001</v>
      </c>
      <c r="AX73" s="7"/>
      <c r="AY73" s="6" t="b">
        <f>SUMIF(AS:AS,AS73,AP:AP)=100</f>
        <v>1</v>
      </c>
      <c r="AZ73" s="6" t="b">
        <f>SUMIF(AS:AS,AS73,AE:AE)/COUNTIF(AS:AS,AS73)=AE73</f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>C73&amp;" | "&amp;F73</f>
        <v>90MB1BJ0-C1BAY0 | 06007-00080000</v>
      </c>
      <c r="BE73" s="55" t="str">
        <f ca="1">C73&amp;" | "&amp;OFFSET($AF73,0,8-COUNTBLANK($AG73:$AN73))</f>
        <v>90MB1BJ0-C1BAY0 | 59MB1BJB-MB0A02S</v>
      </c>
      <c r="BF73" s="57">
        <f ca="1">IFERROR(VLOOKUP($BE73,$BD$5:$BF72,3,0)*$AE73,VLOOKUP($C73,Demanda!$A:$B,2,0)*$AE73)*IF(AT73="Phantom Alt",$BC73,TRUE)</f>
        <v>2000</v>
      </c>
      <c r="BG73" s="57">
        <f ca="1">BF73*(AP73/100)</f>
        <v>2000</v>
      </c>
      <c r="BH73" s="57">
        <f>SUMIF(Invoice!A:A,F73,Invoice!B:B)</f>
        <v>2000</v>
      </c>
      <c r="BI73" s="57">
        <f ca="1">SUMIF(AS:AS,AS73,BG:BG)</f>
        <v>2000</v>
      </c>
      <c r="BJ73" s="57">
        <f ca="1">MIN((BI73-SUMIF($AS$5:AS72,AS73,$BJ$5:BJ72)),MAX(0,BH73-SUMIF($F$5:F72,F73,$BJ$5:BJ72)))</f>
        <v>2000</v>
      </c>
      <c r="BK73" s="57">
        <f ca="1">(-SUMIF(AS:AS,AS73,BG:BG)+SUMIF(AS:AS,AS73,BJ:BJ))*(AP73=100)*AR73</f>
        <v>0</v>
      </c>
      <c r="BL73" s="57">
        <f ca="1">MAX(0,SUMIF(Invoice!A:A,F73,Invoice!B:B)-SUMIF(F:F,F73,BJ:BJ))*(COUNTIF(F:F,F73)=COUNTIF($F$5:F73,F73))</f>
        <v>0</v>
      </c>
    </row>
    <row r="74" spans="1:64" hidden="1">
      <c r="A74" s="43">
        <v>74</v>
      </c>
      <c r="B74" s="35" t="s">
        <v>147</v>
      </c>
      <c r="C74" s="35" t="s">
        <v>146</v>
      </c>
      <c r="D74" s="35">
        <v>2</v>
      </c>
      <c r="E74" s="35">
        <v>70</v>
      </c>
      <c r="F74" s="64" t="s">
        <v>310</v>
      </c>
      <c r="G74" s="73" t="s">
        <v>311</v>
      </c>
      <c r="H74" s="35">
        <v>7</v>
      </c>
      <c r="I74" s="35" t="s">
        <v>55</v>
      </c>
      <c r="J74" s="35">
        <v>0</v>
      </c>
      <c r="K74" s="35" t="s">
        <v>150</v>
      </c>
      <c r="L74" s="35" t="s">
        <v>53</v>
      </c>
      <c r="M74" s="35">
        <v>2</v>
      </c>
      <c r="N74" s="35"/>
      <c r="O74" s="35">
        <v>1</v>
      </c>
      <c r="P74" s="35">
        <v>2</v>
      </c>
      <c r="Q74" s="35">
        <v>2</v>
      </c>
      <c r="R74" s="35" t="s">
        <v>73</v>
      </c>
      <c r="S74" s="35" t="s">
        <v>73</v>
      </c>
      <c r="T74" s="36">
        <v>44901</v>
      </c>
      <c r="U74" s="36">
        <v>2958465</v>
      </c>
      <c r="V74" s="35" t="s">
        <v>282</v>
      </c>
      <c r="W74" s="35" t="s">
        <v>145</v>
      </c>
      <c r="X74" s="35"/>
      <c r="Y74" s="35" t="s">
        <v>143</v>
      </c>
      <c r="Z74" s="35">
        <v>7589154</v>
      </c>
      <c r="AA74" s="35">
        <v>36</v>
      </c>
      <c r="AB74" s="35">
        <v>18</v>
      </c>
      <c r="AC74" s="35"/>
      <c r="AE74" s="51">
        <f>M74/O74</f>
        <v>2</v>
      </c>
      <c r="AG74" s="6" t="str">
        <f>C74</f>
        <v>90MB1BJ0-C1BAY0</v>
      </c>
      <c r="AH74" s="6" t="str">
        <f>IF($D74&lt;=AH$4,"",IF(AND($D73=AH$4,$D74&gt;AH$4),$F73,AH73))</f>
        <v>59MB1BJB-MB0A02S</v>
      </c>
      <c r="AI74" s="6" t="str">
        <f>IF($D74&lt;=AI$4,"",IF(AND($D73=AI$4,$D74&gt;AI$4),$F73,AI73))</f>
        <v/>
      </c>
      <c r="AJ74" s="6" t="str">
        <f>IF($D74&lt;=AJ$4,"",IF(AND($D73=AJ$4,$D74&gt;AJ$4),$F73,AJ73))</f>
        <v/>
      </c>
      <c r="AK74" s="6" t="str">
        <f>IF($D74&lt;=AK$4,"",IF(AND($D73=AK$4,$D74&gt;AK$4),$F73,AK73))</f>
        <v/>
      </c>
      <c r="AL74" s="6" t="str">
        <f>IF($D74&lt;=AL$4,"",IF(AND($D73=AL$4,$D74&gt;AL$4),$F73,AL73))</f>
        <v/>
      </c>
      <c r="AM74" s="6" t="str">
        <f>IF($D74&lt;=AM$4,"",IF(AND($D73=AM$4,$D74&gt;AM$4),$F73,AM73))</f>
        <v/>
      </c>
      <c r="AN74" s="6" t="str">
        <f>IF($D74&lt;=AN$4,"",IF(AND($D73=AN$4,$D74&gt;AN$4),$F73,AN73))</f>
        <v/>
      </c>
      <c r="AO74" s="6" t="str">
        <f>CONCATENATE(AG74," | ",AH74," | ",AI74," | ",AJ74," | ",AK74," | ",AL74," | ",AM74," | ",AN74)</f>
        <v xml:space="preserve">90MB1BJ0-C1BAY0 | 59MB1BJB-MB0A02S |  |  |  |  |  | </v>
      </c>
      <c r="AP74" s="6">
        <f>IF(TRIM(H74)="",100,J74)</f>
        <v>0</v>
      </c>
      <c r="AQ74" s="4"/>
      <c r="AR74" s="6" t="b">
        <f>NOT(TRIM(W74)&lt;&gt;"F")</f>
        <v>1</v>
      </c>
      <c r="AS74" s="6" t="str">
        <f>$B74&amp;" | "&amp;$AO74&amp;" | "&amp;IF(TRIM(H74)="","uniq"&amp;ROW(),TRIM(H74))</f>
        <v>461E | 90MB1BJ0-C1BAY0 | 59MB1BJB-MB0A02S |  |  |  |  |  |  | 7</v>
      </c>
      <c r="AT74" s="63">
        <f>IF(NOT(AR74),IF(TRIM($H74)="","Assembly","Phantom Alt"),VLOOKUP(F74,ZPCS04!B:G,6,0))</f>
        <v>294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2</v>
      </c>
      <c r="AX74" s="7"/>
      <c r="AY74" s="6" t="b">
        <f>SUMIF(AS:AS,AS74,AP:AP)=100</f>
        <v>1</v>
      </c>
      <c r="AZ74" s="6" t="b">
        <f>SUMIF(AS:AS,AS74,AE:AE)/COUNTIF(AS:AS,AS74)=AE74</f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>C74&amp;" | "&amp;F74</f>
        <v>90MB1BJ0-C1BAY0 | 06007-01830000</v>
      </c>
      <c r="BE74" s="55" t="str">
        <f ca="1">C74&amp;" | "&amp;OFFSET($AF74,0,8-COUNTBLANK($AG74:$AN74))</f>
        <v>90MB1BJ0-C1BAY0 | 59MB1BJB-MB0A02S</v>
      </c>
      <c r="BF74" s="57">
        <f ca="1">IFERROR(VLOOKUP($BE74,$BD$5:$BF73,3,0)*$AE74,VLOOKUP($C74,Demanda!$A:$B,2,0)*$AE74)*IF(AT74="Phantom Alt",$BC74,TRUE)</f>
        <v>2000</v>
      </c>
      <c r="BG74" s="57">
        <f ca="1">BF74*(AP74/100)</f>
        <v>0</v>
      </c>
      <c r="BH74" s="57">
        <f>SUMIF(Invoice!A:A,F74,Invoice!B:B)</f>
        <v>0</v>
      </c>
      <c r="BI74" s="57">
        <f ca="1">SUMIF(AS:AS,AS74,BG:BG)</f>
        <v>2000</v>
      </c>
      <c r="BJ74" s="57">
        <f ca="1">MIN((BI74-SUMIF($AS$5:AS73,AS74,$BJ$5:BJ73)),MAX(0,BH74-SUMIF($F$5:F73,F74,$BJ$5:BJ73)))</f>
        <v>0</v>
      </c>
      <c r="BK74" s="57">
        <f ca="1">(-SUMIF(AS:AS,AS74,BG:BG)+SUMIF(AS:AS,AS74,BJ:BJ))*(AP74=100)*AR74</f>
        <v>0</v>
      </c>
      <c r="BL74" s="57">
        <f ca="1">MAX(0,SUMIF(Invoice!A:A,F74,Invoice!B:B)-SUMIF(F:F,F74,BJ:BJ))*(COUNTIF(F:F,F74)=COUNTIF($F$5:F74,F74))</f>
        <v>0</v>
      </c>
    </row>
    <row r="75" spans="1:64" hidden="1">
      <c r="A75" s="43">
        <v>77</v>
      </c>
      <c r="B75" s="35" t="s">
        <v>147</v>
      </c>
      <c r="C75" s="35" t="s">
        <v>146</v>
      </c>
      <c r="D75" s="35">
        <v>2</v>
      </c>
      <c r="E75" s="35">
        <v>80</v>
      </c>
      <c r="F75" s="64" t="s">
        <v>317</v>
      </c>
      <c r="G75" s="73" t="s">
        <v>318</v>
      </c>
      <c r="H75" s="35">
        <v>8</v>
      </c>
      <c r="I75" s="35" t="s">
        <v>54</v>
      </c>
      <c r="J75" s="35">
        <v>100</v>
      </c>
      <c r="K75" s="35" t="s">
        <v>150</v>
      </c>
      <c r="L75" s="35" t="s">
        <v>53</v>
      </c>
      <c r="M75" s="35">
        <v>6</v>
      </c>
      <c r="N75" s="35">
        <v>6</v>
      </c>
      <c r="O75" s="35">
        <v>1</v>
      </c>
      <c r="P75" s="35">
        <v>2</v>
      </c>
      <c r="Q75" s="35">
        <v>1</v>
      </c>
      <c r="R75" s="35" t="s">
        <v>73</v>
      </c>
      <c r="S75" s="35" t="s">
        <v>73</v>
      </c>
      <c r="T75" s="36">
        <v>44901</v>
      </c>
      <c r="U75" s="36">
        <v>2958465</v>
      </c>
      <c r="V75" s="35" t="s">
        <v>282</v>
      </c>
      <c r="W75" s="35" t="s">
        <v>145</v>
      </c>
      <c r="X75" s="35"/>
      <c r="Y75" s="35" t="s">
        <v>143</v>
      </c>
      <c r="Z75" s="35">
        <v>7589154</v>
      </c>
      <c r="AA75" s="35">
        <v>38</v>
      </c>
      <c r="AB75" s="35">
        <v>19</v>
      </c>
      <c r="AC75" s="35"/>
      <c r="AE75" s="51">
        <f>M75/O75</f>
        <v>6</v>
      </c>
      <c r="AG75" s="6" t="str">
        <f>C75</f>
        <v>90MB1BJ0-C1BAY0</v>
      </c>
      <c r="AH75" s="6" t="str">
        <f>IF($D75&lt;=AH$4,"",IF(AND($D74=AH$4,$D75&gt;AH$4),$F74,AH74))</f>
        <v>59MB1BJB-MB0A02S</v>
      </c>
      <c r="AI75" s="6" t="str">
        <f>IF($D75&lt;=AI$4,"",IF(AND($D74=AI$4,$D75&gt;AI$4),$F74,AI74))</f>
        <v/>
      </c>
      <c r="AJ75" s="6" t="str">
        <f>IF($D75&lt;=AJ$4,"",IF(AND($D74=AJ$4,$D75&gt;AJ$4),$F74,AJ74))</f>
        <v/>
      </c>
      <c r="AK75" s="6" t="str">
        <f>IF($D75&lt;=AK$4,"",IF(AND($D74=AK$4,$D75&gt;AK$4),$F74,AK74))</f>
        <v/>
      </c>
      <c r="AL75" s="6" t="str">
        <f>IF($D75&lt;=AL$4,"",IF(AND($D74=AL$4,$D75&gt;AL$4),$F74,AL74))</f>
        <v/>
      </c>
      <c r="AM75" s="6" t="str">
        <f>IF($D75&lt;=AM$4,"",IF(AND($D74=AM$4,$D75&gt;AM$4),$F74,AM74))</f>
        <v/>
      </c>
      <c r="AN75" s="6" t="str">
        <f>IF($D75&lt;=AN$4,"",IF(AND($D74=AN$4,$D75&gt;AN$4),$F74,AN74))</f>
        <v/>
      </c>
      <c r="AO75" s="6" t="str">
        <f>CONCATENATE(AG75," | ",AH75," | ",AI75," | ",AJ75," | ",AK75," | ",AL75," | ",AM75," | ",AN75)</f>
        <v xml:space="preserve">90MB1BJ0-C1BAY0 | 59MB1BJB-MB0A02S |  |  |  |  |  | </v>
      </c>
      <c r="AP75" s="6">
        <f>IF(TRIM(H75)="",100,J75)</f>
        <v>100</v>
      </c>
      <c r="AQ75" s="4"/>
      <c r="AR75" s="6" t="b">
        <f>NOT(TRIM(W75)&lt;&gt;"F")</f>
        <v>1</v>
      </c>
      <c r="AS75" s="6" t="str">
        <f>$B75&amp;" | "&amp;$AO75&amp;" | "&amp;IF(TRIM(H75)="","uniq"&amp;ROW(),TRIM(H75))</f>
        <v>461E | 90MB1BJ0-C1BAY0 | 59MB1BJB-MB0A02S |  |  |  |  |  |  | 8</v>
      </c>
      <c r="AT75" s="63">
        <f>IF(NOT(AR75),IF(TRIM($H75)="","Assembly","Phantom Alt"),VLOOKUP(F75,ZPCS04!B:G,6,0))</f>
        <v>593</v>
      </c>
      <c r="AU75" s="7"/>
      <c r="AV75" s="38">
        <f ca="1">IF(TRIM($W75)="F",OFFSET($A$5,MATCH($AS75,$AS$5:$AS75,0)-1,0),$A75)</f>
        <v>77</v>
      </c>
      <c r="AW75" s="38">
        <f ca="1">IFERROR(OFFSET(ZPCS04!$A$1,MATCH(F75,ZPCS04!B:B,0)-1,0),100)</f>
        <v>1.9999999399999999</v>
      </c>
      <c r="AX75" s="7"/>
      <c r="AY75" s="6" t="b">
        <f>SUMIF(AS:AS,AS75,AP:AP)=100</f>
        <v>1</v>
      </c>
      <c r="AZ75" s="6" t="b">
        <f>SUMIF(AS:AS,AS75,AE:AE)/COUNTIF(AS:AS,AS75)=AE75</f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>C75&amp;" | "&amp;F75</f>
        <v>90MB1BJ0-C1BAY0 | 06007-00980100</v>
      </c>
      <c r="BE75" s="55" t="str">
        <f ca="1">C75&amp;" | "&amp;OFFSET($AF75,0,8-COUNTBLANK($AG75:$AN75))</f>
        <v>90MB1BJ0-C1BAY0 | 59MB1BJB-MB0A02S</v>
      </c>
      <c r="BF75" s="57">
        <f ca="1">IFERROR(VLOOKUP($BE75,$BD$5:$BF74,3,0)*$AE75,VLOOKUP($C75,Demanda!$A:$B,2,0)*$AE75)*IF(AT75="Phantom Alt",$BC75,TRUE)</f>
        <v>6000</v>
      </c>
      <c r="BG75" s="57">
        <f ca="1">BF75*(AP75/100)</f>
        <v>6000</v>
      </c>
      <c r="BH75" s="57">
        <f>SUMIF(Invoice!A:A,F75,Invoice!B:B)</f>
        <v>6000</v>
      </c>
      <c r="BI75" s="57">
        <f ca="1">SUMIF(AS:AS,AS75,BG:BG)</f>
        <v>6000</v>
      </c>
      <c r="BJ75" s="57">
        <f ca="1">MIN((BI75-SUMIF($AS$5:AS74,AS75,$BJ$5:BJ74)),MAX(0,BH75-SUMIF($F$5:F74,F75,$BJ$5:BJ74)))</f>
        <v>6000</v>
      </c>
      <c r="BK75" s="57">
        <f ca="1">(-SUMIF(AS:AS,AS75,BG:BG)+SUMIF(AS:AS,AS75,BJ:BJ))*(AP75=100)*AR75</f>
        <v>0</v>
      </c>
      <c r="BL75" s="57">
        <f ca="1">MAX(0,SUMIF(Invoice!A:A,F75,Invoice!B:B)-SUMIF(F:F,F75,BJ:BJ))*(COUNTIF(F:F,F75)=COUNTIF($F$5:F75,F75))</f>
        <v>0</v>
      </c>
    </row>
    <row r="76" spans="1:64" hidden="1">
      <c r="A76" s="43">
        <v>75</v>
      </c>
      <c r="B76" s="35" t="s">
        <v>147</v>
      </c>
      <c r="C76" s="35" t="s">
        <v>146</v>
      </c>
      <c r="D76" s="35">
        <v>2</v>
      </c>
      <c r="E76" s="35">
        <v>80</v>
      </c>
      <c r="F76" s="64" t="s">
        <v>312</v>
      </c>
      <c r="G76" s="73" t="s">
        <v>313</v>
      </c>
      <c r="H76" s="35">
        <v>8</v>
      </c>
      <c r="I76" s="35" t="s">
        <v>55</v>
      </c>
      <c r="J76" s="35">
        <v>0</v>
      </c>
      <c r="K76" s="35" t="s">
        <v>314</v>
      </c>
      <c r="L76" s="35" t="s">
        <v>53</v>
      </c>
      <c r="M76" s="35">
        <v>6</v>
      </c>
      <c r="N76" s="35"/>
      <c r="O76" s="35">
        <v>1</v>
      </c>
      <c r="P76" s="35">
        <v>2</v>
      </c>
      <c r="Q76" s="35">
        <v>3</v>
      </c>
      <c r="R76" s="35" t="s">
        <v>122</v>
      </c>
      <c r="S76" s="35" t="s">
        <v>122</v>
      </c>
      <c r="T76" s="36">
        <v>44901</v>
      </c>
      <c r="U76" s="36">
        <v>2958465</v>
      </c>
      <c r="V76" s="35" t="s">
        <v>282</v>
      </c>
      <c r="W76" s="35" t="s">
        <v>145</v>
      </c>
      <c r="X76" s="35"/>
      <c r="Y76" s="35" t="s">
        <v>143</v>
      </c>
      <c r="Z76" s="35">
        <v>7589154</v>
      </c>
      <c r="AA76" s="35">
        <v>42</v>
      </c>
      <c r="AB76" s="35">
        <v>21</v>
      </c>
      <c r="AC76" s="35"/>
      <c r="AE76" s="51">
        <f>M76/O76</f>
        <v>6</v>
      </c>
      <c r="AG76" s="6" t="str">
        <f>C76</f>
        <v>90MB1BJ0-C1BAY0</v>
      </c>
      <c r="AH76" s="6" t="str">
        <f>IF($D76&lt;=AH$4,"",IF(AND($D75=AH$4,$D76&gt;AH$4),$F75,AH75))</f>
        <v>59MB1BJB-MB0A02S</v>
      </c>
      <c r="AI76" s="6" t="str">
        <f>IF($D76&lt;=AI$4,"",IF(AND($D75=AI$4,$D76&gt;AI$4),$F75,AI75))</f>
        <v/>
      </c>
      <c r="AJ76" s="6" t="str">
        <f>IF($D76&lt;=AJ$4,"",IF(AND($D75=AJ$4,$D76&gt;AJ$4),$F75,AJ75))</f>
        <v/>
      </c>
      <c r="AK76" s="6" t="str">
        <f>IF($D76&lt;=AK$4,"",IF(AND($D75=AK$4,$D76&gt;AK$4),$F75,AK75))</f>
        <v/>
      </c>
      <c r="AL76" s="6" t="str">
        <f>IF($D76&lt;=AL$4,"",IF(AND($D75=AL$4,$D76&gt;AL$4),$F75,AL75))</f>
        <v/>
      </c>
      <c r="AM76" s="6" t="str">
        <f>IF($D76&lt;=AM$4,"",IF(AND($D75=AM$4,$D76&gt;AM$4),$F75,AM75))</f>
        <v/>
      </c>
      <c r="AN76" s="6" t="str">
        <f>IF($D76&lt;=AN$4,"",IF(AND($D75=AN$4,$D76&gt;AN$4),$F75,AN75))</f>
        <v/>
      </c>
      <c r="AO76" s="6" t="str">
        <f>CONCATENATE(AG76," | ",AH76," | ",AI76," | ",AJ76," | ",AK76," | ",AL76," | ",AM76," | ",AN76)</f>
        <v xml:space="preserve">90MB1BJ0-C1BAY0 | 59MB1BJB-MB0A02S |  |  |  |  |  | </v>
      </c>
      <c r="AP76" s="6">
        <f>IF(TRIM(H76)="",100,J76)</f>
        <v>0</v>
      </c>
      <c r="AQ76" s="4"/>
      <c r="AR76" s="6" t="b">
        <f>NOT(TRIM(W76)&lt;&gt;"F")</f>
        <v>1</v>
      </c>
      <c r="AS76" s="6" t="str">
        <f>$B76&amp;" | "&amp;$AO76&amp;" | "&amp;IF(TRIM(H76)="","uniq"&amp;ROW(),TRIM(H76))</f>
        <v>461E | 90MB1BJ0-C1BAY0 | 59MB1BJB-MB0A02S |  |  |  |  |  |  | 8</v>
      </c>
      <c r="AT76" s="63">
        <f>IF(NOT(AR76),IF(TRIM($H76)="","Assembly","Phantom Alt"),VLOOKUP(F76,ZPCS04!B:G,6,0))</f>
        <v>593</v>
      </c>
      <c r="AU76" s="7"/>
      <c r="AV76" s="38">
        <f ca="1">IF(TRIM($W76)="F",OFFSET($A$5,MATCH($AS76,$AS$5:$AS76,0)-1,0),$A76)</f>
        <v>77</v>
      </c>
      <c r="AW76" s="38">
        <f ca="1">IFERROR(OFFSET(ZPCS04!$A$1,MATCH(F76,ZPCS04!B:B,0)-1,0),100)</f>
        <v>2</v>
      </c>
      <c r="AX76" s="7"/>
      <c r="AY76" s="6" t="b">
        <f>SUMIF(AS:AS,AS76,AP:AP)=100</f>
        <v>1</v>
      </c>
      <c r="AZ76" s="6" t="b">
        <f>SUMIF(AS:AS,AS76,AE:AE)/COUNTIF(AS:AS,AS76)=AE76</f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>C76&amp;" | "&amp;F76</f>
        <v>90MB1BJ0-C1BAY0 | 06007-00480000</v>
      </c>
      <c r="BE76" s="55" t="str">
        <f ca="1">C76&amp;" | "&amp;OFFSET($AF76,0,8-COUNTBLANK($AG76:$AN76))</f>
        <v>90MB1BJ0-C1BAY0 | 59MB1BJB-MB0A02S</v>
      </c>
      <c r="BF76" s="57">
        <f ca="1">IFERROR(VLOOKUP($BE76,$BD$5:$BF75,3,0)*$AE76,VLOOKUP($C76,Demanda!$A:$B,2,0)*$AE76)*IF(AT76="Phantom Alt",$BC76,TRUE)</f>
        <v>6000</v>
      </c>
      <c r="BG76" s="57">
        <f ca="1">BF76*(AP76/100)</f>
        <v>0</v>
      </c>
      <c r="BH76" s="57">
        <f>SUMIF(Invoice!A:A,F76,Invoice!B:B)</f>
        <v>0</v>
      </c>
      <c r="BI76" s="57">
        <f ca="1">SUMIF(AS:AS,AS76,BG:BG)</f>
        <v>6000</v>
      </c>
      <c r="BJ76" s="57">
        <f ca="1">MIN((BI76-SUMIF($AS$5:AS75,AS76,$BJ$5:BJ75)),MAX(0,BH76-SUMIF($F$5:F75,F76,$BJ$5:BJ75)))</f>
        <v>0</v>
      </c>
      <c r="BK76" s="57">
        <f ca="1">(-SUMIF(AS:AS,AS76,BG:BG)+SUMIF(AS:AS,AS76,BJ:BJ))*(AP76=100)*AR76</f>
        <v>0</v>
      </c>
      <c r="BL76" s="57">
        <f ca="1">MAX(0,SUMIF(Invoice!A:A,F76,Invoice!B:B)-SUMIF(F:F,F76,BJ:BJ))*(COUNTIF(F:F,F76)=COUNTIF($F$5:F76,F76))</f>
        <v>0</v>
      </c>
    </row>
    <row r="77" spans="1:64" hidden="1">
      <c r="A77" s="43">
        <v>76</v>
      </c>
      <c r="B77" s="35" t="s">
        <v>147</v>
      </c>
      <c r="C77" s="35" t="s">
        <v>146</v>
      </c>
      <c r="D77" s="35">
        <v>2</v>
      </c>
      <c r="E77" s="35">
        <v>80</v>
      </c>
      <c r="F77" s="64" t="s">
        <v>315</v>
      </c>
      <c r="G77" s="73" t="s">
        <v>316</v>
      </c>
      <c r="H77" s="35">
        <v>8</v>
      </c>
      <c r="I77" s="35" t="s">
        <v>55</v>
      </c>
      <c r="J77" s="35">
        <v>0</v>
      </c>
      <c r="K77" s="35" t="s">
        <v>150</v>
      </c>
      <c r="L77" s="35" t="s">
        <v>53</v>
      </c>
      <c r="M77" s="35">
        <v>6</v>
      </c>
      <c r="N77" s="35"/>
      <c r="O77" s="35">
        <v>1</v>
      </c>
      <c r="P77" s="35">
        <v>2</v>
      </c>
      <c r="Q77" s="35">
        <v>2</v>
      </c>
      <c r="R77" s="35" t="s">
        <v>73</v>
      </c>
      <c r="S77" s="35" t="s">
        <v>73</v>
      </c>
      <c r="T77" s="36">
        <v>44901</v>
      </c>
      <c r="U77" s="36">
        <v>2958465</v>
      </c>
      <c r="V77" s="35" t="s">
        <v>282</v>
      </c>
      <c r="W77" s="35" t="s">
        <v>145</v>
      </c>
      <c r="X77" s="35"/>
      <c r="Y77" s="35" t="s">
        <v>143</v>
      </c>
      <c r="Z77" s="35">
        <v>7589154</v>
      </c>
      <c r="AA77" s="35">
        <v>40</v>
      </c>
      <c r="AB77" s="35">
        <v>20</v>
      </c>
      <c r="AC77" s="35"/>
      <c r="AE77" s="51">
        <f>M77/O77</f>
        <v>6</v>
      </c>
      <c r="AG77" s="6" t="str">
        <f>C77</f>
        <v>90MB1BJ0-C1BAY0</v>
      </c>
      <c r="AH77" s="6" t="str">
        <f>IF($D77&lt;=AH$4,"",IF(AND($D76=AH$4,$D77&gt;AH$4),$F76,AH76))</f>
        <v>59MB1BJB-MB0A02S</v>
      </c>
      <c r="AI77" s="6" t="str">
        <f>IF($D77&lt;=AI$4,"",IF(AND($D76=AI$4,$D77&gt;AI$4),$F76,AI76))</f>
        <v/>
      </c>
      <c r="AJ77" s="6" t="str">
        <f>IF($D77&lt;=AJ$4,"",IF(AND($D76=AJ$4,$D77&gt;AJ$4),$F76,AJ76))</f>
        <v/>
      </c>
      <c r="AK77" s="6" t="str">
        <f>IF($D77&lt;=AK$4,"",IF(AND($D76=AK$4,$D77&gt;AK$4),$F76,AK76))</f>
        <v/>
      </c>
      <c r="AL77" s="6" t="str">
        <f>IF($D77&lt;=AL$4,"",IF(AND($D76=AL$4,$D77&gt;AL$4),$F76,AL76))</f>
        <v/>
      </c>
      <c r="AM77" s="6" t="str">
        <f>IF($D77&lt;=AM$4,"",IF(AND($D76=AM$4,$D77&gt;AM$4),$F76,AM76))</f>
        <v/>
      </c>
      <c r="AN77" s="6" t="str">
        <f>IF($D77&lt;=AN$4,"",IF(AND($D76=AN$4,$D77&gt;AN$4),$F76,AN76))</f>
        <v/>
      </c>
      <c r="AO77" s="6" t="str">
        <f>CONCATENATE(AG77," | ",AH77," | ",AI77," | ",AJ77," | ",AK77," | ",AL77," | ",AM77," | ",AN77)</f>
        <v xml:space="preserve">90MB1BJ0-C1BAY0 | 59MB1BJB-MB0A02S |  |  |  |  |  | </v>
      </c>
      <c r="AP77" s="6">
        <f>IF(TRIM(H77)="",100,J77)</f>
        <v>0</v>
      </c>
      <c r="AQ77" s="4"/>
      <c r="AR77" s="6" t="b">
        <f>NOT(TRIM(W77)&lt;&gt;"F")</f>
        <v>1</v>
      </c>
      <c r="AS77" s="6" t="str">
        <f>$B77&amp;" | "&amp;$AO77&amp;" | "&amp;IF(TRIM(H77)="","uniq"&amp;ROW(),TRIM(H77))</f>
        <v>461E | 90MB1BJ0-C1BAY0 | 59MB1BJB-MB0A02S |  |  |  |  |  |  | 8</v>
      </c>
      <c r="AT77" s="63">
        <f>IF(NOT(AR77),IF(TRIM($H77)="","Assembly","Phantom Alt"),VLOOKUP(F77,ZPCS04!B:G,6,0))</f>
        <v>593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</v>
      </c>
      <c r="AX77" s="7"/>
      <c r="AY77" s="6" t="b">
        <f>SUMIF(AS:AS,AS77,AP:AP)=100</f>
        <v>1</v>
      </c>
      <c r="AZ77" s="6" t="b">
        <f>SUMIF(AS:AS,AS77,AE:AE)/COUNTIF(AS:AS,AS77)=AE77</f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>C77&amp;" | "&amp;F77</f>
        <v>90MB1BJ0-C1BAY0 | 06007-00500000</v>
      </c>
      <c r="BE77" s="55" t="str">
        <f ca="1">C77&amp;" | "&amp;OFFSET($AF77,0,8-COUNTBLANK($AG77:$AN77))</f>
        <v>90MB1BJ0-C1BAY0 | 59MB1BJB-MB0A02S</v>
      </c>
      <c r="BF77" s="57">
        <f ca="1">IFERROR(VLOOKUP($BE77,$BD$5:$BF76,3,0)*$AE77,VLOOKUP($C77,Demanda!$A:$B,2,0)*$AE77)*IF(AT77="Phantom Alt",$BC77,TRUE)</f>
        <v>6000</v>
      </c>
      <c r="BG77" s="57">
        <f ca="1">BF77*(AP77/100)</f>
        <v>0</v>
      </c>
      <c r="BH77" s="57">
        <f>SUMIF(Invoice!A:A,F77,Invoice!B:B)</f>
        <v>0</v>
      </c>
      <c r="BI77" s="57">
        <f ca="1">SUMIF(AS:AS,AS77,BG:BG)</f>
        <v>6000</v>
      </c>
      <c r="BJ77" s="57">
        <f ca="1">MIN((BI77-SUMIF($AS$5:AS76,AS77,$BJ$5:BJ76)),MAX(0,BH77-SUMIF($F$5:F76,F77,$BJ$5:BJ76)))</f>
        <v>0</v>
      </c>
      <c r="BK77" s="57">
        <f ca="1">(-SUMIF(AS:AS,AS77,BG:BG)+SUMIF(AS:AS,AS77,BJ:BJ))*(AP77=100)*AR77</f>
        <v>0</v>
      </c>
      <c r="BL77" s="57">
        <f ca="1">MAX(0,SUMIF(Invoice!A:A,F77,Invoice!B:B)-SUMIF(F:F,F77,BJ:BJ))*(COUNTIF(F:F,F77)=COUNTIF($F$5:F77,F77))</f>
        <v>0</v>
      </c>
    </row>
    <row r="78" spans="1:64" hidden="1">
      <c r="A78" s="43">
        <v>78</v>
      </c>
      <c r="B78" s="35" t="s">
        <v>147</v>
      </c>
      <c r="C78" s="35" t="s">
        <v>146</v>
      </c>
      <c r="D78" s="35">
        <v>2</v>
      </c>
      <c r="E78" s="35">
        <v>90</v>
      </c>
      <c r="F78" s="64" t="s">
        <v>319</v>
      </c>
      <c r="G78" s="73" t="s">
        <v>320</v>
      </c>
      <c r="H78" s="35">
        <v>9</v>
      </c>
      <c r="I78" s="35" t="s">
        <v>54</v>
      </c>
      <c r="J78" s="35">
        <v>100</v>
      </c>
      <c r="K78" s="35" t="s">
        <v>150</v>
      </c>
      <c r="L78" s="35" t="s">
        <v>53</v>
      </c>
      <c r="M78" s="35">
        <v>1</v>
      </c>
      <c r="N78" s="35">
        <v>1</v>
      </c>
      <c r="O78" s="35">
        <v>1</v>
      </c>
      <c r="P78" s="35">
        <v>2</v>
      </c>
      <c r="Q78" s="35">
        <v>1</v>
      </c>
      <c r="R78" s="35" t="s">
        <v>73</v>
      </c>
      <c r="S78" s="35" t="s">
        <v>73</v>
      </c>
      <c r="T78" s="36">
        <v>44901</v>
      </c>
      <c r="U78" s="36">
        <v>2958465</v>
      </c>
      <c r="V78" s="35" t="s">
        <v>282</v>
      </c>
      <c r="W78" s="35" t="s">
        <v>145</v>
      </c>
      <c r="X78" s="35"/>
      <c r="Y78" s="35" t="s">
        <v>143</v>
      </c>
      <c r="Z78" s="35">
        <v>7589154</v>
      </c>
      <c r="AA78" s="35">
        <v>44</v>
      </c>
      <c r="AB78" s="35">
        <v>22</v>
      </c>
      <c r="AC78" s="35" t="s">
        <v>144</v>
      </c>
      <c r="AE78" s="51">
        <f>M78/O78</f>
        <v>1</v>
      </c>
      <c r="AG78" s="6" t="str">
        <f>C78</f>
        <v>90MB1BJ0-C1BAY0</v>
      </c>
      <c r="AH78" s="6" t="str">
        <f>IF($D78&lt;=AH$4,"",IF(AND($D77=AH$4,$D78&gt;AH$4),$F77,AH77))</f>
        <v>59MB1BJB-MB0A02S</v>
      </c>
      <c r="AI78" s="6" t="str">
        <f>IF($D78&lt;=AI$4,"",IF(AND($D77=AI$4,$D78&gt;AI$4),$F77,AI77))</f>
        <v/>
      </c>
      <c r="AJ78" s="6" t="str">
        <f>IF($D78&lt;=AJ$4,"",IF(AND($D77=AJ$4,$D78&gt;AJ$4),$F77,AJ77))</f>
        <v/>
      </c>
      <c r="AK78" s="6" t="str">
        <f>IF($D78&lt;=AK$4,"",IF(AND($D77=AK$4,$D78&gt;AK$4),$F77,AK77))</f>
        <v/>
      </c>
      <c r="AL78" s="6" t="str">
        <f>IF($D78&lt;=AL$4,"",IF(AND($D77=AL$4,$D78&gt;AL$4),$F77,AL77))</f>
        <v/>
      </c>
      <c r="AM78" s="6" t="str">
        <f>IF($D78&lt;=AM$4,"",IF(AND($D77=AM$4,$D78&gt;AM$4),$F77,AM77))</f>
        <v/>
      </c>
      <c r="AN78" s="6" t="str">
        <f>IF($D78&lt;=AN$4,"",IF(AND($D77=AN$4,$D78&gt;AN$4),$F77,AN77))</f>
        <v/>
      </c>
      <c r="AO78" s="6" t="str">
        <f>CONCATENATE(AG78," | ",AH78," | ",AI78," | ",AJ78," | ",AK78," | ",AL78," | ",AM78," | ",AN78)</f>
        <v xml:space="preserve">90MB1BJ0-C1BAY0 | 59MB1BJB-MB0A02S |  |  |  |  |  | </v>
      </c>
      <c r="AP78" s="6">
        <f>IF(TRIM(H78)="",100,J78)</f>
        <v>100</v>
      </c>
      <c r="AQ78" s="4"/>
      <c r="AR78" s="6" t="b">
        <f>NOT(TRIM(W78)&lt;&gt;"F")</f>
        <v>1</v>
      </c>
      <c r="AS78" s="6" t="str">
        <f>$B78&amp;" | "&amp;$AO78&amp;" | "&amp;IF(TRIM(H78)="","uniq"&amp;ROW(),TRIM(H78))</f>
        <v>461E | 90MB1BJ0-C1BAY0 | 59MB1BJB-MB0A02S |  |  |  |  |  |  | 9</v>
      </c>
      <c r="AT78" s="63">
        <f>IF(NOT(AR78),IF(TRIM($H78)="","Assembly","Phantom Alt"),VLOOKUP(F78,ZPCS04!B:G,6,0))</f>
        <v>807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1.9999999900000001</v>
      </c>
      <c r="AX78" s="7"/>
      <c r="AY78" s="6" t="b">
        <f>SUMIF(AS:AS,AS78,AP:AP)=100</f>
        <v>1</v>
      </c>
      <c r="AZ78" s="6" t="b">
        <f>SUMIF(AS:AS,AS78,AE:AE)/COUNTIF(AS:AS,AS78)=AE78</f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>C78&amp;" | "&amp;F78</f>
        <v>90MB1BJ0-C1BAY0 | 06007-01250000</v>
      </c>
      <c r="BE78" s="55" t="str">
        <f ca="1">C78&amp;" | "&amp;OFFSET($AF78,0,8-COUNTBLANK($AG78:$AN78))</f>
        <v>90MB1BJ0-C1BAY0 | 59MB1BJB-MB0A02S</v>
      </c>
      <c r="BF78" s="57">
        <f ca="1">IFERROR(VLOOKUP($BE78,$BD$5:$BF77,3,0)*$AE78,VLOOKUP($C78,Demanda!$A:$B,2,0)*$AE78)*IF(AT78="Phantom Alt",$BC78,TRUE)</f>
        <v>1000</v>
      </c>
      <c r="BG78" s="57">
        <f ca="1">BF78*(AP78/100)</f>
        <v>1000</v>
      </c>
      <c r="BH78" s="57">
        <f>SUMIF(Invoice!A:A,F78,Invoice!B:B)</f>
        <v>1000</v>
      </c>
      <c r="BI78" s="57">
        <f ca="1">SUMIF(AS:AS,AS78,BG:BG)</f>
        <v>1000</v>
      </c>
      <c r="BJ78" s="57">
        <f ca="1">MIN((BI78-SUMIF($AS$5:AS77,AS78,$BJ$5:BJ77)),MAX(0,BH78-SUMIF($F$5:F77,F78,$BJ$5:BJ77)))</f>
        <v>1000</v>
      </c>
      <c r="BK78" s="57">
        <f ca="1">(-SUMIF(AS:AS,AS78,BG:BG)+SUMIF(AS:AS,AS78,BJ:BJ))*(AP78=100)*AR78</f>
        <v>0</v>
      </c>
      <c r="BL78" s="57">
        <f ca="1">MAX(0,SUMIF(Invoice!A:A,F78,Invoice!B:B)-SUMIF(F:F,F78,BJ:BJ))*(COUNTIF(F:F,F78)=COUNTIF($F$5:F78,F78))</f>
        <v>0</v>
      </c>
    </row>
    <row r="79" spans="1:64" hidden="1">
      <c r="A79" s="43">
        <v>79</v>
      </c>
      <c r="B79" s="35" t="s">
        <v>147</v>
      </c>
      <c r="C79" s="35" t="s">
        <v>146</v>
      </c>
      <c r="D79" s="35">
        <v>2</v>
      </c>
      <c r="E79" s="35">
        <v>90</v>
      </c>
      <c r="F79" s="64" t="s">
        <v>321</v>
      </c>
      <c r="G79" s="73" t="s">
        <v>322</v>
      </c>
      <c r="H79" s="35">
        <v>9</v>
      </c>
      <c r="I79" s="35" t="s">
        <v>55</v>
      </c>
      <c r="J79" s="35">
        <v>0</v>
      </c>
      <c r="K79" s="35" t="s">
        <v>150</v>
      </c>
      <c r="L79" s="35" t="s">
        <v>53</v>
      </c>
      <c r="M79" s="35">
        <v>1</v>
      </c>
      <c r="N79" s="35"/>
      <c r="O79" s="35">
        <v>1</v>
      </c>
      <c r="P79" s="35">
        <v>2</v>
      </c>
      <c r="Q79" s="35">
        <v>2</v>
      </c>
      <c r="R79" s="35" t="s">
        <v>73</v>
      </c>
      <c r="S79" s="35" t="s">
        <v>73</v>
      </c>
      <c r="T79" s="36">
        <v>44901</v>
      </c>
      <c r="U79" s="36">
        <v>2958465</v>
      </c>
      <c r="V79" s="35" t="s">
        <v>282</v>
      </c>
      <c r="W79" s="35" t="s">
        <v>145</v>
      </c>
      <c r="X79" s="35"/>
      <c r="Y79" s="35" t="s">
        <v>143</v>
      </c>
      <c r="Z79" s="35">
        <v>7589154</v>
      </c>
      <c r="AA79" s="35">
        <v>46</v>
      </c>
      <c r="AB79" s="35">
        <v>23</v>
      </c>
      <c r="AC79" s="35" t="s">
        <v>144</v>
      </c>
      <c r="AE79" s="51">
        <f>M79/O79</f>
        <v>1</v>
      </c>
      <c r="AG79" s="6" t="str">
        <f>C79</f>
        <v>90MB1BJ0-C1BAY0</v>
      </c>
      <c r="AH79" s="6" t="str">
        <f>IF($D79&lt;=AH$4,"",IF(AND($D78=AH$4,$D79&gt;AH$4),$F78,AH78))</f>
        <v>59MB1BJB-MB0A02S</v>
      </c>
      <c r="AI79" s="6" t="str">
        <f>IF($D79&lt;=AI$4,"",IF(AND($D78=AI$4,$D79&gt;AI$4),$F78,AI78))</f>
        <v/>
      </c>
      <c r="AJ79" s="6" t="str">
        <f>IF($D79&lt;=AJ$4,"",IF(AND($D78=AJ$4,$D79&gt;AJ$4),$F78,AJ78))</f>
        <v/>
      </c>
      <c r="AK79" s="6" t="str">
        <f>IF($D79&lt;=AK$4,"",IF(AND($D78=AK$4,$D79&gt;AK$4),$F78,AK78))</f>
        <v/>
      </c>
      <c r="AL79" s="6" t="str">
        <f>IF($D79&lt;=AL$4,"",IF(AND($D78=AL$4,$D79&gt;AL$4),$F78,AL78))</f>
        <v/>
      </c>
      <c r="AM79" s="6" t="str">
        <f>IF($D79&lt;=AM$4,"",IF(AND($D78=AM$4,$D79&gt;AM$4),$F78,AM78))</f>
        <v/>
      </c>
      <c r="AN79" s="6" t="str">
        <f>IF($D79&lt;=AN$4,"",IF(AND($D78=AN$4,$D79&gt;AN$4),$F78,AN78))</f>
        <v/>
      </c>
      <c r="AO79" s="6" t="str">
        <f>CONCATENATE(AG79," | ",AH79," | ",AI79," | ",AJ79," | ",AK79," | ",AL79," | ",AM79," | ",AN79)</f>
        <v xml:space="preserve">90MB1BJ0-C1BAY0 | 59MB1BJB-MB0A02S |  |  |  |  |  | </v>
      </c>
      <c r="AP79" s="6">
        <f>IF(TRIM(H79)="",100,J79)</f>
        <v>0</v>
      </c>
      <c r="AQ79" s="4"/>
      <c r="AR79" s="6" t="b">
        <f>NOT(TRIM(W79)&lt;&gt;"F")</f>
        <v>1</v>
      </c>
      <c r="AS79" s="6" t="str">
        <f>$B79&amp;" | "&amp;$AO79&amp;" | "&amp;IF(TRIM(H79)="","uniq"&amp;ROW(),TRIM(H79))</f>
        <v>461E | 90MB1BJ0-C1BAY0 | 59MB1BJB-MB0A02S |  |  |  |  |  |  | 9</v>
      </c>
      <c r="AT79" s="63">
        <f>IF(NOT(AR79),IF(TRIM($H79)="","Assembly","Phantom Alt"),VLOOKUP(F79,ZPCS04!B:G,6,0))</f>
        <v>807</v>
      </c>
      <c r="AU79" s="7"/>
      <c r="AV79" s="38">
        <f ca="1">IF(TRIM($W79)="F",OFFSET($A$5,MATCH($AS79,$AS$5:$AS79,0)-1,0),$A79)</f>
        <v>78</v>
      </c>
      <c r="AW79" s="38">
        <f ca="1">IFERROR(OFFSET(ZPCS04!$A$1,MATCH(F79,ZPCS04!B:B,0)-1,0),100)</f>
        <v>2</v>
      </c>
      <c r="AX79" s="7"/>
      <c r="AY79" s="6" t="b">
        <f>SUMIF(AS:AS,AS79,AP:AP)=100</f>
        <v>1</v>
      </c>
      <c r="AZ79" s="6" t="b">
        <f>SUMIF(AS:AS,AS79,AE:AE)/COUNTIF(AS:AS,AS79)=AE79</f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>C79&amp;" | "&amp;F79</f>
        <v>90MB1BJ0-C1BAY0 | 06007-02040000</v>
      </c>
      <c r="BE79" s="55" t="str">
        <f ca="1">C79&amp;" | "&amp;OFFSET($AF79,0,8-COUNTBLANK($AG79:$AN79))</f>
        <v>90MB1BJ0-C1BAY0 | 59MB1BJB-MB0A02S</v>
      </c>
      <c r="BF79" s="57">
        <f ca="1">IFERROR(VLOOKUP($BE79,$BD$5:$BF78,3,0)*$AE79,VLOOKUP($C79,Demanda!$A:$B,2,0)*$AE79)*IF(AT79="Phantom Alt",$BC79,TRUE)</f>
        <v>1000</v>
      </c>
      <c r="BG79" s="57">
        <f ca="1">BF79*(AP79/100)</f>
        <v>0</v>
      </c>
      <c r="BH79" s="57">
        <f>SUMIF(Invoice!A:A,F79,Invoice!B:B)</f>
        <v>0</v>
      </c>
      <c r="BI79" s="57">
        <f ca="1">SUMIF(AS:AS,AS79,BG:BG)</f>
        <v>1000</v>
      </c>
      <c r="BJ79" s="57">
        <f ca="1">MIN((BI79-SUMIF($AS$5:AS78,AS79,$BJ$5:BJ78)),MAX(0,BH79-SUMIF($F$5:F78,F79,$BJ$5:BJ78)))</f>
        <v>0</v>
      </c>
      <c r="BK79" s="57">
        <f ca="1">(-SUMIF(AS:AS,AS79,BG:BG)+SUMIF(AS:AS,AS79,BJ:BJ))*(AP79=100)*AR79</f>
        <v>0</v>
      </c>
      <c r="BL79" s="57">
        <f ca="1">MAX(0,SUMIF(Invoice!A:A,F79,Invoice!B:B)-SUMIF(F:F,F79,BJ:BJ))*(COUNTIF(F:F,F79)=COUNTIF($F$5:F79,F79))</f>
        <v>0</v>
      </c>
    </row>
    <row r="80" spans="1:64" hidden="1">
      <c r="A80" s="43">
        <v>80</v>
      </c>
      <c r="B80" s="35" t="s">
        <v>147</v>
      </c>
      <c r="C80" s="35" t="s">
        <v>146</v>
      </c>
      <c r="D80" s="35">
        <v>2</v>
      </c>
      <c r="E80" s="35">
        <v>100</v>
      </c>
      <c r="F80" s="64" t="s">
        <v>323</v>
      </c>
      <c r="G80" s="73" t="s">
        <v>324</v>
      </c>
      <c r="H80" s="35"/>
      <c r="I80" s="35" t="s">
        <v>54</v>
      </c>
      <c r="J80" s="35">
        <v>0</v>
      </c>
      <c r="K80" s="35" t="s">
        <v>150</v>
      </c>
      <c r="L80" s="35" t="s">
        <v>53</v>
      </c>
      <c r="M80" s="35">
        <v>1</v>
      </c>
      <c r="N80" s="35">
        <v>1</v>
      </c>
      <c r="O80" s="35">
        <v>1</v>
      </c>
      <c r="P80" s="35"/>
      <c r="Q80" s="35"/>
      <c r="R80" s="35" t="s">
        <v>73</v>
      </c>
      <c r="S80" s="35" t="s">
        <v>73</v>
      </c>
      <c r="T80" s="36">
        <v>44901</v>
      </c>
      <c r="U80" s="36">
        <v>2958465</v>
      </c>
      <c r="V80" s="35" t="s">
        <v>282</v>
      </c>
      <c r="W80" s="35" t="s">
        <v>145</v>
      </c>
      <c r="X80" s="35"/>
      <c r="Y80" s="35" t="s">
        <v>143</v>
      </c>
      <c r="Z80" s="35">
        <v>7589154</v>
      </c>
      <c r="AA80" s="35">
        <v>48</v>
      </c>
      <c r="AB80" s="35">
        <v>24</v>
      </c>
      <c r="AC80" s="35"/>
      <c r="AE80" s="51">
        <f>M80/O80</f>
        <v>1</v>
      </c>
      <c r="AG80" s="6" t="str">
        <f>C80</f>
        <v>90MB1BJ0-C1BAY0</v>
      </c>
      <c r="AH80" s="6" t="str">
        <f>IF($D80&lt;=AH$4,"",IF(AND($D79=AH$4,$D80&gt;AH$4),$F79,AH79))</f>
        <v>59MB1BJB-MB0A02S</v>
      </c>
      <c r="AI80" s="6" t="str">
        <f>IF($D80&lt;=AI$4,"",IF(AND($D79=AI$4,$D80&gt;AI$4),$F79,AI79))</f>
        <v/>
      </c>
      <c r="AJ80" s="6" t="str">
        <f>IF($D80&lt;=AJ$4,"",IF(AND($D79=AJ$4,$D80&gt;AJ$4),$F79,AJ79))</f>
        <v/>
      </c>
      <c r="AK80" s="6" t="str">
        <f>IF($D80&lt;=AK$4,"",IF(AND($D79=AK$4,$D80&gt;AK$4),$F79,AK79))</f>
        <v/>
      </c>
      <c r="AL80" s="6" t="str">
        <f>IF($D80&lt;=AL$4,"",IF(AND($D79=AL$4,$D80&gt;AL$4),$F79,AL79))</f>
        <v/>
      </c>
      <c r="AM80" s="6" t="str">
        <f>IF($D80&lt;=AM$4,"",IF(AND($D79=AM$4,$D80&gt;AM$4),$F79,AM79))</f>
        <v/>
      </c>
      <c r="AN80" s="6" t="str">
        <f>IF($D80&lt;=AN$4,"",IF(AND($D79=AN$4,$D80&gt;AN$4),$F79,AN79))</f>
        <v/>
      </c>
      <c r="AO80" s="6" t="str">
        <f>CONCATENATE(AG80," | ",AH80," | ",AI80," | ",AJ80," | ",AK80," | ",AL80," | ",AM80," | ",AN80)</f>
        <v xml:space="preserve">90MB1BJ0-C1BAY0 | 59MB1BJB-MB0A02S |  |  |  |  |  | </v>
      </c>
      <c r="AP80" s="6">
        <f>IF(TRIM(H80)="",100,J80)</f>
        <v>100</v>
      </c>
      <c r="AQ80" s="4"/>
      <c r="AR80" s="6" t="b">
        <f>NOT(TRIM(W80)&lt;&gt;"F")</f>
        <v>1</v>
      </c>
      <c r="AS80" s="6" t="str">
        <f>$B80&amp;" | "&amp;$AO80&amp;" | "&amp;IF(TRIM(H80)="","uniq"&amp;ROW(),TRIM(H80))</f>
        <v>461E | 90MB1BJ0-C1BAY0 | 59MB1BJB-MB0A02S |  |  |  |  |  |  | uniq80</v>
      </c>
      <c r="AT80" s="63">
        <f>IF(NOT(AR80),IF(TRIM($H80)="","Assembly","Phantom Alt"),VLOOKUP(F80,ZPCS04!B:G,6,0))</f>
        <v>24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1.9999999900000001</v>
      </c>
      <c r="AX80" s="7"/>
      <c r="AY80" s="6" t="b">
        <f>SUMIF(AS:AS,AS80,AP:AP)=100</f>
        <v>1</v>
      </c>
      <c r="AZ80" s="6" t="b">
        <f>SUMIF(AS:AS,AS80,AE:AE)/COUNTIF(AS:AS,AS80)=AE80</f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>C80&amp;" | "&amp;F80</f>
        <v>90MB1BJ0-C1BAY0 | 06014-01430000</v>
      </c>
      <c r="BE80" s="55" t="str">
        <f ca="1">C80&amp;" | "&amp;OFFSET($AF80,0,8-COUNTBLANK($AG80:$AN80))</f>
        <v>90MB1BJ0-C1BAY0 | 59MB1BJB-MB0A02S</v>
      </c>
      <c r="BF80" s="57">
        <f ca="1">IFERROR(VLOOKUP($BE80,$BD$5:$BF79,3,0)*$AE80,VLOOKUP($C80,Demanda!$A:$B,2,0)*$AE80)*IF(AT80="Phantom Alt",$BC80,TRUE)</f>
        <v>1000</v>
      </c>
      <c r="BG80" s="57">
        <f ca="1">BF80*(AP80/100)</f>
        <v>1000</v>
      </c>
      <c r="BH80" s="57">
        <f>SUMIF(Invoice!A:A,F80,Invoice!B:B)</f>
        <v>1000</v>
      </c>
      <c r="BI80" s="57">
        <f ca="1">SUMIF(AS:AS,AS80,BG:BG)</f>
        <v>1000</v>
      </c>
      <c r="BJ80" s="57">
        <f ca="1">MIN((BI80-SUMIF($AS$5:AS79,AS80,$BJ$5:BJ79)),MAX(0,BH80-SUMIF($F$5:F79,F80,$BJ$5:BJ79)))</f>
        <v>1000</v>
      </c>
      <c r="BK80" s="57">
        <f ca="1">(-SUMIF(AS:AS,AS80,BG:BG)+SUMIF(AS:AS,AS80,BJ:BJ))*(AP80=100)*AR80</f>
        <v>0</v>
      </c>
      <c r="BL80" s="57">
        <f ca="1">MAX(0,SUMIF(Invoice!A:A,F80,Invoice!B:B)-SUMIF(F:F,F80,BJ:BJ))*(COUNTIF(F:F,F80)=COUNTIF($F$5:F80,F80))</f>
        <v>0</v>
      </c>
    </row>
    <row r="81" spans="1:64" hidden="1">
      <c r="A81" s="43">
        <v>81</v>
      </c>
      <c r="B81" s="35" t="s">
        <v>147</v>
      </c>
      <c r="C81" s="35" t="s">
        <v>146</v>
      </c>
      <c r="D81" s="35">
        <v>2</v>
      </c>
      <c r="E81" s="35">
        <v>110</v>
      </c>
      <c r="F81" s="64" t="s">
        <v>325</v>
      </c>
      <c r="G81" s="73" t="s">
        <v>326</v>
      </c>
      <c r="H81" s="35"/>
      <c r="I81" s="35" t="s">
        <v>54</v>
      </c>
      <c r="J81" s="35">
        <v>0</v>
      </c>
      <c r="K81" s="35" t="s">
        <v>150</v>
      </c>
      <c r="L81" s="35" t="s">
        <v>53</v>
      </c>
      <c r="M81" s="35">
        <v>1</v>
      </c>
      <c r="N81" s="35">
        <v>1</v>
      </c>
      <c r="O81" s="35">
        <v>1</v>
      </c>
      <c r="P81" s="35"/>
      <c r="Q81" s="35"/>
      <c r="R81" s="35" t="s">
        <v>73</v>
      </c>
      <c r="S81" s="35" t="s">
        <v>73</v>
      </c>
      <c r="T81" s="36">
        <v>44901</v>
      </c>
      <c r="U81" s="36">
        <v>2958465</v>
      </c>
      <c r="V81" s="35" t="s">
        <v>282</v>
      </c>
      <c r="W81" s="35" t="s">
        <v>145</v>
      </c>
      <c r="X81" s="35"/>
      <c r="Y81" s="35" t="s">
        <v>143</v>
      </c>
      <c r="Z81" s="35">
        <v>7589154</v>
      </c>
      <c r="AA81" s="35">
        <v>50</v>
      </c>
      <c r="AB81" s="35">
        <v>25</v>
      </c>
      <c r="AC81" s="35"/>
      <c r="AE81" s="51">
        <f>M81/O81</f>
        <v>1</v>
      </c>
      <c r="AG81" s="6" t="str">
        <f>C81</f>
        <v>90MB1BJ0-C1BAY0</v>
      </c>
      <c r="AH81" s="6" t="str">
        <f>IF($D81&lt;=AH$4,"",IF(AND($D80=AH$4,$D81&gt;AH$4),$F80,AH80))</f>
        <v>59MB1BJB-MB0A02S</v>
      </c>
      <c r="AI81" s="6" t="str">
        <f>IF($D81&lt;=AI$4,"",IF(AND($D80=AI$4,$D81&gt;AI$4),$F80,AI80))</f>
        <v/>
      </c>
      <c r="AJ81" s="6" t="str">
        <f>IF($D81&lt;=AJ$4,"",IF(AND($D80=AJ$4,$D81&gt;AJ$4),$F80,AJ80))</f>
        <v/>
      </c>
      <c r="AK81" s="6" t="str">
        <f>IF($D81&lt;=AK$4,"",IF(AND($D80=AK$4,$D81&gt;AK$4),$F80,AK80))</f>
        <v/>
      </c>
      <c r="AL81" s="6" t="str">
        <f>IF($D81&lt;=AL$4,"",IF(AND($D80=AL$4,$D81&gt;AL$4),$F80,AL80))</f>
        <v/>
      </c>
      <c r="AM81" s="6" t="str">
        <f>IF($D81&lt;=AM$4,"",IF(AND($D80=AM$4,$D81&gt;AM$4),$F80,AM80))</f>
        <v/>
      </c>
      <c r="AN81" s="6" t="str">
        <f>IF($D81&lt;=AN$4,"",IF(AND($D80=AN$4,$D81&gt;AN$4),$F80,AN80))</f>
        <v/>
      </c>
      <c r="AO81" s="6" t="str">
        <f>CONCATENATE(AG81," | ",AH81," | ",AI81," | ",AJ81," | ",AK81," | ",AL81," | ",AM81," | ",AN81)</f>
        <v xml:space="preserve">90MB1BJ0-C1BAY0 | 59MB1BJB-MB0A02S |  |  |  |  |  | </v>
      </c>
      <c r="AP81" s="6">
        <f>IF(TRIM(H81)="",100,J81)</f>
        <v>100</v>
      </c>
      <c r="AQ81" s="4"/>
      <c r="AR81" s="6" t="b">
        <f>NOT(TRIM(W81)&lt;&gt;"F")</f>
        <v>1</v>
      </c>
      <c r="AS81" s="6" t="str">
        <f>$B81&amp;" | "&amp;$AO81&amp;" | "&amp;IF(TRIM(H81)="","uniq"&amp;ROW(),TRIM(H81))</f>
        <v>461E | 90MB1BJ0-C1BAY0 | 59MB1BJB-MB0A02S |  |  |  |  |  |  | uniq81</v>
      </c>
      <c r="AT81" s="63">
        <f>IF(NOT(AR81),IF(TRIM($H81)="","Assembly","Phantom Alt"),VLOOKUP(F81,ZPCS04!B:G,6,0))</f>
        <v>25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1.9999999900000001</v>
      </c>
      <c r="AX81" s="7"/>
      <c r="AY81" s="6" t="b">
        <f>SUMIF(AS:AS,AS81,AP:AP)=100</f>
        <v>1</v>
      </c>
      <c r="AZ81" s="6" t="b">
        <f>SUMIF(AS:AS,AS81,AE:AE)/COUNTIF(AS:AS,AS81)=AE81</f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>C81&amp;" | "&amp;F81</f>
        <v>90MB1BJ0-C1BAY0 | 06015-00250100</v>
      </c>
      <c r="BE81" s="55" t="str">
        <f ca="1">C81&amp;" | "&amp;OFFSET($AF81,0,8-COUNTBLANK($AG81:$AN81))</f>
        <v>90MB1BJ0-C1BAY0 | 59MB1BJB-MB0A02S</v>
      </c>
      <c r="BF81" s="57">
        <f ca="1">IFERROR(VLOOKUP($BE81,$BD$5:$BF80,3,0)*$AE81,VLOOKUP($C81,Demanda!$A:$B,2,0)*$AE81)*IF(AT81="Phantom Alt",$BC81,TRUE)</f>
        <v>1000</v>
      </c>
      <c r="BG81" s="57">
        <f ca="1">BF81*(AP81/100)</f>
        <v>1000</v>
      </c>
      <c r="BH81" s="57">
        <f>SUMIF(Invoice!A:A,F81,Invoice!B:B)</f>
        <v>1000</v>
      </c>
      <c r="BI81" s="57">
        <f ca="1">SUMIF(AS:AS,AS81,BG:BG)</f>
        <v>1000</v>
      </c>
      <c r="BJ81" s="57">
        <f ca="1">MIN((BI81-SUMIF($AS$5:AS80,AS81,$BJ$5:BJ80)),MAX(0,BH81-SUMIF($F$5:F80,F81,$BJ$5:BJ80)))</f>
        <v>1000</v>
      </c>
      <c r="BK81" s="57">
        <f ca="1">(-SUMIF(AS:AS,AS81,BG:BG)+SUMIF(AS:AS,AS81,BJ:BJ))*(AP81=100)*AR81</f>
        <v>0</v>
      </c>
      <c r="BL81" s="57">
        <f ca="1">MAX(0,SUMIF(Invoice!A:A,F81,Invoice!B:B)-SUMIF(F:F,F81,BJ:BJ))*(COUNTIF(F:F,F81)=COUNTIF($F$5:F81,F81))</f>
        <v>0</v>
      </c>
    </row>
    <row r="82" spans="1:64" hidden="1">
      <c r="A82" s="43">
        <v>82</v>
      </c>
      <c r="B82" s="35" t="s">
        <v>147</v>
      </c>
      <c r="C82" s="35" t="s">
        <v>146</v>
      </c>
      <c r="D82" s="35">
        <v>2</v>
      </c>
      <c r="E82" s="35">
        <v>120</v>
      </c>
      <c r="F82" s="64" t="s">
        <v>327</v>
      </c>
      <c r="G82" s="73" t="s">
        <v>328</v>
      </c>
      <c r="H82" s="35"/>
      <c r="I82" s="35" t="s">
        <v>54</v>
      </c>
      <c r="J82" s="35">
        <v>0</v>
      </c>
      <c r="K82" s="35" t="s">
        <v>150</v>
      </c>
      <c r="L82" s="35" t="s">
        <v>53</v>
      </c>
      <c r="M82" s="35">
        <v>1</v>
      </c>
      <c r="N82" s="35">
        <v>1</v>
      </c>
      <c r="O82" s="35">
        <v>1</v>
      </c>
      <c r="P82" s="35"/>
      <c r="Q82" s="35"/>
      <c r="R82" s="35" t="s">
        <v>73</v>
      </c>
      <c r="S82" s="35" t="s">
        <v>73</v>
      </c>
      <c r="T82" s="36">
        <v>44901</v>
      </c>
      <c r="U82" s="36">
        <v>2958465</v>
      </c>
      <c r="V82" s="35" t="s">
        <v>282</v>
      </c>
      <c r="W82" s="35" t="s">
        <v>145</v>
      </c>
      <c r="X82" s="35"/>
      <c r="Y82" s="35" t="s">
        <v>143</v>
      </c>
      <c r="Z82" s="35">
        <v>7589154</v>
      </c>
      <c r="AA82" s="35">
        <v>52</v>
      </c>
      <c r="AB82" s="35">
        <v>26</v>
      </c>
      <c r="AC82" s="35" t="s">
        <v>144</v>
      </c>
      <c r="AE82" s="51">
        <f>M82/O82</f>
        <v>1</v>
      </c>
      <c r="AG82" s="6" t="str">
        <f>C82</f>
        <v>90MB1BJ0-C1BAY0</v>
      </c>
      <c r="AH82" s="6" t="str">
        <f>IF($D82&lt;=AH$4,"",IF(AND($D81=AH$4,$D82&gt;AH$4),$F81,AH81))</f>
        <v>59MB1BJB-MB0A02S</v>
      </c>
      <c r="AI82" s="6" t="str">
        <f>IF($D82&lt;=AI$4,"",IF(AND($D81=AI$4,$D82&gt;AI$4),$F81,AI81))</f>
        <v/>
      </c>
      <c r="AJ82" s="6" t="str">
        <f>IF($D82&lt;=AJ$4,"",IF(AND($D81=AJ$4,$D82&gt;AJ$4),$F81,AJ81))</f>
        <v/>
      </c>
      <c r="AK82" s="6" t="str">
        <f>IF($D82&lt;=AK$4,"",IF(AND($D81=AK$4,$D82&gt;AK$4),$F81,AK81))</f>
        <v/>
      </c>
      <c r="AL82" s="6" t="str">
        <f>IF($D82&lt;=AL$4,"",IF(AND($D81=AL$4,$D82&gt;AL$4),$F81,AL81))</f>
        <v/>
      </c>
      <c r="AM82" s="6" t="str">
        <f>IF($D82&lt;=AM$4,"",IF(AND($D81=AM$4,$D82&gt;AM$4),$F81,AM81))</f>
        <v/>
      </c>
      <c r="AN82" s="6" t="str">
        <f>IF($D82&lt;=AN$4,"",IF(AND($D81=AN$4,$D82&gt;AN$4),$F81,AN81))</f>
        <v/>
      </c>
      <c r="AO82" s="6" t="str">
        <f>CONCATENATE(AG82," | ",AH82," | ",AI82," | ",AJ82," | ",AK82," | ",AL82," | ",AM82," | ",AN82)</f>
        <v xml:space="preserve">90MB1BJ0-C1BAY0 | 59MB1BJB-MB0A02S |  |  |  |  |  | </v>
      </c>
      <c r="AP82" s="6">
        <f>IF(TRIM(H82)="",100,J82)</f>
        <v>100</v>
      </c>
      <c r="AQ82" s="4"/>
      <c r="AR82" s="6" t="b">
        <f>NOT(TRIM(W82)&lt;&gt;"F")</f>
        <v>1</v>
      </c>
      <c r="AS82" s="6" t="str">
        <f>$B82&amp;" | "&amp;$AO82&amp;" | "&amp;IF(TRIM(H82)="","uniq"&amp;ROW(),TRIM(H82))</f>
        <v>461E | 90MB1BJ0-C1BAY0 | 59MB1BJB-MB0A02S |  |  |  |  |  |  | uniq82</v>
      </c>
      <c r="AT82" s="63">
        <f>IF(NOT(AR82),IF(TRIM($H82)="","Assembly","Phantom Alt"),VLOOKUP(F82,ZPCS04!B:G,6,0))</f>
        <v>328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1.9999999900000001</v>
      </c>
      <c r="AX82" s="7"/>
      <c r="AY82" s="6" t="b">
        <f>SUMIF(AS:AS,AS82,AP:AP)=100</f>
        <v>1</v>
      </c>
      <c r="AZ82" s="6" t="b">
        <f>SUMIF(AS:AS,AS82,AE:AE)/COUNTIF(AS:AS,AS82)=AE82</f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>C82&amp;" | "&amp;F82</f>
        <v>90MB1BJ0-C1BAY0 | 06015-00670000</v>
      </c>
      <c r="BE82" s="55" t="str">
        <f ca="1">C82&amp;" | "&amp;OFFSET($AF82,0,8-COUNTBLANK($AG82:$AN82))</f>
        <v>90MB1BJ0-C1BAY0 | 59MB1BJB-MB0A02S</v>
      </c>
      <c r="BF82" s="57">
        <f ca="1">IFERROR(VLOOKUP($BE82,$BD$5:$BF81,3,0)*$AE82,VLOOKUP($C82,Demanda!$A:$B,2,0)*$AE82)*IF(AT82="Phantom Alt",$BC82,TRUE)</f>
        <v>1000</v>
      </c>
      <c r="BG82" s="57">
        <f ca="1">BF82*(AP82/100)</f>
        <v>1000</v>
      </c>
      <c r="BH82" s="57">
        <f>SUMIF(Invoice!A:A,F82,Invoice!B:B)</f>
        <v>1000</v>
      </c>
      <c r="BI82" s="57">
        <f ca="1">SUMIF(AS:AS,AS82,BG:BG)</f>
        <v>1000</v>
      </c>
      <c r="BJ82" s="57">
        <f ca="1">MIN((BI82-SUMIF($AS$5:AS81,AS82,$BJ$5:BJ81)),MAX(0,BH82-SUMIF($F$5:F81,F82,$BJ$5:BJ81)))</f>
        <v>1000</v>
      </c>
      <c r="BK82" s="57">
        <f ca="1">(-SUMIF(AS:AS,AS82,BG:BG)+SUMIF(AS:AS,AS82,BJ:BJ))*(AP82=100)*AR82</f>
        <v>0</v>
      </c>
      <c r="BL82" s="57">
        <f ca="1">MAX(0,SUMIF(Invoice!A:A,F82,Invoice!B:B)-SUMIF(F:F,F82,BJ:BJ))*(COUNTIF(F:F,F82)=COUNTIF($F$5:F82,F82))</f>
        <v>0</v>
      </c>
    </row>
    <row r="83" spans="1:64" hidden="1">
      <c r="A83" s="43">
        <v>83</v>
      </c>
      <c r="B83" s="35" t="s">
        <v>147</v>
      </c>
      <c r="C83" s="35" t="s">
        <v>146</v>
      </c>
      <c r="D83" s="35">
        <v>2</v>
      </c>
      <c r="E83" s="35">
        <v>130</v>
      </c>
      <c r="F83" s="64" t="s">
        <v>329</v>
      </c>
      <c r="G83" s="73" t="s">
        <v>330</v>
      </c>
      <c r="H83" s="35">
        <v>13</v>
      </c>
      <c r="I83" s="35" t="s">
        <v>54</v>
      </c>
      <c r="J83" s="35">
        <v>100</v>
      </c>
      <c r="K83" s="35" t="s">
        <v>150</v>
      </c>
      <c r="L83" s="35" t="s">
        <v>53</v>
      </c>
      <c r="M83" s="35">
        <v>1</v>
      </c>
      <c r="N83" s="35">
        <v>1</v>
      </c>
      <c r="O83" s="35">
        <v>1</v>
      </c>
      <c r="P83" s="35">
        <v>2</v>
      </c>
      <c r="Q83" s="35">
        <v>1</v>
      </c>
      <c r="R83" s="35" t="s">
        <v>73</v>
      </c>
      <c r="S83" s="35" t="s">
        <v>73</v>
      </c>
      <c r="T83" s="36">
        <v>44901</v>
      </c>
      <c r="U83" s="36">
        <v>2958465</v>
      </c>
      <c r="V83" s="35" t="s">
        <v>282</v>
      </c>
      <c r="W83" s="35" t="s">
        <v>145</v>
      </c>
      <c r="X83" s="35"/>
      <c r="Y83" s="35" t="s">
        <v>143</v>
      </c>
      <c r="Z83" s="35">
        <v>7589154</v>
      </c>
      <c r="AA83" s="35">
        <v>54</v>
      </c>
      <c r="AB83" s="35">
        <v>27</v>
      </c>
      <c r="AC83" s="35"/>
      <c r="AE83" s="51">
        <f>M83/O83</f>
        <v>1</v>
      </c>
      <c r="AG83" s="6" t="str">
        <f>C83</f>
        <v>90MB1BJ0-C1BAY0</v>
      </c>
      <c r="AH83" s="6" t="str">
        <f>IF($D83&lt;=AH$4,"",IF(AND($D82=AH$4,$D83&gt;AH$4),$F82,AH82))</f>
        <v>59MB1BJB-MB0A02S</v>
      </c>
      <c r="AI83" s="6" t="str">
        <f>IF($D83&lt;=AI$4,"",IF(AND($D82=AI$4,$D83&gt;AI$4),$F82,AI82))</f>
        <v/>
      </c>
      <c r="AJ83" s="6" t="str">
        <f>IF($D83&lt;=AJ$4,"",IF(AND($D82=AJ$4,$D83&gt;AJ$4),$F82,AJ82))</f>
        <v/>
      </c>
      <c r="AK83" s="6" t="str">
        <f>IF($D83&lt;=AK$4,"",IF(AND($D82=AK$4,$D83&gt;AK$4),$F82,AK82))</f>
        <v/>
      </c>
      <c r="AL83" s="6" t="str">
        <f>IF($D83&lt;=AL$4,"",IF(AND($D82=AL$4,$D83&gt;AL$4),$F82,AL82))</f>
        <v/>
      </c>
      <c r="AM83" s="6" t="str">
        <f>IF($D83&lt;=AM$4,"",IF(AND($D82=AM$4,$D83&gt;AM$4),$F82,AM82))</f>
        <v/>
      </c>
      <c r="AN83" s="6" t="str">
        <f>IF($D83&lt;=AN$4,"",IF(AND($D82=AN$4,$D83&gt;AN$4),$F82,AN82))</f>
        <v/>
      </c>
      <c r="AO83" s="6" t="str">
        <f>CONCATENATE(AG83," | ",AH83," | ",AI83," | ",AJ83," | ",AK83," | ",AL83," | ",AM83," | ",AN83)</f>
        <v xml:space="preserve">90MB1BJ0-C1BAY0 | 59MB1BJB-MB0A02S |  |  |  |  |  | </v>
      </c>
      <c r="AP83" s="6">
        <f>IF(TRIM(H83)="",100,J83)</f>
        <v>100</v>
      </c>
      <c r="AQ83" s="4"/>
      <c r="AR83" s="6" t="b">
        <f>NOT(TRIM(W83)&lt;&gt;"F")</f>
        <v>1</v>
      </c>
      <c r="AS83" s="6" t="str">
        <f>$B83&amp;" | "&amp;$AO83&amp;" | "&amp;IF(TRIM(H83)="","uniq"&amp;ROW(),TRIM(H83))</f>
        <v>461E | 90MB1BJ0-C1BAY0 | 59MB1BJB-MB0A02S |  |  |  |  |  |  | 13</v>
      </c>
      <c r="AT83" s="63">
        <f>IF(NOT(AR83),IF(TRIM($H83)="","Assembly","Phantom Alt"),VLOOKUP(F83,ZPCS04!B:G,6,0))</f>
        <v>1253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1.9999999900000001</v>
      </c>
      <c r="AX83" s="7"/>
      <c r="AY83" s="6" t="b">
        <f>SUMIF(AS:AS,AS83,AP:AP)=100</f>
        <v>1</v>
      </c>
      <c r="AZ83" s="6" t="b">
        <f>SUMIF(AS:AS,AS83,AE:AE)/COUNTIF(AS:AS,AS83)=AE83</f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>C83&amp;" | "&amp;F83</f>
        <v>90MB1BJ0-C1BAY0 | 06016-00750300</v>
      </c>
      <c r="BE83" s="55" t="str">
        <f ca="1">C83&amp;" | "&amp;OFFSET($AF83,0,8-COUNTBLANK($AG83:$AN83))</f>
        <v>90MB1BJ0-C1BAY0 | 59MB1BJB-MB0A02S</v>
      </c>
      <c r="BF83" s="57">
        <f ca="1">IFERROR(VLOOKUP($BE83,$BD$5:$BF82,3,0)*$AE83,VLOOKUP($C83,Demanda!$A:$B,2,0)*$AE83)*IF(AT83="Phantom Alt",$BC83,TRUE)</f>
        <v>1000</v>
      </c>
      <c r="BG83" s="57">
        <f ca="1">BF83*(AP83/100)</f>
        <v>1000</v>
      </c>
      <c r="BH83" s="57">
        <f>SUMIF(Invoice!A:A,F83,Invoice!B:B)</f>
        <v>1000</v>
      </c>
      <c r="BI83" s="57">
        <f ca="1">SUMIF(AS:AS,AS83,BG:BG)</f>
        <v>1000</v>
      </c>
      <c r="BJ83" s="57">
        <f ca="1">MIN((BI83-SUMIF($AS$5:AS82,AS83,$BJ$5:BJ82)),MAX(0,BH83-SUMIF($F$5:F82,F83,$BJ$5:BJ82)))</f>
        <v>1000</v>
      </c>
      <c r="BK83" s="57">
        <f ca="1">(-SUMIF(AS:AS,AS83,BG:BG)+SUMIF(AS:AS,AS83,BJ:BJ))*(AP83=100)*AR83</f>
        <v>0</v>
      </c>
      <c r="BL83" s="57">
        <f ca="1">MAX(0,SUMIF(Invoice!A:A,F83,Invoice!B:B)-SUMIF(F:F,F83,BJ:BJ))*(COUNTIF(F:F,F83)=COUNTIF($F$5:F83,F83))</f>
        <v>0</v>
      </c>
    </row>
    <row r="84" spans="1:64" hidden="1">
      <c r="A84" s="43">
        <v>84</v>
      </c>
      <c r="B84" s="35" t="s">
        <v>147</v>
      </c>
      <c r="C84" s="35" t="s">
        <v>146</v>
      </c>
      <c r="D84" s="35">
        <v>2</v>
      </c>
      <c r="E84" s="35">
        <v>130</v>
      </c>
      <c r="F84" s="64" t="s">
        <v>331</v>
      </c>
      <c r="G84" s="73" t="s">
        <v>332</v>
      </c>
      <c r="H84" s="35">
        <v>13</v>
      </c>
      <c r="I84" s="35" t="s">
        <v>55</v>
      </c>
      <c r="J84" s="35">
        <v>0</v>
      </c>
      <c r="K84" s="35" t="s">
        <v>150</v>
      </c>
      <c r="L84" s="35" t="s">
        <v>53</v>
      </c>
      <c r="M84" s="35">
        <v>1</v>
      </c>
      <c r="N84" s="35"/>
      <c r="O84" s="35">
        <v>1</v>
      </c>
      <c r="P84" s="35">
        <v>2</v>
      </c>
      <c r="Q84" s="35">
        <v>2</v>
      </c>
      <c r="R84" s="35" t="s">
        <v>73</v>
      </c>
      <c r="S84" s="35" t="s">
        <v>73</v>
      </c>
      <c r="T84" s="36">
        <v>44901</v>
      </c>
      <c r="U84" s="36">
        <v>2958465</v>
      </c>
      <c r="V84" s="35" t="s">
        <v>282</v>
      </c>
      <c r="W84" s="35" t="s">
        <v>145</v>
      </c>
      <c r="X84" s="35"/>
      <c r="Y84" s="35" t="s">
        <v>143</v>
      </c>
      <c r="Z84" s="35">
        <v>7589154</v>
      </c>
      <c r="AA84" s="35">
        <v>56</v>
      </c>
      <c r="AB84" s="35">
        <v>28</v>
      </c>
      <c r="AC84" s="35"/>
      <c r="AE84" s="51">
        <f>M84/O84</f>
        <v>1</v>
      </c>
      <c r="AG84" s="6" t="str">
        <f>C84</f>
        <v>90MB1BJ0-C1BAY0</v>
      </c>
      <c r="AH84" s="6" t="str">
        <f>IF($D84&lt;=AH$4,"",IF(AND($D83=AH$4,$D84&gt;AH$4),$F83,AH83))</f>
        <v>59MB1BJB-MB0A02S</v>
      </c>
      <c r="AI84" s="6" t="str">
        <f>IF($D84&lt;=AI$4,"",IF(AND($D83=AI$4,$D84&gt;AI$4),$F83,AI83))</f>
        <v/>
      </c>
      <c r="AJ84" s="6" t="str">
        <f>IF($D84&lt;=AJ$4,"",IF(AND($D83=AJ$4,$D84&gt;AJ$4),$F83,AJ83))</f>
        <v/>
      </c>
      <c r="AK84" s="6" t="str">
        <f>IF($D84&lt;=AK$4,"",IF(AND($D83=AK$4,$D84&gt;AK$4),$F83,AK83))</f>
        <v/>
      </c>
      <c r="AL84" s="6" t="str">
        <f>IF($D84&lt;=AL$4,"",IF(AND($D83=AL$4,$D84&gt;AL$4),$F83,AL83))</f>
        <v/>
      </c>
      <c r="AM84" s="6" t="str">
        <f>IF($D84&lt;=AM$4,"",IF(AND($D83=AM$4,$D84&gt;AM$4),$F83,AM83))</f>
        <v/>
      </c>
      <c r="AN84" s="6" t="str">
        <f>IF($D84&lt;=AN$4,"",IF(AND($D83=AN$4,$D84&gt;AN$4),$F83,AN83))</f>
        <v/>
      </c>
      <c r="AO84" s="6" t="str">
        <f>CONCATENATE(AG84," | ",AH84," | ",AI84," | ",AJ84," | ",AK84," | ",AL84," | ",AM84," | ",AN84)</f>
        <v xml:space="preserve">90MB1BJ0-C1BAY0 | 59MB1BJB-MB0A02S |  |  |  |  |  | </v>
      </c>
      <c r="AP84" s="6">
        <f>IF(TRIM(H84)="",100,J84)</f>
        <v>0</v>
      </c>
      <c r="AQ84" s="4"/>
      <c r="AR84" s="6" t="b">
        <f>NOT(TRIM(W84)&lt;&gt;"F")</f>
        <v>1</v>
      </c>
      <c r="AS84" s="6" t="str">
        <f>$B84&amp;" | "&amp;$AO84&amp;" | "&amp;IF(TRIM(H84)="","uniq"&amp;ROW(),TRIM(H84))</f>
        <v>461E | 90MB1BJ0-C1BAY0 | 59MB1BJB-MB0A02S |  |  |  |  |  |  | 13</v>
      </c>
      <c r="AT84" s="63">
        <f>IF(NOT(AR84),IF(TRIM($H84)="","Assembly","Phantom Alt"),VLOOKUP(F84,ZPCS04!B:G,6,0))</f>
        <v>1253</v>
      </c>
      <c r="AU84" s="7"/>
      <c r="AV84" s="38">
        <f ca="1">IF(TRIM($W84)="F",OFFSET($A$5,MATCH($AS84,$AS$5:$AS84,0)-1,0),$A84)</f>
        <v>83</v>
      </c>
      <c r="AW84" s="38">
        <f ca="1">IFERROR(OFFSET(ZPCS04!$A$1,MATCH(F84,ZPCS04!B:B,0)-1,0),100)</f>
        <v>2</v>
      </c>
      <c r="AX84" s="7"/>
      <c r="AY84" s="6" t="b">
        <f>SUMIF(AS:AS,AS84,AP:AP)=100</f>
        <v>1</v>
      </c>
      <c r="AZ84" s="6" t="b">
        <f>SUMIF(AS:AS,AS84,AE:AE)/COUNTIF(AS:AS,AS84)=AE84</f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>C84&amp;" | "&amp;F84</f>
        <v>90MB1BJ0-C1BAY0 | 06016-02980000</v>
      </c>
      <c r="BE84" s="55" t="str">
        <f ca="1">C84&amp;" | "&amp;OFFSET($AF84,0,8-COUNTBLANK($AG84:$AN84))</f>
        <v>90MB1BJ0-C1BAY0 | 59MB1BJB-MB0A02S</v>
      </c>
      <c r="BF84" s="57">
        <f ca="1">IFERROR(VLOOKUP($BE84,$BD$5:$BF83,3,0)*$AE84,VLOOKUP($C84,Demanda!$A:$B,2,0)*$AE84)*IF(AT84="Phantom Alt",$BC84,TRUE)</f>
        <v>1000</v>
      </c>
      <c r="BG84" s="57">
        <f ca="1">BF84*(AP84/100)</f>
        <v>0</v>
      </c>
      <c r="BH84" s="57">
        <f>SUMIF(Invoice!A:A,F84,Invoice!B:B)</f>
        <v>0</v>
      </c>
      <c r="BI84" s="57">
        <f ca="1">SUMIF(AS:AS,AS84,BG:BG)</f>
        <v>1000</v>
      </c>
      <c r="BJ84" s="57">
        <f ca="1">MIN((BI84-SUMIF($AS$5:AS83,AS84,$BJ$5:BJ83)),MAX(0,BH84-SUMIF($F$5:F83,F84,$BJ$5:BJ83)))</f>
        <v>0</v>
      </c>
      <c r="BK84" s="57">
        <f ca="1">(-SUMIF(AS:AS,AS84,BG:BG)+SUMIF(AS:AS,AS84,BJ:BJ))*(AP84=100)*AR84</f>
        <v>0</v>
      </c>
      <c r="BL84" s="57">
        <f ca="1">MAX(0,SUMIF(Invoice!A:A,F84,Invoice!B:B)-SUMIF(F:F,F84,BJ:BJ))*(COUNTIF(F:F,F84)=COUNTIF($F$5:F84,F84))</f>
        <v>0</v>
      </c>
    </row>
    <row r="85" spans="1:64" hidden="1">
      <c r="A85" s="43">
        <v>85</v>
      </c>
      <c r="B85" s="35" t="s">
        <v>147</v>
      </c>
      <c r="C85" s="35" t="s">
        <v>146</v>
      </c>
      <c r="D85" s="35">
        <v>2</v>
      </c>
      <c r="E85" s="35">
        <v>140</v>
      </c>
      <c r="F85" s="64" t="s">
        <v>333</v>
      </c>
      <c r="G85" s="73" t="s">
        <v>334</v>
      </c>
      <c r="H85" s="35"/>
      <c r="I85" s="35" t="s">
        <v>54</v>
      </c>
      <c r="J85" s="35">
        <v>0</v>
      </c>
      <c r="K85" s="35" t="s">
        <v>150</v>
      </c>
      <c r="L85" s="35" t="s">
        <v>53</v>
      </c>
      <c r="M85" s="35">
        <v>1</v>
      </c>
      <c r="N85" s="35">
        <v>1</v>
      </c>
      <c r="O85" s="35">
        <v>1</v>
      </c>
      <c r="P85" s="35"/>
      <c r="Q85" s="35"/>
      <c r="R85" s="35" t="s">
        <v>73</v>
      </c>
      <c r="S85" s="35" t="s">
        <v>73</v>
      </c>
      <c r="T85" s="36">
        <v>44901</v>
      </c>
      <c r="U85" s="36">
        <v>2958465</v>
      </c>
      <c r="V85" s="35" t="s">
        <v>282</v>
      </c>
      <c r="W85" s="35" t="s">
        <v>145</v>
      </c>
      <c r="X85" s="35"/>
      <c r="Y85" s="35" t="s">
        <v>143</v>
      </c>
      <c r="Z85" s="35">
        <v>7589154</v>
      </c>
      <c r="AA85" s="35">
        <v>58</v>
      </c>
      <c r="AB85" s="35">
        <v>29</v>
      </c>
      <c r="AC85" s="35"/>
      <c r="AE85" s="51">
        <f>M85/O85</f>
        <v>1</v>
      </c>
      <c r="AG85" s="6" t="str">
        <f>C85</f>
        <v>90MB1BJ0-C1BAY0</v>
      </c>
      <c r="AH85" s="6" t="str">
        <f>IF($D85&lt;=AH$4,"",IF(AND($D84=AH$4,$D85&gt;AH$4),$F84,AH84))</f>
        <v>59MB1BJB-MB0A02S</v>
      </c>
      <c r="AI85" s="6" t="str">
        <f>IF($D85&lt;=AI$4,"",IF(AND($D84=AI$4,$D85&gt;AI$4),$F84,AI84))</f>
        <v/>
      </c>
      <c r="AJ85" s="6" t="str">
        <f>IF($D85&lt;=AJ$4,"",IF(AND($D84=AJ$4,$D85&gt;AJ$4),$F84,AJ84))</f>
        <v/>
      </c>
      <c r="AK85" s="6" t="str">
        <f>IF($D85&lt;=AK$4,"",IF(AND($D84=AK$4,$D85&gt;AK$4),$F84,AK84))</f>
        <v/>
      </c>
      <c r="AL85" s="6" t="str">
        <f>IF($D85&lt;=AL$4,"",IF(AND($D84=AL$4,$D85&gt;AL$4),$F84,AL84))</f>
        <v/>
      </c>
      <c r="AM85" s="6" t="str">
        <f>IF($D85&lt;=AM$4,"",IF(AND($D84=AM$4,$D85&gt;AM$4),$F84,AM84))</f>
        <v/>
      </c>
      <c r="AN85" s="6" t="str">
        <f>IF($D85&lt;=AN$4,"",IF(AND($D84=AN$4,$D85&gt;AN$4),$F84,AN84))</f>
        <v/>
      </c>
      <c r="AO85" s="6" t="str">
        <f>CONCATENATE(AG85," | ",AH85," | ",AI85," | ",AJ85," | ",AK85," | ",AL85," | ",AM85," | ",AN85)</f>
        <v xml:space="preserve">90MB1BJ0-C1BAY0 | 59MB1BJB-MB0A02S |  |  |  |  |  | </v>
      </c>
      <c r="AP85" s="6">
        <f>IF(TRIM(H85)="",100,J85)</f>
        <v>100</v>
      </c>
      <c r="AQ85" s="4"/>
      <c r="AR85" s="6" t="b">
        <f>NOT(TRIM(W85)&lt;&gt;"F")</f>
        <v>1</v>
      </c>
      <c r="AS85" s="6" t="str">
        <f>$B85&amp;" | "&amp;$AO85&amp;" | "&amp;IF(TRIM(H85)="","uniq"&amp;ROW(),TRIM(H85))</f>
        <v>461E | 90MB1BJ0-C1BAY0 | 59MB1BJB-MB0A02S |  |  |  |  |  |  | uniq85</v>
      </c>
      <c r="AT85" s="63">
        <f>IF(NOT(AR85),IF(TRIM($H85)="","Assembly","Phantom Alt"),VLOOKUP(F85,ZPCS04!B:G,6,0))</f>
        <v>30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1.9999999900000001</v>
      </c>
      <c r="AX85" s="7"/>
      <c r="AY85" s="6" t="b">
        <f>SUMIF(AS:AS,AS85,AP:AP)=100</f>
        <v>1</v>
      </c>
      <c r="AZ85" s="6" t="b">
        <f>SUMIF(AS:AS,AS85,AE:AE)/COUNTIF(AS:AS,AS85)=AE85</f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>C85&amp;" | "&amp;F85</f>
        <v>90MB1BJ0-C1BAY0 | 06018-03040100</v>
      </c>
      <c r="BE85" s="55" t="str">
        <f ca="1">C85&amp;" | "&amp;OFFSET($AF85,0,8-COUNTBLANK($AG85:$AN85))</f>
        <v>90MB1BJ0-C1BAY0 | 59MB1BJB-MB0A02S</v>
      </c>
      <c r="BF85" s="57">
        <f ca="1">IFERROR(VLOOKUP($BE85,$BD$5:$BF84,3,0)*$AE85,VLOOKUP($C85,Demanda!$A:$B,2,0)*$AE85)*IF(AT85="Phantom Alt",$BC85,TRUE)</f>
        <v>1000</v>
      </c>
      <c r="BG85" s="57">
        <f ca="1">BF85*(AP85/100)</f>
        <v>1000</v>
      </c>
      <c r="BH85" s="57">
        <f>SUMIF(Invoice!A:A,F85,Invoice!B:B)</f>
        <v>1000</v>
      </c>
      <c r="BI85" s="57">
        <f ca="1">SUMIF(AS:AS,AS85,BG:BG)</f>
        <v>1000</v>
      </c>
      <c r="BJ85" s="57">
        <f ca="1">MIN((BI85-SUMIF($AS$5:AS84,AS85,$BJ$5:BJ84)),MAX(0,BH85-SUMIF($F$5:F84,F85,$BJ$5:BJ84)))</f>
        <v>1000</v>
      </c>
      <c r="BK85" s="57">
        <f ca="1">(-SUMIF(AS:AS,AS85,BG:BG)+SUMIF(AS:AS,AS85,BJ:BJ))*(AP85=100)*AR85</f>
        <v>0</v>
      </c>
      <c r="BL85" s="57">
        <f ca="1">MAX(0,SUMIF(Invoice!A:A,F85,Invoice!B:B)-SUMIF(F:F,F85,BJ:BJ))*(COUNTIF(F:F,F85)=COUNTIF($F$5:F85,F85))</f>
        <v>0</v>
      </c>
    </row>
    <row r="86" spans="1:64" hidden="1">
      <c r="A86" s="43">
        <v>86</v>
      </c>
      <c r="B86" s="35" t="s">
        <v>147</v>
      </c>
      <c r="C86" s="35" t="s">
        <v>146</v>
      </c>
      <c r="D86" s="35">
        <v>2</v>
      </c>
      <c r="E86" s="35">
        <v>150</v>
      </c>
      <c r="F86" s="64" t="s">
        <v>335</v>
      </c>
      <c r="G86" s="73" t="s">
        <v>336</v>
      </c>
      <c r="H86" s="35"/>
      <c r="I86" s="35" t="s">
        <v>54</v>
      </c>
      <c r="J86" s="35">
        <v>0</v>
      </c>
      <c r="K86" s="35" t="s">
        <v>150</v>
      </c>
      <c r="L86" s="35" t="s">
        <v>53</v>
      </c>
      <c r="M86" s="35">
        <v>2</v>
      </c>
      <c r="N86" s="35">
        <v>2</v>
      </c>
      <c r="O86" s="35">
        <v>1</v>
      </c>
      <c r="P86" s="35"/>
      <c r="Q86" s="35"/>
      <c r="R86" s="35" t="s">
        <v>73</v>
      </c>
      <c r="S86" s="35" t="s">
        <v>73</v>
      </c>
      <c r="T86" s="36">
        <v>44901</v>
      </c>
      <c r="U86" s="36">
        <v>2958465</v>
      </c>
      <c r="V86" s="35" t="s">
        <v>282</v>
      </c>
      <c r="W86" s="35" t="s">
        <v>145</v>
      </c>
      <c r="X86" s="35"/>
      <c r="Y86" s="35" t="s">
        <v>143</v>
      </c>
      <c r="Z86" s="35">
        <v>7589154</v>
      </c>
      <c r="AA86" s="35">
        <v>60</v>
      </c>
      <c r="AB86" s="35">
        <v>30</v>
      </c>
      <c r="AC86" s="35"/>
      <c r="AE86" s="51">
        <f>M86/O86</f>
        <v>2</v>
      </c>
      <c r="AG86" s="6" t="str">
        <f>C86</f>
        <v>90MB1BJ0-C1BAY0</v>
      </c>
      <c r="AH86" s="6" t="str">
        <f>IF($D86&lt;=AH$4,"",IF(AND($D85=AH$4,$D86&gt;AH$4),$F85,AH85))</f>
        <v>59MB1BJB-MB0A02S</v>
      </c>
      <c r="AI86" s="6" t="str">
        <f>IF($D86&lt;=AI$4,"",IF(AND($D85=AI$4,$D86&gt;AI$4),$F85,AI85))</f>
        <v/>
      </c>
      <c r="AJ86" s="6" t="str">
        <f>IF($D86&lt;=AJ$4,"",IF(AND($D85=AJ$4,$D86&gt;AJ$4),$F85,AJ85))</f>
        <v/>
      </c>
      <c r="AK86" s="6" t="str">
        <f>IF($D86&lt;=AK$4,"",IF(AND($D85=AK$4,$D86&gt;AK$4),$F85,AK85))</f>
        <v/>
      </c>
      <c r="AL86" s="6" t="str">
        <f>IF($D86&lt;=AL$4,"",IF(AND($D85=AL$4,$D86&gt;AL$4),$F85,AL85))</f>
        <v/>
      </c>
      <c r="AM86" s="6" t="str">
        <f>IF($D86&lt;=AM$4,"",IF(AND($D85=AM$4,$D86&gt;AM$4),$F85,AM85))</f>
        <v/>
      </c>
      <c r="AN86" s="6" t="str">
        <f>IF($D86&lt;=AN$4,"",IF(AND($D85=AN$4,$D86&gt;AN$4),$F85,AN85))</f>
        <v/>
      </c>
      <c r="AO86" s="6" t="str">
        <f>CONCATENATE(AG86," | ",AH86," | ",AI86," | ",AJ86," | ",AK86," | ",AL86," | ",AM86," | ",AN86)</f>
        <v xml:space="preserve">90MB1BJ0-C1BAY0 | 59MB1BJB-MB0A02S |  |  |  |  |  | </v>
      </c>
      <c r="AP86" s="6">
        <f>IF(TRIM(H86)="",100,J86)</f>
        <v>100</v>
      </c>
      <c r="AQ86" s="4"/>
      <c r="AR86" s="6" t="b">
        <f>NOT(TRIM(W86)&lt;&gt;"F")</f>
        <v>1</v>
      </c>
      <c r="AS86" s="6" t="str">
        <f>$B86&amp;" | "&amp;$AO86&amp;" | "&amp;IF(TRIM(H86)="","uniq"&amp;ROW(),TRIM(H86))</f>
        <v>461E | 90MB1BJ0-C1BAY0 | 59MB1BJB-MB0A02S |  |  |  |  |  |  | uniq86</v>
      </c>
      <c r="AT86" s="63">
        <f>IF(NOT(AR86),IF(TRIM($H86)="","Assembly","Phantom Alt"),VLOOKUP(F86,ZPCS04!B:G,6,0))</f>
        <v>301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1.9999999800000001</v>
      </c>
      <c r="AX86" s="7"/>
      <c r="AY86" s="6" t="b">
        <f>SUMIF(AS:AS,AS86,AP:AP)=100</f>
        <v>1</v>
      </c>
      <c r="AZ86" s="6" t="b">
        <f>SUMIF(AS:AS,AS86,AE:AE)/COUNTIF(AS:AS,AS86)=AE86</f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>C86&amp;" | "&amp;F86</f>
        <v>90MB1BJ0-C1BAY0 | 06021-00400000</v>
      </c>
      <c r="BE86" s="55" t="str">
        <f ca="1">C86&amp;" | "&amp;OFFSET($AF86,0,8-COUNTBLANK($AG86:$AN86))</f>
        <v>90MB1BJ0-C1BAY0 | 59MB1BJB-MB0A02S</v>
      </c>
      <c r="BF86" s="57">
        <f ca="1">IFERROR(VLOOKUP($BE86,$BD$5:$BF85,3,0)*$AE86,VLOOKUP($C86,Demanda!$A:$B,2,0)*$AE86)*IF(AT86="Phantom Alt",$BC86,TRUE)</f>
        <v>2000</v>
      </c>
      <c r="BG86" s="57">
        <f ca="1">BF86*(AP86/100)</f>
        <v>2000</v>
      </c>
      <c r="BH86" s="57">
        <f>SUMIF(Invoice!A:A,F86,Invoice!B:B)</f>
        <v>2000</v>
      </c>
      <c r="BI86" s="57">
        <f ca="1">SUMIF(AS:AS,AS86,BG:BG)</f>
        <v>2000</v>
      </c>
      <c r="BJ86" s="57">
        <f ca="1">MIN((BI86-SUMIF($AS$5:AS85,AS86,$BJ$5:BJ85)),MAX(0,BH86-SUMIF($F$5:F85,F86,$BJ$5:BJ85)))</f>
        <v>2000</v>
      </c>
      <c r="BK86" s="57">
        <f ca="1">(-SUMIF(AS:AS,AS86,BG:BG)+SUMIF(AS:AS,AS86,BJ:BJ))*(AP86=100)*AR86</f>
        <v>0</v>
      </c>
      <c r="BL86" s="57">
        <f ca="1">MAX(0,SUMIF(Invoice!A:A,F86,Invoice!B:B)-SUMIF(F:F,F86,BJ:BJ))*(COUNTIF(F:F,F86)=COUNTIF($F$5:F86,F86))</f>
        <v>0</v>
      </c>
    </row>
    <row r="87" spans="1:64" hidden="1">
      <c r="A87" s="43">
        <v>87</v>
      </c>
      <c r="B87" s="35" t="s">
        <v>147</v>
      </c>
      <c r="C87" s="35" t="s">
        <v>146</v>
      </c>
      <c r="D87" s="35">
        <v>2</v>
      </c>
      <c r="E87" s="35">
        <v>160</v>
      </c>
      <c r="F87" s="64" t="s">
        <v>337</v>
      </c>
      <c r="G87" s="73" t="s">
        <v>338</v>
      </c>
      <c r="H87" s="35"/>
      <c r="I87" s="35" t="s">
        <v>54</v>
      </c>
      <c r="J87" s="35">
        <v>0</v>
      </c>
      <c r="K87" s="35" t="s">
        <v>150</v>
      </c>
      <c r="L87" s="35" t="s">
        <v>53</v>
      </c>
      <c r="M87" s="35">
        <v>1</v>
      </c>
      <c r="N87" s="35">
        <v>1</v>
      </c>
      <c r="O87" s="35">
        <v>1</v>
      </c>
      <c r="P87" s="35"/>
      <c r="Q87" s="35"/>
      <c r="R87" s="35" t="s">
        <v>73</v>
      </c>
      <c r="S87" s="35" t="s">
        <v>73</v>
      </c>
      <c r="T87" s="36">
        <v>44901</v>
      </c>
      <c r="U87" s="36">
        <v>2958465</v>
      </c>
      <c r="V87" s="35" t="s">
        <v>282</v>
      </c>
      <c r="W87" s="35" t="s">
        <v>145</v>
      </c>
      <c r="X87" s="35"/>
      <c r="Y87" s="35" t="s">
        <v>143</v>
      </c>
      <c r="Z87" s="35">
        <v>7589154</v>
      </c>
      <c r="AA87" s="35">
        <v>62</v>
      </c>
      <c r="AB87" s="35">
        <v>31</v>
      </c>
      <c r="AC87" s="35"/>
      <c r="AE87" s="51">
        <f>M87/O87</f>
        <v>1</v>
      </c>
      <c r="AG87" s="6" t="str">
        <f>C87</f>
        <v>90MB1BJ0-C1BAY0</v>
      </c>
      <c r="AH87" s="6" t="str">
        <f>IF($D87&lt;=AH$4,"",IF(AND($D86=AH$4,$D87&gt;AH$4),$F86,AH86))</f>
        <v>59MB1BJB-MB0A02S</v>
      </c>
      <c r="AI87" s="6" t="str">
        <f>IF($D87&lt;=AI$4,"",IF(AND($D86=AI$4,$D87&gt;AI$4),$F86,AI86))</f>
        <v/>
      </c>
      <c r="AJ87" s="6" t="str">
        <f>IF($D87&lt;=AJ$4,"",IF(AND($D86=AJ$4,$D87&gt;AJ$4),$F86,AJ86))</f>
        <v/>
      </c>
      <c r="AK87" s="6" t="str">
        <f>IF($D87&lt;=AK$4,"",IF(AND($D86=AK$4,$D87&gt;AK$4),$F86,AK86))</f>
        <v/>
      </c>
      <c r="AL87" s="6" t="str">
        <f>IF($D87&lt;=AL$4,"",IF(AND($D86=AL$4,$D87&gt;AL$4),$F86,AL86))</f>
        <v/>
      </c>
      <c r="AM87" s="6" t="str">
        <f>IF($D87&lt;=AM$4,"",IF(AND($D86=AM$4,$D87&gt;AM$4),$F86,AM86))</f>
        <v/>
      </c>
      <c r="AN87" s="6" t="str">
        <f>IF($D87&lt;=AN$4,"",IF(AND($D86=AN$4,$D87&gt;AN$4),$F86,AN86))</f>
        <v/>
      </c>
      <c r="AO87" s="6" t="str">
        <f>CONCATENATE(AG87," | ",AH87," | ",AI87," | ",AJ87," | ",AK87," | ",AL87," | ",AM87," | ",AN87)</f>
        <v xml:space="preserve">90MB1BJ0-C1BAY0 | 59MB1BJB-MB0A02S |  |  |  |  |  | </v>
      </c>
      <c r="AP87" s="6">
        <f>IF(TRIM(H87)="",100,J87)</f>
        <v>100</v>
      </c>
      <c r="AQ87" s="4"/>
      <c r="AR87" s="6" t="b">
        <f>NOT(TRIM(W87)&lt;&gt;"F")</f>
        <v>1</v>
      </c>
      <c r="AS87" s="6" t="str">
        <f>$B87&amp;" | "&amp;$AO87&amp;" | "&amp;IF(TRIM(H87)="","uniq"&amp;ROW(),TRIM(H87))</f>
        <v>461E | 90MB1BJ0-C1BAY0 | 59MB1BJB-MB0A02S |  |  |  |  |  |  | uniq87</v>
      </c>
      <c r="AT87" s="63">
        <f>IF(NOT(AR87),IF(TRIM($H87)="","Assembly","Phantom Alt"),VLOOKUP(F87,ZPCS04!B:G,6,0))</f>
        <v>31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1.9999999900000001</v>
      </c>
      <c r="AX87" s="7"/>
      <c r="AY87" s="6" t="b">
        <f>SUMIF(AS:AS,AS87,AP:AP)=100</f>
        <v>1</v>
      </c>
      <c r="AZ87" s="6" t="b">
        <f>SUMIF(AS:AS,AS87,AE:AE)/COUNTIF(AS:AS,AS87)=AE87</f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>C87&amp;" | "&amp;F87</f>
        <v>90MB1BJ0-C1BAY0 | 06024-00160000</v>
      </c>
      <c r="BE87" s="55" t="str">
        <f ca="1">C87&amp;" | "&amp;OFFSET($AF87,0,8-COUNTBLANK($AG87:$AN87))</f>
        <v>90MB1BJ0-C1BAY0 | 59MB1BJB-MB0A02S</v>
      </c>
      <c r="BF87" s="57">
        <f ca="1">IFERROR(VLOOKUP($BE87,$BD$5:$BF86,3,0)*$AE87,VLOOKUP($C87,Demanda!$A:$B,2,0)*$AE87)*IF(AT87="Phantom Alt",$BC87,TRUE)</f>
        <v>1000</v>
      </c>
      <c r="BG87" s="57">
        <f ca="1">BF87*(AP87/100)</f>
        <v>1000</v>
      </c>
      <c r="BH87" s="57">
        <f>SUMIF(Invoice!A:A,F87,Invoice!B:B)</f>
        <v>1000</v>
      </c>
      <c r="BI87" s="57">
        <f ca="1">SUMIF(AS:AS,AS87,BG:BG)</f>
        <v>1000</v>
      </c>
      <c r="BJ87" s="57">
        <f ca="1">MIN((BI87-SUMIF($AS$5:AS86,AS87,$BJ$5:BJ86)),MAX(0,BH87-SUMIF($F$5:F86,F87,$BJ$5:BJ86)))</f>
        <v>1000</v>
      </c>
      <c r="BK87" s="57">
        <f ca="1">(-SUMIF(AS:AS,AS87,BG:BG)+SUMIF(AS:AS,AS87,BJ:BJ))*(AP87=100)*AR87</f>
        <v>0</v>
      </c>
      <c r="BL87" s="57">
        <f ca="1">MAX(0,SUMIF(Invoice!A:A,F87,Invoice!B:B)-SUMIF(F:F,F87,BJ:BJ))*(COUNTIF(F:F,F87)=COUNTIF($F$5:F87,F87))</f>
        <v>0</v>
      </c>
    </row>
    <row r="88" spans="1:64" hidden="1">
      <c r="A88" s="43">
        <v>88</v>
      </c>
      <c r="B88" s="35" t="s">
        <v>147</v>
      </c>
      <c r="C88" s="35" t="s">
        <v>146</v>
      </c>
      <c r="D88" s="35">
        <v>2</v>
      </c>
      <c r="E88" s="35">
        <v>170</v>
      </c>
      <c r="F88" s="64" t="s">
        <v>339</v>
      </c>
      <c r="G88" s="73" t="s">
        <v>340</v>
      </c>
      <c r="H88" s="35"/>
      <c r="I88" s="35" t="s">
        <v>54</v>
      </c>
      <c r="J88" s="35">
        <v>0</v>
      </c>
      <c r="K88" s="35" t="s">
        <v>150</v>
      </c>
      <c r="L88" s="35" t="s">
        <v>53</v>
      </c>
      <c r="M88" s="35">
        <v>1</v>
      </c>
      <c r="N88" s="35">
        <v>1</v>
      </c>
      <c r="O88" s="35">
        <v>1</v>
      </c>
      <c r="P88" s="35"/>
      <c r="Q88" s="35"/>
      <c r="R88" s="35" t="s">
        <v>73</v>
      </c>
      <c r="S88" s="35" t="s">
        <v>73</v>
      </c>
      <c r="T88" s="36">
        <v>44901</v>
      </c>
      <c r="U88" s="36">
        <v>2958465</v>
      </c>
      <c r="V88" s="35" t="s">
        <v>282</v>
      </c>
      <c r="W88" s="35" t="s">
        <v>145</v>
      </c>
      <c r="X88" s="35"/>
      <c r="Y88" s="35" t="s">
        <v>143</v>
      </c>
      <c r="Z88" s="35">
        <v>7589154</v>
      </c>
      <c r="AA88" s="35">
        <v>64</v>
      </c>
      <c r="AB88" s="35">
        <v>32</v>
      </c>
      <c r="AC88" s="35"/>
      <c r="AE88" s="51">
        <f>M88/O88</f>
        <v>1</v>
      </c>
      <c r="AG88" s="6" t="str">
        <f>C88</f>
        <v>90MB1BJ0-C1BAY0</v>
      </c>
      <c r="AH88" s="6" t="str">
        <f>IF($D88&lt;=AH$4,"",IF(AND($D87=AH$4,$D88&gt;AH$4),$F87,AH87))</f>
        <v>59MB1BJB-MB0A02S</v>
      </c>
      <c r="AI88" s="6" t="str">
        <f>IF($D88&lt;=AI$4,"",IF(AND($D87=AI$4,$D88&gt;AI$4),$F87,AI87))</f>
        <v/>
      </c>
      <c r="AJ88" s="6" t="str">
        <f>IF($D88&lt;=AJ$4,"",IF(AND($D87=AJ$4,$D88&gt;AJ$4),$F87,AJ87))</f>
        <v/>
      </c>
      <c r="AK88" s="6" t="str">
        <f>IF($D88&lt;=AK$4,"",IF(AND($D87=AK$4,$D88&gt;AK$4),$F87,AK87))</f>
        <v/>
      </c>
      <c r="AL88" s="6" t="str">
        <f>IF($D88&lt;=AL$4,"",IF(AND($D87=AL$4,$D88&gt;AL$4),$F87,AL87))</f>
        <v/>
      </c>
      <c r="AM88" s="6" t="str">
        <f>IF($D88&lt;=AM$4,"",IF(AND($D87=AM$4,$D88&gt;AM$4),$F87,AM87))</f>
        <v/>
      </c>
      <c r="AN88" s="6" t="str">
        <f>IF($D88&lt;=AN$4,"",IF(AND($D87=AN$4,$D88&gt;AN$4),$F87,AN87))</f>
        <v/>
      </c>
      <c r="AO88" s="6" t="str">
        <f>CONCATENATE(AG88," | ",AH88," | ",AI88," | ",AJ88," | ",AK88," | ",AL88," | ",AM88," | ",AN88)</f>
        <v xml:space="preserve">90MB1BJ0-C1BAY0 | 59MB1BJB-MB0A02S |  |  |  |  |  | </v>
      </c>
      <c r="AP88" s="6">
        <f>IF(TRIM(H88)="",100,J88)</f>
        <v>100</v>
      </c>
      <c r="AQ88" s="4"/>
      <c r="AR88" s="6" t="b">
        <f>NOT(TRIM(W88)&lt;&gt;"F")</f>
        <v>1</v>
      </c>
      <c r="AS88" s="6" t="str">
        <f>$B88&amp;" | "&amp;$AO88&amp;" | "&amp;IF(TRIM(H88)="","uniq"&amp;ROW(),TRIM(H88))</f>
        <v>461E | 90MB1BJ0-C1BAY0 | 59MB1BJB-MB0A02S |  |  |  |  |  |  | uniq88</v>
      </c>
      <c r="AT88" s="63">
        <f>IF(NOT(AR88),IF(TRIM($H88)="","Assembly","Phantom Alt"),VLOOKUP(F88,ZPCS04!B:G,6,0))</f>
        <v>32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1.9999999900000001</v>
      </c>
      <c r="AX88" s="7"/>
      <c r="AY88" s="6" t="b">
        <f>SUMIF(AS:AS,AS88,AP:AP)=100</f>
        <v>1</v>
      </c>
      <c r="AZ88" s="6" t="b">
        <f>SUMIF(AS:AS,AS88,AE:AE)/COUNTIF(AS:AS,AS88)=AE88</f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>C88&amp;" | "&amp;F88</f>
        <v>90MB1BJ0-C1BAY0 | 06037-00200300</v>
      </c>
      <c r="BE88" s="55" t="str">
        <f ca="1">C88&amp;" | "&amp;OFFSET($AF88,0,8-COUNTBLANK($AG88:$AN88))</f>
        <v>90MB1BJ0-C1BAY0 | 59MB1BJB-MB0A02S</v>
      </c>
      <c r="BF88" s="57">
        <f ca="1">IFERROR(VLOOKUP($BE88,$BD$5:$BF87,3,0)*$AE88,VLOOKUP($C88,Demanda!$A:$B,2,0)*$AE88)*IF(AT88="Phantom Alt",$BC88,TRUE)</f>
        <v>1000</v>
      </c>
      <c r="BG88" s="57">
        <f ca="1">BF88*(AP88/100)</f>
        <v>1000</v>
      </c>
      <c r="BH88" s="57">
        <f>SUMIF(Invoice!A:A,F88,Invoice!B:B)</f>
        <v>1000</v>
      </c>
      <c r="BI88" s="57">
        <f ca="1">SUMIF(AS:AS,AS88,BG:BG)</f>
        <v>1000</v>
      </c>
      <c r="BJ88" s="57">
        <f ca="1">MIN((BI88-SUMIF($AS$5:AS87,AS88,$BJ$5:BJ87)),MAX(0,BH88-SUMIF($F$5:F87,F88,$BJ$5:BJ87)))</f>
        <v>1000</v>
      </c>
      <c r="BK88" s="57">
        <f ca="1">(-SUMIF(AS:AS,AS88,BG:BG)+SUMIF(AS:AS,AS88,BJ:BJ))*(AP88=100)*AR88</f>
        <v>0</v>
      </c>
      <c r="BL88" s="57">
        <f ca="1">MAX(0,SUMIF(Invoice!A:A,F88,Invoice!B:B)-SUMIF(F:F,F88,BJ:BJ))*(COUNTIF(F:F,F88)=COUNTIF($F$5:F88,F88))</f>
        <v>0</v>
      </c>
    </row>
    <row r="89" spans="1:64" hidden="1">
      <c r="A89" s="43">
        <v>89</v>
      </c>
      <c r="B89" s="35" t="s">
        <v>147</v>
      </c>
      <c r="C89" s="35" t="s">
        <v>146</v>
      </c>
      <c r="D89" s="35">
        <v>2</v>
      </c>
      <c r="E89" s="35">
        <v>180</v>
      </c>
      <c r="F89" s="64" t="s">
        <v>341</v>
      </c>
      <c r="G89" s="73" t="s">
        <v>342</v>
      </c>
      <c r="H89" s="35"/>
      <c r="I89" s="35" t="s">
        <v>54</v>
      </c>
      <c r="J89" s="35">
        <v>0</v>
      </c>
      <c r="K89" s="35" t="s">
        <v>314</v>
      </c>
      <c r="L89" s="35" t="s">
        <v>53</v>
      </c>
      <c r="M89" s="35">
        <v>1</v>
      </c>
      <c r="N89" s="35">
        <v>1</v>
      </c>
      <c r="O89" s="35">
        <v>1</v>
      </c>
      <c r="P89" s="35"/>
      <c r="Q89" s="35"/>
      <c r="R89" s="35" t="s">
        <v>73</v>
      </c>
      <c r="S89" s="35" t="s">
        <v>73</v>
      </c>
      <c r="T89" s="36">
        <v>44901</v>
      </c>
      <c r="U89" s="36">
        <v>2958465</v>
      </c>
      <c r="V89" s="35" t="s">
        <v>282</v>
      </c>
      <c r="W89" s="35" t="s">
        <v>145</v>
      </c>
      <c r="X89" s="35"/>
      <c r="Y89" s="35" t="s">
        <v>143</v>
      </c>
      <c r="Z89" s="35">
        <v>7589154</v>
      </c>
      <c r="AA89" s="35">
        <v>66</v>
      </c>
      <c r="AB89" s="35">
        <v>33</v>
      </c>
      <c r="AC89" s="35"/>
      <c r="AE89" s="51">
        <f>M89/O89</f>
        <v>1</v>
      </c>
      <c r="AG89" s="6" t="str">
        <f>C89</f>
        <v>90MB1BJ0-C1BAY0</v>
      </c>
      <c r="AH89" s="6" t="str">
        <f>IF($D89&lt;=AH$4,"",IF(AND($D88=AH$4,$D89&gt;AH$4),$F88,AH88))</f>
        <v>59MB1BJB-MB0A02S</v>
      </c>
      <c r="AI89" s="6" t="str">
        <f>IF($D89&lt;=AI$4,"",IF(AND($D88=AI$4,$D89&gt;AI$4),$F88,AI88))</f>
        <v/>
      </c>
      <c r="AJ89" s="6" t="str">
        <f>IF($D89&lt;=AJ$4,"",IF(AND($D88=AJ$4,$D89&gt;AJ$4),$F88,AJ88))</f>
        <v/>
      </c>
      <c r="AK89" s="6" t="str">
        <f>IF($D89&lt;=AK$4,"",IF(AND($D88=AK$4,$D89&gt;AK$4),$F88,AK88))</f>
        <v/>
      </c>
      <c r="AL89" s="6" t="str">
        <f>IF($D89&lt;=AL$4,"",IF(AND($D88=AL$4,$D89&gt;AL$4),$F88,AL88))</f>
        <v/>
      </c>
      <c r="AM89" s="6" t="str">
        <f>IF($D89&lt;=AM$4,"",IF(AND($D88=AM$4,$D89&gt;AM$4),$F88,AM88))</f>
        <v/>
      </c>
      <c r="AN89" s="6" t="str">
        <f>IF($D89&lt;=AN$4,"",IF(AND($D88=AN$4,$D89&gt;AN$4),$F88,AN88))</f>
        <v/>
      </c>
      <c r="AO89" s="6" t="str">
        <f>CONCATENATE(AG89," | ",AH89," | ",AI89," | ",AJ89," | ",AK89," | ",AL89," | ",AM89," | ",AN89)</f>
        <v xml:space="preserve">90MB1BJ0-C1BAY0 | 59MB1BJB-MB0A02S |  |  |  |  |  | </v>
      </c>
      <c r="AP89" s="6">
        <f>IF(TRIM(H89)="",100,J89)</f>
        <v>100</v>
      </c>
      <c r="AQ89" s="4"/>
      <c r="AR89" s="6" t="b">
        <f>NOT(TRIM(W89)&lt;&gt;"F")</f>
        <v>1</v>
      </c>
      <c r="AS89" s="6" t="str">
        <f>$B89&amp;" | "&amp;$AO89&amp;" | "&amp;IF(TRIM(H89)="","uniq"&amp;ROW(),TRIM(H89))</f>
        <v>461E | 90MB1BJ0-C1BAY0 | 59MB1BJB-MB0A02S |  |  |  |  |  |  | uniq89</v>
      </c>
      <c r="AT89" s="63">
        <f>IF(NOT(AR89),IF(TRIM($H89)="","Assembly","Phantom Alt"),VLOOKUP(F89,ZPCS04!B:G,6,0))</f>
        <v>34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1.9999999900000001</v>
      </c>
      <c r="AX89" s="7"/>
      <c r="AY89" s="6" t="b">
        <f>SUMIF(AS:AS,AS89,AP:AP)=100</f>
        <v>1</v>
      </c>
      <c r="AZ89" s="6" t="b">
        <f>SUMIF(AS:AS,AS89,AE:AE)/COUNTIF(AS:AS,AS89)=AE89</f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>C89&amp;" | "&amp;F89</f>
        <v>90MB1BJ0-C1BAY0 | 06050-00280000</v>
      </c>
      <c r="BE89" s="55" t="str">
        <f ca="1">C89&amp;" | "&amp;OFFSET($AF89,0,8-COUNTBLANK($AG89:$AN89))</f>
        <v>90MB1BJ0-C1BAY0 | 59MB1BJB-MB0A02S</v>
      </c>
      <c r="BF89" s="57">
        <f ca="1">IFERROR(VLOOKUP($BE89,$BD$5:$BF88,3,0)*$AE89,VLOOKUP($C89,Demanda!$A:$B,2,0)*$AE89)*IF(AT89="Phantom Alt",$BC89,TRUE)</f>
        <v>1000</v>
      </c>
      <c r="BG89" s="57">
        <f ca="1">BF89*(AP89/100)</f>
        <v>1000</v>
      </c>
      <c r="BH89" s="57">
        <f>SUMIF(Invoice!A:A,F89,Invoice!B:B)</f>
        <v>1000</v>
      </c>
      <c r="BI89" s="57">
        <f ca="1">SUMIF(AS:AS,AS89,BG:BG)</f>
        <v>1000</v>
      </c>
      <c r="BJ89" s="57">
        <f ca="1">MIN((BI89-SUMIF($AS$5:AS88,AS89,$BJ$5:BJ88)),MAX(0,BH89-SUMIF($F$5:F88,F89,$BJ$5:BJ88)))</f>
        <v>1000</v>
      </c>
      <c r="BK89" s="57">
        <f ca="1">(-SUMIF(AS:AS,AS89,BG:BG)+SUMIF(AS:AS,AS89,BJ:BJ))*(AP89=100)*AR89</f>
        <v>0</v>
      </c>
      <c r="BL89" s="57">
        <f ca="1">MAX(0,SUMIF(Invoice!A:A,F89,Invoice!B:B)-SUMIF(F:F,F89,BJ:BJ))*(COUNTIF(F:F,F89)=COUNTIF($F$5:F89,F89))</f>
        <v>0</v>
      </c>
    </row>
    <row r="90" spans="1:64" hidden="1">
      <c r="A90" s="43">
        <v>90</v>
      </c>
      <c r="B90" s="35" t="s">
        <v>147</v>
      </c>
      <c r="C90" s="35" t="s">
        <v>146</v>
      </c>
      <c r="D90" s="35">
        <v>2</v>
      </c>
      <c r="E90" s="35">
        <v>190</v>
      </c>
      <c r="F90" s="64" t="s">
        <v>343</v>
      </c>
      <c r="G90" s="73" t="s">
        <v>344</v>
      </c>
      <c r="H90" s="35"/>
      <c r="I90" s="35" t="s">
        <v>54</v>
      </c>
      <c r="J90" s="35">
        <v>0</v>
      </c>
      <c r="K90" s="35" t="s">
        <v>150</v>
      </c>
      <c r="L90" s="35" t="s">
        <v>53</v>
      </c>
      <c r="M90" s="35">
        <v>1</v>
      </c>
      <c r="N90" s="35">
        <v>1</v>
      </c>
      <c r="O90" s="35">
        <v>1</v>
      </c>
      <c r="P90" s="35"/>
      <c r="Q90" s="35"/>
      <c r="R90" s="35" t="s">
        <v>73</v>
      </c>
      <c r="S90" s="35" t="s">
        <v>73</v>
      </c>
      <c r="T90" s="36">
        <v>44901</v>
      </c>
      <c r="U90" s="36">
        <v>2958465</v>
      </c>
      <c r="V90" s="35" t="s">
        <v>282</v>
      </c>
      <c r="W90" s="35" t="s">
        <v>145</v>
      </c>
      <c r="X90" s="35"/>
      <c r="Y90" s="35" t="s">
        <v>143</v>
      </c>
      <c r="Z90" s="35">
        <v>7589154</v>
      </c>
      <c r="AA90" s="35">
        <v>68</v>
      </c>
      <c r="AB90" s="35">
        <v>34</v>
      </c>
      <c r="AC90" s="35"/>
      <c r="AE90" s="51">
        <f>M90/O90</f>
        <v>1</v>
      </c>
      <c r="AG90" s="6" t="str">
        <f>C90</f>
        <v>90MB1BJ0-C1BAY0</v>
      </c>
      <c r="AH90" s="6" t="str">
        <f>IF($D90&lt;=AH$4,"",IF(AND($D89=AH$4,$D90&gt;AH$4),$F89,AH89))</f>
        <v>59MB1BJB-MB0A02S</v>
      </c>
      <c r="AI90" s="6" t="str">
        <f>IF($D90&lt;=AI$4,"",IF(AND($D89=AI$4,$D90&gt;AI$4),$F89,AI89))</f>
        <v/>
      </c>
      <c r="AJ90" s="6" t="str">
        <f>IF($D90&lt;=AJ$4,"",IF(AND($D89=AJ$4,$D90&gt;AJ$4),$F89,AJ89))</f>
        <v/>
      </c>
      <c r="AK90" s="6" t="str">
        <f>IF($D90&lt;=AK$4,"",IF(AND($D89=AK$4,$D90&gt;AK$4),$F89,AK89))</f>
        <v/>
      </c>
      <c r="AL90" s="6" t="str">
        <f>IF($D90&lt;=AL$4,"",IF(AND($D89=AL$4,$D90&gt;AL$4),$F89,AL89))</f>
        <v/>
      </c>
      <c r="AM90" s="6" t="str">
        <f>IF($D90&lt;=AM$4,"",IF(AND($D89=AM$4,$D90&gt;AM$4),$F89,AM89))</f>
        <v/>
      </c>
      <c r="AN90" s="6" t="str">
        <f>IF($D90&lt;=AN$4,"",IF(AND($D89=AN$4,$D90&gt;AN$4),$F89,AN89))</f>
        <v/>
      </c>
      <c r="AO90" s="6" t="str">
        <f>CONCATENATE(AG90," | ",AH90," | ",AI90," | ",AJ90," | ",AK90," | ",AL90," | ",AM90," | ",AN90)</f>
        <v xml:space="preserve">90MB1BJ0-C1BAY0 | 59MB1BJB-MB0A02S |  |  |  |  |  | </v>
      </c>
      <c r="AP90" s="6">
        <f>IF(TRIM(H90)="",100,J90)</f>
        <v>100</v>
      </c>
      <c r="AQ90" s="4"/>
      <c r="AR90" s="6" t="b">
        <f>NOT(TRIM(W90)&lt;&gt;"F")</f>
        <v>1</v>
      </c>
      <c r="AS90" s="6" t="str">
        <f>$B90&amp;" | "&amp;$AO90&amp;" | "&amp;IF(TRIM(H90)="","uniq"&amp;ROW(),TRIM(H90))</f>
        <v>461E | 90MB1BJ0-C1BAY0 | 59MB1BJB-MB0A02S |  |  |  |  |  |  | uniq90</v>
      </c>
      <c r="AT90" s="63">
        <f>IF(NOT(AR90),IF(TRIM($H90)="","Assembly","Phantom Alt"),VLOOKUP(F90,ZPCS04!B:G,6,0))</f>
        <v>36</v>
      </c>
      <c r="AU90" s="7"/>
      <c r="AV90" s="38">
        <f ca="1">IF(TRIM($W90)="F",OFFSET($A$5,MATCH($AS90,$AS$5:$AS90,0)-1,0),$A90)</f>
        <v>90</v>
      </c>
      <c r="AW90" s="38">
        <f ca="1">IFERROR(OFFSET(ZPCS04!$A$1,MATCH(F90,ZPCS04!B:B,0)-1,0),100)</f>
        <v>1.9999999900000001</v>
      </c>
      <c r="AX90" s="7"/>
      <c r="AY90" s="6" t="b">
        <f>SUMIF(AS:AS,AS90,AP:AP)=100</f>
        <v>1</v>
      </c>
      <c r="AZ90" s="6" t="b">
        <f>SUMIF(AS:AS,AS90,AE:AE)/COUNTIF(AS:AS,AS90)=AE90</f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>C90&amp;" | "&amp;F90</f>
        <v>90MB1BJ0-C1BAY0 | 06050-00400000</v>
      </c>
      <c r="BE90" s="55" t="str">
        <f ca="1">C90&amp;" | "&amp;OFFSET($AF90,0,8-COUNTBLANK($AG90:$AN90))</f>
        <v>90MB1BJ0-C1BAY0 | 59MB1BJB-MB0A02S</v>
      </c>
      <c r="BF90" s="57">
        <f ca="1">IFERROR(VLOOKUP($BE90,$BD$5:$BF89,3,0)*$AE90,VLOOKUP($C90,Demanda!$A:$B,2,0)*$AE90)*IF(AT90="Phantom Alt",$BC90,TRUE)</f>
        <v>1000</v>
      </c>
      <c r="BG90" s="57">
        <f ca="1">BF90*(AP90/100)</f>
        <v>1000</v>
      </c>
      <c r="BH90" s="57">
        <f>SUMIF(Invoice!A:A,F90,Invoice!B:B)</f>
        <v>1000</v>
      </c>
      <c r="BI90" s="57">
        <f ca="1">SUMIF(AS:AS,AS90,BG:BG)</f>
        <v>1000</v>
      </c>
      <c r="BJ90" s="57">
        <f ca="1">MIN((BI90-SUMIF($AS$5:AS89,AS90,$BJ$5:BJ89)),MAX(0,BH90-SUMIF($F$5:F89,F90,$BJ$5:BJ89)))</f>
        <v>1000</v>
      </c>
      <c r="BK90" s="57">
        <f ca="1">(-SUMIF(AS:AS,AS90,BG:BG)+SUMIF(AS:AS,AS90,BJ:BJ))*(AP90=100)*AR90</f>
        <v>0</v>
      </c>
      <c r="BL90" s="57">
        <f ca="1">MAX(0,SUMIF(Invoice!A:A,F90,Invoice!B:B)-SUMIF(F:F,F90,BJ:BJ))*(COUNTIF(F:F,F90)=COUNTIF($F$5:F90,F90))</f>
        <v>0</v>
      </c>
    </row>
    <row r="91" spans="1:64" hidden="1">
      <c r="A91" s="43">
        <v>91</v>
      </c>
      <c r="B91" s="35" t="s">
        <v>147</v>
      </c>
      <c r="C91" s="35" t="s">
        <v>146</v>
      </c>
      <c r="D91" s="35">
        <v>2</v>
      </c>
      <c r="E91" s="35">
        <v>200</v>
      </c>
      <c r="F91" s="64" t="s">
        <v>345</v>
      </c>
      <c r="G91" s="73" t="s">
        <v>346</v>
      </c>
      <c r="H91" s="35"/>
      <c r="I91" s="35" t="s">
        <v>54</v>
      </c>
      <c r="J91" s="35">
        <v>0</v>
      </c>
      <c r="K91" s="35" t="s">
        <v>150</v>
      </c>
      <c r="L91" s="35" t="s">
        <v>53</v>
      </c>
      <c r="M91" s="35">
        <v>8</v>
      </c>
      <c r="N91" s="35">
        <v>8</v>
      </c>
      <c r="O91" s="35">
        <v>1</v>
      </c>
      <c r="P91" s="35"/>
      <c r="Q91" s="35"/>
      <c r="R91" s="35" t="s">
        <v>73</v>
      </c>
      <c r="S91" s="35" t="s">
        <v>73</v>
      </c>
      <c r="T91" s="36">
        <v>44901</v>
      </c>
      <c r="U91" s="36">
        <v>2958465</v>
      </c>
      <c r="V91" s="35" t="s">
        <v>282</v>
      </c>
      <c r="W91" s="35" t="s">
        <v>145</v>
      </c>
      <c r="X91" s="35"/>
      <c r="Y91" s="35" t="s">
        <v>143</v>
      </c>
      <c r="Z91" s="35">
        <v>7589154</v>
      </c>
      <c r="AA91" s="35">
        <v>70</v>
      </c>
      <c r="AB91" s="35">
        <v>35</v>
      </c>
      <c r="AC91" s="35"/>
      <c r="AE91" s="51">
        <f>M91/O91</f>
        <v>8</v>
      </c>
      <c r="AG91" s="6" t="str">
        <f>C91</f>
        <v>90MB1BJ0-C1BAY0</v>
      </c>
      <c r="AH91" s="6" t="str">
        <f>IF($D91&lt;=AH$4,"",IF(AND($D90=AH$4,$D91&gt;AH$4),$F90,AH90))</f>
        <v>59MB1BJB-MB0A02S</v>
      </c>
      <c r="AI91" s="6" t="str">
        <f>IF($D91&lt;=AI$4,"",IF(AND($D90=AI$4,$D91&gt;AI$4),$F90,AI90))</f>
        <v/>
      </c>
      <c r="AJ91" s="6" t="str">
        <f>IF($D91&lt;=AJ$4,"",IF(AND($D90=AJ$4,$D91&gt;AJ$4),$F90,AJ90))</f>
        <v/>
      </c>
      <c r="AK91" s="6" t="str">
        <f>IF($D91&lt;=AK$4,"",IF(AND($D90=AK$4,$D91&gt;AK$4),$F90,AK90))</f>
        <v/>
      </c>
      <c r="AL91" s="6" t="str">
        <f>IF($D91&lt;=AL$4,"",IF(AND($D90=AL$4,$D91&gt;AL$4),$F90,AL90))</f>
        <v/>
      </c>
      <c r="AM91" s="6" t="str">
        <f>IF($D91&lt;=AM$4,"",IF(AND($D90=AM$4,$D91&gt;AM$4),$F90,AM90))</f>
        <v/>
      </c>
      <c r="AN91" s="6" t="str">
        <f>IF($D91&lt;=AN$4,"",IF(AND($D90=AN$4,$D91&gt;AN$4),$F90,AN90))</f>
        <v/>
      </c>
      <c r="AO91" s="6" t="str">
        <f>CONCATENATE(AG91," | ",AH91," | ",AI91," | ",AJ91," | ",AK91," | ",AL91," | ",AM91," | ",AN91)</f>
        <v xml:space="preserve">90MB1BJ0-C1BAY0 | 59MB1BJB-MB0A02S |  |  |  |  |  | </v>
      </c>
      <c r="AP91" s="6">
        <f>IF(TRIM(H91)="",100,J91)</f>
        <v>100</v>
      </c>
      <c r="AQ91" s="4"/>
      <c r="AR91" s="6" t="b">
        <f>NOT(TRIM(W91)&lt;&gt;"F")</f>
        <v>1</v>
      </c>
      <c r="AS91" s="6" t="str">
        <f>$B91&amp;" | "&amp;$AO91&amp;" | "&amp;IF(TRIM(H91)="","uniq"&amp;ROW(),TRIM(H91))</f>
        <v>461E | 90MB1BJ0-C1BAY0 | 59MB1BJB-MB0A02S |  |  |  |  |  |  | uniq91</v>
      </c>
      <c r="AT91" s="63">
        <f>IF(NOT(AR91),IF(TRIM($H91)="","Assembly","Phantom Alt"),VLOOKUP(F91,ZPCS04!B:G,6,0))</f>
        <v>41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1.99999992</v>
      </c>
      <c r="AX91" s="7"/>
      <c r="AY91" s="6" t="b">
        <f>SUMIF(AS:AS,AS91,AP:AP)=100</f>
        <v>1</v>
      </c>
      <c r="AZ91" s="6" t="b">
        <f>SUMIF(AS:AS,AS91,AE:AE)/COUNTIF(AS:AS,AS91)=AE91</f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>C91&amp;" | "&amp;F91</f>
        <v>90MB1BJ0-C1BAY0 | 06053-00900000</v>
      </c>
      <c r="BE91" s="55" t="str">
        <f ca="1">C91&amp;" | "&amp;OFFSET($AF91,0,8-COUNTBLANK($AG91:$AN91))</f>
        <v>90MB1BJ0-C1BAY0 | 59MB1BJB-MB0A02S</v>
      </c>
      <c r="BF91" s="57">
        <f ca="1">IFERROR(VLOOKUP($BE91,$BD$5:$BF90,3,0)*$AE91,VLOOKUP($C91,Demanda!$A:$B,2,0)*$AE91)*IF(AT91="Phantom Alt",$BC91,TRUE)</f>
        <v>8000</v>
      </c>
      <c r="BG91" s="57">
        <f ca="1">BF91*(AP91/100)</f>
        <v>8000</v>
      </c>
      <c r="BH91" s="57">
        <f>SUMIF(Invoice!A:A,F91,Invoice!B:B)</f>
        <v>8000</v>
      </c>
      <c r="BI91" s="57">
        <f ca="1">SUMIF(AS:AS,AS91,BG:BG)</f>
        <v>8000</v>
      </c>
      <c r="BJ91" s="57">
        <f ca="1">MIN((BI91-SUMIF($AS$5:AS90,AS91,$BJ$5:BJ90)),MAX(0,BH91-SUMIF($F$5:F90,F91,$BJ$5:BJ90)))</f>
        <v>8000</v>
      </c>
      <c r="BK91" s="57">
        <f ca="1">(-SUMIF(AS:AS,AS91,BG:BG)+SUMIF(AS:AS,AS91,BJ:BJ))*(AP91=100)*AR91</f>
        <v>0</v>
      </c>
      <c r="BL91" s="57">
        <f ca="1">MAX(0,SUMIF(Invoice!A:A,F91,Invoice!B:B)-SUMIF(F:F,F91,BJ:BJ))*(COUNTIF(F:F,F91)=COUNTIF($F$5:F91,F91))</f>
        <v>0</v>
      </c>
    </row>
    <row r="92" spans="1:64" hidden="1">
      <c r="A92" s="43">
        <v>92</v>
      </c>
      <c r="B92" s="35" t="s">
        <v>147</v>
      </c>
      <c r="C92" s="35" t="s">
        <v>146</v>
      </c>
      <c r="D92" s="35">
        <v>2</v>
      </c>
      <c r="E92" s="35">
        <v>210</v>
      </c>
      <c r="F92" s="64" t="s">
        <v>347</v>
      </c>
      <c r="G92" s="73" t="s">
        <v>348</v>
      </c>
      <c r="H92" s="35"/>
      <c r="I92" s="35" t="s">
        <v>54</v>
      </c>
      <c r="J92" s="35">
        <v>0</v>
      </c>
      <c r="K92" s="35" t="s">
        <v>150</v>
      </c>
      <c r="L92" s="35" t="s">
        <v>53</v>
      </c>
      <c r="M92" s="35">
        <v>1</v>
      </c>
      <c r="N92" s="35">
        <v>1</v>
      </c>
      <c r="O92" s="35">
        <v>1</v>
      </c>
      <c r="P92" s="35"/>
      <c r="Q92" s="35"/>
      <c r="R92" s="35" t="s">
        <v>73</v>
      </c>
      <c r="S92" s="35" t="s">
        <v>73</v>
      </c>
      <c r="T92" s="36">
        <v>44901</v>
      </c>
      <c r="U92" s="36">
        <v>2958465</v>
      </c>
      <c r="V92" s="35" t="s">
        <v>282</v>
      </c>
      <c r="W92" s="35" t="s">
        <v>145</v>
      </c>
      <c r="X92" s="35"/>
      <c r="Y92" s="35" t="s">
        <v>143</v>
      </c>
      <c r="Z92" s="35">
        <v>7589154</v>
      </c>
      <c r="AA92" s="35">
        <v>72</v>
      </c>
      <c r="AB92" s="35">
        <v>36</v>
      </c>
      <c r="AC92" s="35"/>
      <c r="AE92" s="51">
        <f>M92/O92</f>
        <v>1</v>
      </c>
      <c r="AG92" s="6" t="str">
        <f>C92</f>
        <v>90MB1BJ0-C1BAY0</v>
      </c>
      <c r="AH92" s="6" t="str">
        <f>IF($D92&lt;=AH$4,"",IF(AND($D91=AH$4,$D92&gt;AH$4),$F91,AH91))</f>
        <v>59MB1BJB-MB0A02S</v>
      </c>
      <c r="AI92" s="6" t="str">
        <f>IF($D92&lt;=AI$4,"",IF(AND($D91=AI$4,$D92&gt;AI$4),$F91,AI91))</f>
        <v/>
      </c>
      <c r="AJ92" s="6" t="str">
        <f>IF($D92&lt;=AJ$4,"",IF(AND($D91=AJ$4,$D92&gt;AJ$4),$F91,AJ91))</f>
        <v/>
      </c>
      <c r="AK92" s="6" t="str">
        <f>IF($D92&lt;=AK$4,"",IF(AND($D91=AK$4,$D92&gt;AK$4),$F91,AK91))</f>
        <v/>
      </c>
      <c r="AL92" s="6" t="str">
        <f>IF($D92&lt;=AL$4,"",IF(AND($D91=AL$4,$D92&gt;AL$4),$F91,AL91))</f>
        <v/>
      </c>
      <c r="AM92" s="6" t="str">
        <f>IF($D92&lt;=AM$4,"",IF(AND($D91=AM$4,$D92&gt;AM$4),$F91,AM91))</f>
        <v/>
      </c>
      <c r="AN92" s="6" t="str">
        <f>IF($D92&lt;=AN$4,"",IF(AND($D91=AN$4,$D92&gt;AN$4),$F91,AN91))</f>
        <v/>
      </c>
      <c r="AO92" s="6" t="str">
        <f>CONCATENATE(AG92," | ",AH92," | ",AI92," | ",AJ92," | ",AK92," | ",AL92," | ",AM92," | ",AN92)</f>
        <v xml:space="preserve">90MB1BJ0-C1BAY0 | 59MB1BJB-MB0A02S |  |  |  |  |  | </v>
      </c>
      <c r="AP92" s="6">
        <f>IF(TRIM(H92)="",100,J92)</f>
        <v>100</v>
      </c>
      <c r="AQ92" s="4"/>
      <c r="AR92" s="6" t="b">
        <f>NOT(TRIM(W92)&lt;&gt;"F")</f>
        <v>1</v>
      </c>
      <c r="AS92" s="6" t="str">
        <f>$B92&amp;" | "&amp;$AO92&amp;" | "&amp;IF(TRIM(H92)="","uniq"&amp;ROW(),TRIM(H92))</f>
        <v>461E | 90MB1BJ0-C1BAY0 | 59MB1BJB-MB0A02S |  |  |  |  |  |  | uniq92</v>
      </c>
      <c r="AT92" s="63">
        <f>IF(NOT(AR92),IF(TRIM($H92)="","Assembly","Phantom Alt"),VLOOKUP(F92,ZPCS04!B:G,6,0))</f>
        <v>42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1.9999999900000001</v>
      </c>
      <c r="AX92" s="7"/>
      <c r="AY92" s="6" t="b">
        <f>SUMIF(AS:AS,AS92,AP:AP)=100</f>
        <v>1</v>
      </c>
      <c r="AZ92" s="6" t="b">
        <f>SUMIF(AS:AS,AS92,AE:AE)/COUNTIF(AS:AS,AS92)=AE92</f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>C92&amp;" | "&amp;F92</f>
        <v>90MB1BJ0-C1BAY0 | 06053-01090100</v>
      </c>
      <c r="BE92" s="55" t="str">
        <f ca="1">C92&amp;" | "&amp;OFFSET($AF92,0,8-COUNTBLANK($AG92:$AN92))</f>
        <v>90MB1BJ0-C1BAY0 | 59MB1BJB-MB0A02S</v>
      </c>
      <c r="BF92" s="57">
        <f ca="1">IFERROR(VLOOKUP($BE92,$BD$5:$BF91,3,0)*$AE92,VLOOKUP($C92,Demanda!$A:$B,2,0)*$AE92)*IF(AT92="Phantom Alt",$BC92,TRUE)</f>
        <v>1000</v>
      </c>
      <c r="BG92" s="57">
        <f ca="1">BF92*(AP92/100)</f>
        <v>1000</v>
      </c>
      <c r="BH92" s="57">
        <f>SUMIF(Invoice!A:A,F92,Invoice!B:B)</f>
        <v>1000</v>
      </c>
      <c r="BI92" s="57">
        <f ca="1">SUMIF(AS:AS,AS92,BG:BG)</f>
        <v>1000</v>
      </c>
      <c r="BJ92" s="57">
        <f ca="1">MIN((BI92-SUMIF($AS$5:AS91,AS92,$BJ$5:BJ91)),MAX(0,BH92-SUMIF($F$5:F91,F92,$BJ$5:BJ91)))</f>
        <v>1000</v>
      </c>
      <c r="BK92" s="57">
        <f ca="1">(-SUMIF(AS:AS,AS92,BG:BG)+SUMIF(AS:AS,AS92,BJ:BJ))*(AP92=100)*AR92</f>
        <v>0</v>
      </c>
      <c r="BL92" s="57">
        <f ca="1">MAX(0,SUMIF(Invoice!A:A,F92,Invoice!B:B)-SUMIF(F:F,F92,BJ:BJ))*(COUNTIF(F:F,F92)=COUNTIF($F$5:F92,F92))</f>
        <v>0</v>
      </c>
    </row>
    <row r="93" spans="1:64" hidden="1">
      <c r="A93" s="43">
        <v>94</v>
      </c>
      <c r="B93" s="35" t="s">
        <v>147</v>
      </c>
      <c r="C93" s="35" t="s">
        <v>146</v>
      </c>
      <c r="D93" s="35">
        <v>2</v>
      </c>
      <c r="E93" s="35">
        <v>220</v>
      </c>
      <c r="F93" s="64" t="s">
        <v>351</v>
      </c>
      <c r="G93" s="73" t="s">
        <v>352</v>
      </c>
      <c r="H93" s="35">
        <v>22</v>
      </c>
      <c r="I93" s="35" t="s">
        <v>54</v>
      </c>
      <c r="J93" s="35">
        <v>100</v>
      </c>
      <c r="K93" s="35" t="s">
        <v>150</v>
      </c>
      <c r="L93" s="35" t="s">
        <v>53</v>
      </c>
      <c r="M93" s="35">
        <v>1</v>
      </c>
      <c r="N93" s="35">
        <v>1</v>
      </c>
      <c r="O93" s="35">
        <v>1</v>
      </c>
      <c r="P93" s="35">
        <v>2</v>
      </c>
      <c r="Q93" s="35">
        <v>1</v>
      </c>
      <c r="R93" s="35" t="s">
        <v>73</v>
      </c>
      <c r="S93" s="35" t="s">
        <v>73</v>
      </c>
      <c r="T93" s="36">
        <v>44901</v>
      </c>
      <c r="U93" s="36">
        <v>2958465</v>
      </c>
      <c r="V93" s="35" t="s">
        <v>282</v>
      </c>
      <c r="W93" s="35" t="s">
        <v>145</v>
      </c>
      <c r="X93" s="35"/>
      <c r="Y93" s="35" t="s">
        <v>143</v>
      </c>
      <c r="Z93" s="35">
        <v>7589154</v>
      </c>
      <c r="AA93" s="35">
        <v>74</v>
      </c>
      <c r="AB93" s="35">
        <v>37</v>
      </c>
      <c r="AC93" s="35"/>
      <c r="AE93" s="51">
        <f>M93/O93</f>
        <v>1</v>
      </c>
      <c r="AG93" s="6" t="str">
        <f>C93</f>
        <v>90MB1BJ0-C1BAY0</v>
      </c>
      <c r="AH93" s="6" t="str">
        <f>IF($D93&lt;=AH$4,"",IF(AND($D92=AH$4,$D93&gt;AH$4),$F92,AH92))</f>
        <v>59MB1BJB-MB0A02S</v>
      </c>
      <c r="AI93" s="6" t="str">
        <f>IF($D93&lt;=AI$4,"",IF(AND($D92=AI$4,$D93&gt;AI$4),$F92,AI92))</f>
        <v/>
      </c>
      <c r="AJ93" s="6" t="str">
        <f>IF($D93&lt;=AJ$4,"",IF(AND($D92=AJ$4,$D93&gt;AJ$4),$F92,AJ92))</f>
        <v/>
      </c>
      <c r="AK93" s="6" t="str">
        <f>IF($D93&lt;=AK$4,"",IF(AND($D92=AK$4,$D93&gt;AK$4),$F92,AK92))</f>
        <v/>
      </c>
      <c r="AL93" s="6" t="str">
        <f>IF($D93&lt;=AL$4,"",IF(AND($D92=AL$4,$D93&gt;AL$4),$F92,AL92))</f>
        <v/>
      </c>
      <c r="AM93" s="6" t="str">
        <f>IF($D93&lt;=AM$4,"",IF(AND($D92=AM$4,$D93&gt;AM$4),$F92,AM92))</f>
        <v/>
      </c>
      <c r="AN93" s="6" t="str">
        <f>IF($D93&lt;=AN$4,"",IF(AND($D92=AN$4,$D93&gt;AN$4),$F92,AN92))</f>
        <v/>
      </c>
      <c r="AO93" s="6" t="str">
        <f>CONCATENATE(AG93," | ",AH93," | ",AI93," | ",AJ93," | ",AK93," | ",AL93," | ",AM93," | ",AN93)</f>
        <v xml:space="preserve">90MB1BJ0-C1BAY0 | 59MB1BJB-MB0A02S |  |  |  |  |  | </v>
      </c>
      <c r="AP93" s="6">
        <f>IF(TRIM(H93)="",100,J93)</f>
        <v>100</v>
      </c>
      <c r="AQ93" s="4"/>
      <c r="AR93" s="6" t="b">
        <f>NOT(TRIM(W93)&lt;&gt;"F")</f>
        <v>1</v>
      </c>
      <c r="AS93" s="6" t="str">
        <f>$B93&amp;" | "&amp;$AO93&amp;" | "&amp;IF(TRIM(H93)="","uniq"&amp;ROW(),TRIM(H93))</f>
        <v>461E | 90MB1BJ0-C1BAY0 | 59MB1BJB-MB0A02S |  |  |  |  |  |  | 22</v>
      </c>
      <c r="AT93" s="63">
        <f>IF(NOT(AR93),IF(TRIM($H93)="","Assembly","Phantom Alt"),VLOOKUP(F93,ZPCS04!B:G,6,0))</f>
        <v>594</v>
      </c>
      <c r="AU93" s="7"/>
      <c r="AV93" s="38">
        <f ca="1">IF(TRIM($W93)="F",OFFSET($A$5,MATCH($AS93,$AS$5:$AS93,0)-1,0),$A93)</f>
        <v>94</v>
      </c>
      <c r="AW93" s="38">
        <f ca="1">IFERROR(OFFSET(ZPCS04!$A$1,MATCH(F93,ZPCS04!B:B,0)-1,0),100)</f>
        <v>1.9999999900000001</v>
      </c>
      <c r="AX93" s="7"/>
      <c r="AY93" s="6" t="b">
        <f>SUMIF(AS:AS,AS93,AP:AP)=100</f>
        <v>1</v>
      </c>
      <c r="AZ93" s="6" t="b">
        <f>SUMIF(AS:AS,AS93,AE:AE)/COUNTIF(AS:AS,AS93)=AE93</f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>C93&amp;" | "&amp;F93</f>
        <v>90MB1BJ0-C1BAY0 | 06094-00060000</v>
      </c>
      <c r="BE93" s="55" t="str">
        <f ca="1">C93&amp;" | "&amp;OFFSET($AF93,0,8-COUNTBLANK($AG93:$AN93))</f>
        <v>90MB1BJ0-C1BAY0 | 59MB1BJB-MB0A02S</v>
      </c>
      <c r="BF93" s="57">
        <f ca="1">IFERROR(VLOOKUP($BE93,$BD$5:$BF92,3,0)*$AE93,VLOOKUP($C93,Demanda!$A:$B,2,0)*$AE93)*IF(AT93="Phantom Alt",$BC93,TRUE)</f>
        <v>1000</v>
      </c>
      <c r="BG93" s="57">
        <f ca="1">BF93*(AP93/100)</f>
        <v>1000</v>
      </c>
      <c r="BH93" s="57">
        <f>SUMIF(Invoice!A:A,F93,Invoice!B:B)</f>
        <v>1000</v>
      </c>
      <c r="BI93" s="57">
        <f ca="1">SUMIF(AS:AS,AS93,BG:BG)</f>
        <v>1000</v>
      </c>
      <c r="BJ93" s="57">
        <f ca="1">MIN((BI93-SUMIF($AS$5:AS92,AS93,$BJ$5:BJ92)),MAX(0,BH93-SUMIF($F$5:F92,F93,$BJ$5:BJ92)))</f>
        <v>1000</v>
      </c>
      <c r="BK93" s="57">
        <f ca="1">(-SUMIF(AS:AS,AS93,BG:BG)+SUMIF(AS:AS,AS93,BJ:BJ))*(AP93=100)*AR93</f>
        <v>0</v>
      </c>
      <c r="BL93" s="57">
        <f ca="1">MAX(0,SUMIF(Invoice!A:A,F93,Invoice!B:B)-SUMIF(F:F,F93,BJ:BJ))*(COUNTIF(F:F,F93)=COUNTIF($F$5:F93,F93))</f>
        <v>0</v>
      </c>
    </row>
    <row r="94" spans="1:64" hidden="1">
      <c r="A94" s="43">
        <v>93</v>
      </c>
      <c r="B94" s="35" t="s">
        <v>147</v>
      </c>
      <c r="C94" s="35" t="s">
        <v>146</v>
      </c>
      <c r="D94" s="35">
        <v>2</v>
      </c>
      <c r="E94" s="35">
        <v>220</v>
      </c>
      <c r="F94" s="64" t="s">
        <v>349</v>
      </c>
      <c r="G94" s="73" t="s">
        <v>350</v>
      </c>
      <c r="H94" s="35">
        <v>22</v>
      </c>
      <c r="I94" s="35" t="s">
        <v>55</v>
      </c>
      <c r="J94" s="35">
        <v>0</v>
      </c>
      <c r="K94" s="35" t="s">
        <v>150</v>
      </c>
      <c r="L94" s="35" t="s">
        <v>53</v>
      </c>
      <c r="M94" s="35">
        <v>1</v>
      </c>
      <c r="N94" s="35"/>
      <c r="O94" s="35">
        <v>1</v>
      </c>
      <c r="P94" s="35">
        <v>2</v>
      </c>
      <c r="Q94" s="35">
        <v>2</v>
      </c>
      <c r="R94" s="35" t="s">
        <v>73</v>
      </c>
      <c r="S94" s="35" t="s">
        <v>73</v>
      </c>
      <c r="T94" s="36">
        <v>44901</v>
      </c>
      <c r="U94" s="36">
        <v>2958465</v>
      </c>
      <c r="V94" s="35" t="s">
        <v>282</v>
      </c>
      <c r="W94" s="35" t="s">
        <v>145</v>
      </c>
      <c r="X94" s="35"/>
      <c r="Y94" s="35" t="s">
        <v>143</v>
      </c>
      <c r="Z94" s="35">
        <v>7589154</v>
      </c>
      <c r="AA94" s="35">
        <v>76</v>
      </c>
      <c r="AB94" s="35">
        <v>38</v>
      </c>
      <c r="AC94" s="35"/>
      <c r="AE94" s="51">
        <f>M94/O94</f>
        <v>1</v>
      </c>
      <c r="AG94" s="6" t="str">
        <f>C94</f>
        <v>90MB1BJ0-C1BAY0</v>
      </c>
      <c r="AH94" s="6" t="str">
        <f>IF($D94&lt;=AH$4,"",IF(AND($D93=AH$4,$D94&gt;AH$4),$F93,AH93))</f>
        <v>59MB1BJB-MB0A02S</v>
      </c>
      <c r="AI94" s="6" t="str">
        <f>IF($D94&lt;=AI$4,"",IF(AND($D93=AI$4,$D94&gt;AI$4),$F93,AI93))</f>
        <v/>
      </c>
      <c r="AJ94" s="6" t="str">
        <f>IF($D94&lt;=AJ$4,"",IF(AND($D93=AJ$4,$D94&gt;AJ$4),$F93,AJ93))</f>
        <v/>
      </c>
      <c r="AK94" s="6" t="str">
        <f>IF($D94&lt;=AK$4,"",IF(AND($D93=AK$4,$D94&gt;AK$4),$F93,AK93))</f>
        <v/>
      </c>
      <c r="AL94" s="6" t="str">
        <f>IF($D94&lt;=AL$4,"",IF(AND($D93=AL$4,$D94&gt;AL$4),$F93,AL93))</f>
        <v/>
      </c>
      <c r="AM94" s="6" t="str">
        <f>IF($D94&lt;=AM$4,"",IF(AND($D93=AM$4,$D94&gt;AM$4),$F93,AM93))</f>
        <v/>
      </c>
      <c r="AN94" s="6" t="str">
        <f>IF($D94&lt;=AN$4,"",IF(AND($D93=AN$4,$D94&gt;AN$4),$F93,AN93))</f>
        <v/>
      </c>
      <c r="AO94" s="6" t="str">
        <f>CONCATENATE(AG94," | ",AH94," | ",AI94," | ",AJ94," | ",AK94," | ",AL94," | ",AM94," | ",AN94)</f>
        <v xml:space="preserve">90MB1BJ0-C1BAY0 | 59MB1BJB-MB0A02S |  |  |  |  |  | </v>
      </c>
      <c r="AP94" s="6">
        <f>IF(TRIM(H94)="",100,J94)</f>
        <v>0</v>
      </c>
      <c r="AQ94" s="4"/>
      <c r="AR94" s="6" t="b">
        <f>NOT(TRIM(W94)&lt;&gt;"F")</f>
        <v>1</v>
      </c>
      <c r="AS94" s="6" t="str">
        <f>$B94&amp;" | "&amp;$AO94&amp;" | "&amp;IF(TRIM(H94)="","uniq"&amp;ROW(),TRIM(H94))</f>
        <v>461E | 90MB1BJ0-C1BAY0 | 59MB1BJB-MB0A02S |  |  |  |  |  |  | 22</v>
      </c>
      <c r="AT94" s="63">
        <f>IF(NOT(AR94),IF(TRIM($H94)="","Assembly","Phantom Alt"),VLOOKUP(F94,ZPCS04!B:G,6,0))</f>
        <v>594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</v>
      </c>
      <c r="AX94" s="7"/>
      <c r="AY94" s="6" t="b">
        <f>SUMIF(AS:AS,AS94,AP:AP)=100</f>
        <v>1</v>
      </c>
      <c r="AZ94" s="6" t="b">
        <f>SUMIF(AS:AS,AS94,AE:AE)/COUNTIF(AS:AS,AS94)=AE94</f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>C94&amp;" | "&amp;F94</f>
        <v>90MB1BJ0-C1BAY0 | 06094-00050000</v>
      </c>
      <c r="BE94" s="55" t="str">
        <f ca="1">C94&amp;" | "&amp;OFFSET($AF94,0,8-COUNTBLANK($AG94:$AN94))</f>
        <v>90MB1BJ0-C1BAY0 | 59MB1BJB-MB0A02S</v>
      </c>
      <c r="BF94" s="57">
        <f ca="1">IFERROR(VLOOKUP($BE94,$BD$5:$BF93,3,0)*$AE94,VLOOKUP($C94,Demanda!$A:$B,2,0)*$AE94)*IF(AT94="Phantom Alt",$BC94,TRUE)</f>
        <v>1000</v>
      </c>
      <c r="BG94" s="57">
        <f ca="1">BF94*(AP94/100)</f>
        <v>0</v>
      </c>
      <c r="BH94" s="57">
        <f>SUMIF(Invoice!A:A,F94,Invoice!B:B)</f>
        <v>0</v>
      </c>
      <c r="BI94" s="57">
        <f ca="1">SUMIF(AS:AS,AS94,BG:BG)</f>
        <v>1000</v>
      </c>
      <c r="BJ94" s="57">
        <f ca="1">MIN((BI94-SUMIF($AS$5:AS93,AS94,$BJ$5:BJ93)),MAX(0,BH94-SUMIF($F$5:F93,F94,$BJ$5:BJ93)))</f>
        <v>0</v>
      </c>
      <c r="BK94" s="57">
        <f ca="1">(-SUMIF(AS:AS,AS94,BG:BG)+SUMIF(AS:AS,AS94,BJ:BJ))*(AP94=100)*AR94</f>
        <v>0</v>
      </c>
      <c r="BL94" s="57">
        <f ca="1">MAX(0,SUMIF(Invoice!A:A,F94,Invoice!B:B)-SUMIF(F:F,F94,BJ:BJ))*(COUNTIF(F:F,F94)=COUNTIF($F$5:F94,F94))</f>
        <v>0</v>
      </c>
    </row>
    <row r="95" spans="1:64" hidden="1">
      <c r="A95" s="43">
        <v>95</v>
      </c>
      <c r="B95" s="35" t="s">
        <v>147</v>
      </c>
      <c r="C95" s="35" t="s">
        <v>146</v>
      </c>
      <c r="D95" s="35">
        <v>2</v>
      </c>
      <c r="E95" s="35">
        <v>230</v>
      </c>
      <c r="F95" s="64" t="s">
        <v>353</v>
      </c>
      <c r="G95" s="73" t="s">
        <v>354</v>
      </c>
      <c r="H95" s="35"/>
      <c r="I95" s="35" t="s">
        <v>54</v>
      </c>
      <c r="J95" s="35">
        <v>0</v>
      </c>
      <c r="K95" s="35" t="s">
        <v>150</v>
      </c>
      <c r="L95" s="35" t="s">
        <v>53</v>
      </c>
      <c r="M95" s="35">
        <v>2</v>
      </c>
      <c r="N95" s="35">
        <v>2</v>
      </c>
      <c r="O95" s="35">
        <v>1</v>
      </c>
      <c r="P95" s="35"/>
      <c r="Q95" s="35"/>
      <c r="R95" s="35" t="s">
        <v>73</v>
      </c>
      <c r="S95" s="35" t="s">
        <v>73</v>
      </c>
      <c r="T95" s="36">
        <v>44901</v>
      </c>
      <c r="U95" s="36">
        <v>2958465</v>
      </c>
      <c r="V95" s="35" t="s">
        <v>282</v>
      </c>
      <c r="W95" s="35" t="s">
        <v>145</v>
      </c>
      <c r="X95" s="35"/>
      <c r="Y95" s="35" t="s">
        <v>143</v>
      </c>
      <c r="Z95" s="35">
        <v>7589154</v>
      </c>
      <c r="AA95" s="35">
        <v>78</v>
      </c>
      <c r="AB95" s="35">
        <v>39</v>
      </c>
      <c r="AC95" s="35"/>
      <c r="AE95" s="51">
        <f>M95/O95</f>
        <v>2</v>
      </c>
      <c r="AG95" s="6" t="str">
        <f>C95</f>
        <v>90MB1BJ0-C1BAY0</v>
      </c>
      <c r="AH95" s="6" t="str">
        <f>IF($D95&lt;=AH$4,"",IF(AND($D94=AH$4,$D95&gt;AH$4),$F94,AH94))</f>
        <v>59MB1BJB-MB0A02S</v>
      </c>
      <c r="AI95" s="6" t="str">
        <f>IF($D95&lt;=AI$4,"",IF(AND($D94=AI$4,$D95&gt;AI$4),$F94,AI94))</f>
        <v/>
      </c>
      <c r="AJ95" s="6" t="str">
        <f>IF($D95&lt;=AJ$4,"",IF(AND($D94=AJ$4,$D95&gt;AJ$4),$F94,AJ94))</f>
        <v/>
      </c>
      <c r="AK95" s="6" t="str">
        <f>IF($D95&lt;=AK$4,"",IF(AND($D94=AK$4,$D95&gt;AK$4),$F94,AK94))</f>
        <v/>
      </c>
      <c r="AL95" s="6" t="str">
        <f>IF($D95&lt;=AL$4,"",IF(AND($D94=AL$4,$D95&gt;AL$4),$F94,AL94))</f>
        <v/>
      </c>
      <c r="AM95" s="6" t="str">
        <f>IF($D95&lt;=AM$4,"",IF(AND($D94=AM$4,$D95&gt;AM$4),$F94,AM94))</f>
        <v/>
      </c>
      <c r="AN95" s="6" t="str">
        <f>IF($D95&lt;=AN$4,"",IF(AND($D94=AN$4,$D95&gt;AN$4),$F94,AN94))</f>
        <v/>
      </c>
      <c r="AO95" s="6" t="str">
        <f>CONCATENATE(AG95," | ",AH95," | ",AI95," | ",AJ95," | ",AK95," | ",AL95," | ",AM95," | ",AN95)</f>
        <v xml:space="preserve">90MB1BJ0-C1BAY0 | 59MB1BJB-MB0A02S |  |  |  |  |  | </v>
      </c>
      <c r="AP95" s="6">
        <f>IF(TRIM(H95)="",100,J95)</f>
        <v>100</v>
      </c>
      <c r="AQ95" s="4"/>
      <c r="AR95" s="6" t="b">
        <f>NOT(TRIM(W95)&lt;&gt;"F")</f>
        <v>1</v>
      </c>
      <c r="AS95" s="6" t="str">
        <f>$B95&amp;" | "&amp;$AO95&amp;" | "&amp;IF(TRIM(H95)="","uniq"&amp;ROW(),TRIM(H95))</f>
        <v>461E | 90MB1BJ0-C1BAY0 | 59MB1BJB-MB0A02S |  |  |  |  |  |  | uniq95</v>
      </c>
      <c r="AT95" s="63">
        <f>IF(NOT(AR95),IF(TRIM($H95)="","Assembly","Phantom Alt"),VLOOKUP(F95,ZPCS04!B:G,6,0))</f>
        <v>45</v>
      </c>
      <c r="AU95" s="7"/>
      <c r="AV95" s="38">
        <f ca="1">IF(TRIM($W95)="F",OFFSET($A$5,MATCH($AS95,$AS$5:$AS95,0)-1,0),$A95)</f>
        <v>95</v>
      </c>
      <c r="AW95" s="38">
        <f ca="1">IFERROR(OFFSET(ZPCS04!$A$1,MATCH(F95,ZPCS04!B:B,0)-1,0),100)</f>
        <v>1.9999999800000001</v>
      </c>
      <c r="AX95" s="7"/>
      <c r="AY95" s="6" t="b">
        <f>SUMIF(AS:AS,AS95,AP:AP)=100</f>
        <v>1</v>
      </c>
      <c r="AZ95" s="6" t="b">
        <f>SUMIF(AS:AS,AS95,AE:AE)/COUNTIF(AS:AS,AS95)=AE95</f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>C95&amp;" | "&amp;F95</f>
        <v>90MB1BJ0-C1BAY0 | 06095-00810200</v>
      </c>
      <c r="BE95" s="55" t="str">
        <f ca="1">C95&amp;" | "&amp;OFFSET($AF95,0,8-COUNTBLANK($AG95:$AN95))</f>
        <v>90MB1BJ0-C1BAY0 | 59MB1BJB-MB0A02S</v>
      </c>
      <c r="BF95" s="57">
        <f ca="1">IFERROR(VLOOKUP($BE95,$BD$5:$BF94,3,0)*$AE95,VLOOKUP($C95,Demanda!$A:$B,2,0)*$AE95)*IF(AT95="Phantom Alt",$BC95,TRUE)</f>
        <v>2000</v>
      </c>
      <c r="BG95" s="57">
        <f ca="1">BF95*(AP95/100)</f>
        <v>2000</v>
      </c>
      <c r="BH95" s="57">
        <f>SUMIF(Invoice!A:A,F95,Invoice!B:B)</f>
        <v>2000</v>
      </c>
      <c r="BI95" s="57">
        <f ca="1">SUMIF(AS:AS,AS95,BG:BG)</f>
        <v>2000</v>
      </c>
      <c r="BJ95" s="57">
        <f ca="1">MIN((BI95-SUMIF($AS$5:AS94,AS95,$BJ$5:BJ94)),MAX(0,BH95-SUMIF($F$5:F94,F95,$BJ$5:BJ94)))</f>
        <v>2000</v>
      </c>
      <c r="BK95" s="57">
        <f ca="1">(-SUMIF(AS:AS,AS95,BG:BG)+SUMIF(AS:AS,AS95,BJ:BJ))*(AP95=100)*AR95</f>
        <v>0</v>
      </c>
      <c r="BL95" s="57">
        <f ca="1">MAX(0,SUMIF(Invoice!A:A,F95,Invoice!B:B)-SUMIF(F:F,F95,BJ:BJ))*(COUNTIF(F:F,F95)=COUNTIF($F$5:F95,F95))</f>
        <v>0</v>
      </c>
    </row>
    <row r="96" spans="1:64" hidden="1">
      <c r="A96" s="43">
        <v>96</v>
      </c>
      <c r="B96" s="35" t="s">
        <v>147</v>
      </c>
      <c r="C96" s="35" t="s">
        <v>146</v>
      </c>
      <c r="D96" s="35">
        <v>2</v>
      </c>
      <c r="E96" s="35">
        <v>240</v>
      </c>
      <c r="F96" s="64" t="s">
        <v>355</v>
      </c>
      <c r="G96" s="73" t="s">
        <v>356</v>
      </c>
      <c r="H96" s="35"/>
      <c r="I96" s="35" t="s">
        <v>54</v>
      </c>
      <c r="J96" s="35">
        <v>0</v>
      </c>
      <c r="K96" s="35" t="s">
        <v>150</v>
      </c>
      <c r="L96" s="35" t="s">
        <v>53</v>
      </c>
      <c r="M96" s="35">
        <v>1</v>
      </c>
      <c r="N96" s="35">
        <v>1</v>
      </c>
      <c r="O96" s="35">
        <v>1</v>
      </c>
      <c r="P96" s="35"/>
      <c r="Q96" s="35"/>
      <c r="R96" s="35" t="s">
        <v>73</v>
      </c>
      <c r="S96" s="35" t="s">
        <v>73</v>
      </c>
      <c r="T96" s="36">
        <v>44901</v>
      </c>
      <c r="U96" s="36">
        <v>2958465</v>
      </c>
      <c r="V96" s="35" t="s">
        <v>282</v>
      </c>
      <c r="W96" s="35" t="s">
        <v>145</v>
      </c>
      <c r="X96" s="35"/>
      <c r="Y96" s="35" t="s">
        <v>143</v>
      </c>
      <c r="Z96" s="35">
        <v>7589154</v>
      </c>
      <c r="AA96" s="35">
        <v>80</v>
      </c>
      <c r="AB96" s="35">
        <v>40</v>
      </c>
      <c r="AC96" s="35"/>
      <c r="AE96" s="51">
        <f>M96/O96</f>
        <v>1</v>
      </c>
      <c r="AG96" s="6" t="str">
        <f>C96</f>
        <v>90MB1BJ0-C1BAY0</v>
      </c>
      <c r="AH96" s="6" t="str">
        <f>IF($D96&lt;=AH$4,"",IF(AND($D95=AH$4,$D96&gt;AH$4),$F95,AH95))</f>
        <v>59MB1BJB-MB0A02S</v>
      </c>
      <c r="AI96" s="6" t="str">
        <f>IF($D96&lt;=AI$4,"",IF(AND($D95=AI$4,$D96&gt;AI$4),$F95,AI95))</f>
        <v/>
      </c>
      <c r="AJ96" s="6" t="str">
        <f>IF($D96&lt;=AJ$4,"",IF(AND($D95=AJ$4,$D96&gt;AJ$4),$F95,AJ95))</f>
        <v/>
      </c>
      <c r="AK96" s="6" t="str">
        <f>IF($D96&lt;=AK$4,"",IF(AND($D95=AK$4,$D96&gt;AK$4),$F95,AK95))</f>
        <v/>
      </c>
      <c r="AL96" s="6" t="str">
        <f>IF($D96&lt;=AL$4,"",IF(AND($D95=AL$4,$D96&gt;AL$4),$F95,AL95))</f>
        <v/>
      </c>
      <c r="AM96" s="6" t="str">
        <f>IF($D96&lt;=AM$4,"",IF(AND($D95=AM$4,$D96&gt;AM$4),$F95,AM95))</f>
        <v/>
      </c>
      <c r="AN96" s="6" t="str">
        <f>IF($D96&lt;=AN$4,"",IF(AND($D95=AN$4,$D96&gt;AN$4),$F95,AN95))</f>
        <v/>
      </c>
      <c r="AO96" s="6" t="str">
        <f>CONCATENATE(AG96," | ",AH96," | ",AI96," | ",AJ96," | ",AK96," | ",AL96," | ",AM96," | ",AN96)</f>
        <v xml:space="preserve">90MB1BJ0-C1BAY0 | 59MB1BJB-MB0A02S |  |  |  |  |  | </v>
      </c>
      <c r="AP96" s="6">
        <f>IF(TRIM(H96)="",100,J96)</f>
        <v>100</v>
      </c>
      <c r="AQ96" s="4"/>
      <c r="AR96" s="6" t="b">
        <f>NOT(TRIM(W96)&lt;&gt;"F")</f>
        <v>1</v>
      </c>
      <c r="AS96" s="6" t="str">
        <f>$B96&amp;" | "&amp;$AO96&amp;" | "&amp;IF(TRIM(H96)="","uniq"&amp;ROW(),TRIM(H96))</f>
        <v>461E | 90MB1BJ0-C1BAY0 | 59MB1BJB-MB0A02S |  |  |  |  |  |  | uniq96</v>
      </c>
      <c r="AT96" s="63">
        <f>IF(NOT(AR96),IF(TRIM($H96)="","Assembly","Phantom Alt"),VLOOKUP(F96,ZPCS04!B:G,6,0))</f>
        <v>54</v>
      </c>
      <c r="AU96" s="7"/>
      <c r="AV96" s="38">
        <f ca="1">IF(TRIM($W96)="F",OFFSET($A$5,MATCH($AS96,$AS$5:$AS96,0)-1,0),$A96)</f>
        <v>96</v>
      </c>
      <c r="AW96" s="38">
        <f ca="1">IFERROR(OFFSET(ZPCS04!$A$1,MATCH(F96,ZPCS04!B:B,0)-1,0),100)</f>
        <v>1.9999999900000001</v>
      </c>
      <c r="AX96" s="7"/>
      <c r="AY96" s="6" t="b">
        <f>SUMIF(AS:AS,AS96,AP:AP)=100</f>
        <v>1</v>
      </c>
      <c r="AZ96" s="6" t="b">
        <f>SUMIF(AS:AS,AS96,AE:AE)/COUNTIF(AS:AS,AS96)=AE96</f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>C96&amp;" | "&amp;F96</f>
        <v>90MB1BJ0-C1BAY0 | 06095-03370300</v>
      </c>
      <c r="BE96" s="55" t="str">
        <f ca="1">C96&amp;" | "&amp;OFFSET($AF96,0,8-COUNTBLANK($AG96:$AN96))</f>
        <v>90MB1BJ0-C1BAY0 | 59MB1BJB-MB0A02S</v>
      </c>
      <c r="BF96" s="57">
        <f ca="1">IFERROR(VLOOKUP($BE96,$BD$5:$BF95,3,0)*$AE96,VLOOKUP($C96,Demanda!$A:$B,2,0)*$AE96)*IF(AT96="Phantom Alt",$BC96,TRUE)</f>
        <v>1000</v>
      </c>
      <c r="BG96" s="57">
        <f ca="1">BF96*(AP96/100)</f>
        <v>1000</v>
      </c>
      <c r="BH96" s="57">
        <f>SUMIF(Invoice!A:A,F96,Invoice!B:B)</f>
        <v>1000</v>
      </c>
      <c r="BI96" s="57">
        <f ca="1">SUMIF(AS:AS,AS96,BG:BG)</f>
        <v>1000</v>
      </c>
      <c r="BJ96" s="57">
        <f ca="1">MIN((BI96-SUMIF($AS$5:AS95,AS96,$BJ$5:BJ95)),MAX(0,BH96-SUMIF($F$5:F95,F96,$BJ$5:BJ95)))</f>
        <v>1000</v>
      </c>
      <c r="BK96" s="57">
        <f ca="1">(-SUMIF(AS:AS,AS96,BG:BG)+SUMIF(AS:AS,AS96,BJ:BJ))*(AP96=100)*AR96</f>
        <v>0</v>
      </c>
      <c r="BL96" s="57">
        <f ca="1">MAX(0,SUMIF(Invoice!A:A,F96,Invoice!B:B)-SUMIF(F:F,F96,BJ:BJ))*(COUNTIF(F:F,F96)=COUNTIF($F$5:F96,F96))</f>
        <v>0</v>
      </c>
    </row>
    <row r="97" spans="1:64" hidden="1">
      <c r="A97" s="43">
        <v>97</v>
      </c>
      <c r="B97" s="35" t="s">
        <v>147</v>
      </c>
      <c r="C97" s="35" t="s">
        <v>146</v>
      </c>
      <c r="D97" s="35">
        <v>2</v>
      </c>
      <c r="E97" s="35">
        <v>250</v>
      </c>
      <c r="F97" s="64" t="s">
        <v>357</v>
      </c>
      <c r="G97" s="73" t="s">
        <v>358</v>
      </c>
      <c r="H97" s="35"/>
      <c r="I97" s="35" t="s">
        <v>54</v>
      </c>
      <c r="J97" s="35">
        <v>0</v>
      </c>
      <c r="K97" s="35" t="s">
        <v>150</v>
      </c>
      <c r="L97" s="35" t="s">
        <v>53</v>
      </c>
      <c r="M97" s="35">
        <v>1</v>
      </c>
      <c r="N97" s="35">
        <v>1</v>
      </c>
      <c r="O97" s="35">
        <v>1</v>
      </c>
      <c r="P97" s="35"/>
      <c r="Q97" s="35"/>
      <c r="R97" s="35" t="s">
        <v>73</v>
      </c>
      <c r="S97" s="35" t="s">
        <v>73</v>
      </c>
      <c r="T97" s="36">
        <v>44901</v>
      </c>
      <c r="U97" s="36">
        <v>2958465</v>
      </c>
      <c r="V97" s="35" t="s">
        <v>282</v>
      </c>
      <c r="W97" s="35" t="s">
        <v>145</v>
      </c>
      <c r="X97" s="35"/>
      <c r="Y97" s="35" t="s">
        <v>143</v>
      </c>
      <c r="Z97" s="35">
        <v>7589154</v>
      </c>
      <c r="AA97" s="35">
        <v>82</v>
      </c>
      <c r="AB97" s="35">
        <v>41</v>
      </c>
      <c r="AC97" s="35" t="s">
        <v>144</v>
      </c>
      <c r="AE97" s="51">
        <f>M97/O97</f>
        <v>1</v>
      </c>
      <c r="AG97" s="6" t="str">
        <f>C97</f>
        <v>90MB1BJ0-C1BAY0</v>
      </c>
      <c r="AH97" s="6" t="str">
        <f>IF($D97&lt;=AH$4,"",IF(AND($D96=AH$4,$D97&gt;AH$4),$F96,AH96))</f>
        <v>59MB1BJB-MB0A02S</v>
      </c>
      <c r="AI97" s="6" t="str">
        <f>IF($D97&lt;=AI$4,"",IF(AND($D96=AI$4,$D97&gt;AI$4),$F96,AI96))</f>
        <v/>
      </c>
      <c r="AJ97" s="6" t="str">
        <f>IF($D97&lt;=AJ$4,"",IF(AND($D96=AJ$4,$D97&gt;AJ$4),$F96,AJ96))</f>
        <v/>
      </c>
      <c r="AK97" s="6" t="str">
        <f>IF($D97&lt;=AK$4,"",IF(AND($D96=AK$4,$D97&gt;AK$4),$F96,AK96))</f>
        <v/>
      </c>
      <c r="AL97" s="6" t="str">
        <f>IF($D97&lt;=AL$4,"",IF(AND($D96=AL$4,$D97&gt;AL$4),$F96,AL96))</f>
        <v/>
      </c>
      <c r="AM97" s="6" t="str">
        <f>IF($D97&lt;=AM$4,"",IF(AND($D96=AM$4,$D97&gt;AM$4),$F96,AM96))</f>
        <v/>
      </c>
      <c r="AN97" s="6" t="str">
        <f>IF($D97&lt;=AN$4,"",IF(AND($D96=AN$4,$D97&gt;AN$4),$F96,AN96))</f>
        <v/>
      </c>
      <c r="AO97" s="6" t="str">
        <f>CONCATENATE(AG97," | ",AH97," | ",AI97," | ",AJ97," | ",AK97," | ",AL97," | ",AM97," | ",AN97)</f>
        <v xml:space="preserve">90MB1BJ0-C1BAY0 | 59MB1BJB-MB0A02S |  |  |  |  |  | </v>
      </c>
      <c r="AP97" s="6">
        <f>IF(TRIM(H97)="",100,J97)</f>
        <v>100</v>
      </c>
      <c r="AQ97" s="4"/>
      <c r="AR97" s="6" t="b">
        <f>NOT(TRIM(W97)&lt;&gt;"F")</f>
        <v>1</v>
      </c>
      <c r="AS97" s="6" t="str">
        <f>$B97&amp;" | "&amp;$AO97&amp;" | "&amp;IF(TRIM(H97)="","uniq"&amp;ROW(),TRIM(H97))</f>
        <v>461E | 90MB1BJ0-C1BAY0 | 59MB1BJB-MB0A02S |  |  |  |  |  |  | uniq97</v>
      </c>
      <c r="AT97" s="63">
        <f>IF(NOT(AR97),IF(TRIM($H97)="","Assembly","Phantom Alt"),VLOOKUP(F97,ZPCS04!B:G,6,0))</f>
        <v>55</v>
      </c>
      <c r="AU97" s="7"/>
      <c r="AV97" s="38">
        <f ca="1">IF(TRIM($W97)="F",OFFSET($A$5,MATCH($AS97,$AS$5:$AS97,0)-1,0),$A97)</f>
        <v>97</v>
      </c>
      <c r="AW97" s="38">
        <f ca="1">IFERROR(OFFSET(ZPCS04!$A$1,MATCH(F97,ZPCS04!B:B,0)-1,0),100)</f>
        <v>1.9999999900000001</v>
      </c>
      <c r="AX97" s="7"/>
      <c r="AY97" s="6" t="b">
        <f>SUMIF(AS:AS,AS97,AP:AP)=100</f>
        <v>1</v>
      </c>
      <c r="AZ97" s="6" t="b">
        <f>SUMIF(AS:AS,AS97,AE:AE)/COUNTIF(AS:AS,AS97)=AE97</f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>C97&amp;" | "&amp;F97</f>
        <v>90MB1BJ0-C1BAY0 | 06095-03520000</v>
      </c>
      <c r="BE97" s="55" t="str">
        <f ca="1">C97&amp;" | "&amp;OFFSET($AF97,0,8-COUNTBLANK($AG97:$AN97))</f>
        <v>90MB1BJ0-C1BAY0 | 59MB1BJB-MB0A02S</v>
      </c>
      <c r="BF97" s="57">
        <f ca="1">IFERROR(VLOOKUP($BE97,$BD$5:$BF96,3,0)*$AE97,VLOOKUP($C97,Demanda!$A:$B,2,0)*$AE97)*IF(AT97="Phantom Alt",$BC97,TRUE)</f>
        <v>1000</v>
      </c>
      <c r="BG97" s="57">
        <f ca="1">BF97*(AP97/100)</f>
        <v>1000</v>
      </c>
      <c r="BH97" s="57">
        <f>SUMIF(Invoice!A:A,F97,Invoice!B:B)</f>
        <v>1000</v>
      </c>
      <c r="BI97" s="57">
        <f ca="1">SUMIF(AS:AS,AS97,BG:BG)</f>
        <v>1000</v>
      </c>
      <c r="BJ97" s="57">
        <f ca="1">MIN((BI97-SUMIF($AS$5:AS96,AS97,$BJ$5:BJ96)),MAX(0,BH97-SUMIF($F$5:F96,F97,$BJ$5:BJ96)))</f>
        <v>1000</v>
      </c>
      <c r="BK97" s="57">
        <f ca="1">(-SUMIF(AS:AS,AS97,BG:BG)+SUMIF(AS:AS,AS97,BJ:BJ))*(AP97=100)*AR97</f>
        <v>0</v>
      </c>
      <c r="BL97" s="57">
        <f ca="1">MAX(0,SUMIF(Invoice!A:A,F97,Invoice!B:B)-SUMIF(F:F,F97,BJ:BJ))*(COUNTIF(F:F,F97)=COUNTIF($F$5:F97,F97))</f>
        <v>0</v>
      </c>
    </row>
    <row r="98" spans="1:64" hidden="1">
      <c r="A98" s="43">
        <v>99</v>
      </c>
      <c r="B98" s="35" t="s">
        <v>147</v>
      </c>
      <c r="C98" s="35" t="s">
        <v>146</v>
      </c>
      <c r="D98" s="35">
        <v>2</v>
      </c>
      <c r="E98" s="35">
        <v>260</v>
      </c>
      <c r="F98" s="64" t="s">
        <v>361</v>
      </c>
      <c r="G98" s="73" t="s">
        <v>362</v>
      </c>
      <c r="H98" s="35">
        <v>26</v>
      </c>
      <c r="I98" s="35" t="s">
        <v>54</v>
      </c>
      <c r="J98" s="35">
        <v>100</v>
      </c>
      <c r="K98" s="35" t="s">
        <v>150</v>
      </c>
      <c r="L98" s="35" t="s">
        <v>53</v>
      </c>
      <c r="M98" s="35">
        <v>1</v>
      </c>
      <c r="N98" s="35">
        <v>1</v>
      </c>
      <c r="O98" s="35">
        <v>1</v>
      </c>
      <c r="P98" s="35">
        <v>2</v>
      </c>
      <c r="Q98" s="35">
        <v>1</v>
      </c>
      <c r="R98" s="35" t="s">
        <v>73</v>
      </c>
      <c r="S98" s="35" t="s">
        <v>73</v>
      </c>
      <c r="T98" s="36">
        <v>44901</v>
      </c>
      <c r="U98" s="36">
        <v>2958465</v>
      </c>
      <c r="V98" s="35" t="s">
        <v>282</v>
      </c>
      <c r="W98" s="35" t="s">
        <v>145</v>
      </c>
      <c r="X98" s="35"/>
      <c r="Y98" s="35" t="s">
        <v>143</v>
      </c>
      <c r="Z98" s="35">
        <v>7589154</v>
      </c>
      <c r="AA98" s="35">
        <v>84</v>
      </c>
      <c r="AB98" s="35">
        <v>42</v>
      </c>
      <c r="AC98" s="35"/>
      <c r="AE98" s="51">
        <f>M98/O98</f>
        <v>1</v>
      </c>
      <c r="AG98" s="6" t="str">
        <f>C98</f>
        <v>90MB1BJ0-C1BAY0</v>
      </c>
      <c r="AH98" s="6" t="str">
        <f>IF($D98&lt;=AH$4,"",IF(AND($D97=AH$4,$D98&gt;AH$4),$F97,AH97))</f>
        <v>59MB1BJB-MB0A02S</v>
      </c>
      <c r="AI98" s="6" t="str">
        <f>IF($D98&lt;=AI$4,"",IF(AND($D97=AI$4,$D98&gt;AI$4),$F97,AI97))</f>
        <v/>
      </c>
      <c r="AJ98" s="6" t="str">
        <f>IF($D98&lt;=AJ$4,"",IF(AND($D97=AJ$4,$D98&gt;AJ$4),$F97,AJ97))</f>
        <v/>
      </c>
      <c r="AK98" s="6" t="str">
        <f>IF($D98&lt;=AK$4,"",IF(AND($D97=AK$4,$D98&gt;AK$4),$F97,AK97))</f>
        <v/>
      </c>
      <c r="AL98" s="6" t="str">
        <f>IF($D98&lt;=AL$4,"",IF(AND($D97=AL$4,$D98&gt;AL$4),$F97,AL97))</f>
        <v/>
      </c>
      <c r="AM98" s="6" t="str">
        <f>IF($D98&lt;=AM$4,"",IF(AND($D97=AM$4,$D98&gt;AM$4),$F97,AM97))</f>
        <v/>
      </c>
      <c r="AN98" s="6" t="str">
        <f>IF($D98&lt;=AN$4,"",IF(AND($D97=AN$4,$D98&gt;AN$4),$F97,AN97))</f>
        <v/>
      </c>
      <c r="AO98" s="6" t="str">
        <f>CONCATENATE(AG98," | ",AH98," | ",AI98," | ",AJ98," | ",AK98," | ",AL98," | ",AM98," | ",AN98)</f>
        <v xml:space="preserve">90MB1BJ0-C1BAY0 | 59MB1BJB-MB0A02S |  |  |  |  |  | </v>
      </c>
      <c r="AP98" s="6">
        <f>IF(TRIM(H98)="",100,J98)</f>
        <v>100</v>
      </c>
      <c r="AQ98" s="4"/>
      <c r="AR98" s="6" t="b">
        <f>NOT(TRIM(W98)&lt;&gt;"F")</f>
        <v>1</v>
      </c>
      <c r="AS98" s="6" t="str">
        <f>$B98&amp;" | "&amp;$AO98&amp;" | "&amp;IF(TRIM(H98)="","uniq"&amp;ROW(),TRIM(H98))</f>
        <v>461E | 90MB1BJ0-C1BAY0 | 59MB1BJB-MB0A02S |  |  |  |  |  |  | 26</v>
      </c>
      <c r="AT98" s="63">
        <f>IF(NOT(AR98),IF(TRIM($H98)="","Assembly","Phantom Alt"),VLOOKUP(F98,ZPCS04!B:G,6,0))</f>
        <v>1255</v>
      </c>
      <c r="AU98" s="7"/>
      <c r="AV98" s="38">
        <f ca="1">IF(TRIM($W98)="F",OFFSET($A$5,MATCH($AS98,$AS$5:$AS98,0)-1,0),$A98)</f>
        <v>99</v>
      </c>
      <c r="AW98" s="38">
        <f ca="1">IFERROR(OFFSET(ZPCS04!$A$1,MATCH(F98,ZPCS04!B:B,0)-1,0),100)</f>
        <v>1.9999999900000001</v>
      </c>
      <c r="AX98" s="7"/>
      <c r="AY98" s="6" t="b">
        <f>SUMIF(AS:AS,AS98,AP:AP)=100</f>
        <v>1</v>
      </c>
      <c r="AZ98" s="6" t="b">
        <f>SUMIF(AS:AS,AS98,AE:AE)/COUNTIF(AS:AS,AS98)=AE98</f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>C98&amp;" | "&amp;F98</f>
        <v>90MB1BJ0-C1BAY0 | 06103-00231300</v>
      </c>
      <c r="BE98" s="55" t="str">
        <f ca="1">C98&amp;" | "&amp;OFFSET($AF98,0,8-COUNTBLANK($AG98:$AN98))</f>
        <v>90MB1BJ0-C1BAY0 | 59MB1BJB-MB0A02S</v>
      </c>
      <c r="BF98" s="57">
        <f ca="1">IFERROR(VLOOKUP($BE98,$BD$5:$BF97,3,0)*$AE98,VLOOKUP($C98,Demanda!$A:$B,2,0)*$AE98)*IF(AT98="Phantom Alt",$BC98,TRUE)</f>
        <v>1000</v>
      </c>
      <c r="BG98" s="57">
        <f ca="1">BF98*(AP98/100)</f>
        <v>1000</v>
      </c>
      <c r="BH98" s="57">
        <f>SUMIF(Invoice!A:A,F98,Invoice!B:B)</f>
        <v>1000</v>
      </c>
      <c r="BI98" s="57">
        <f ca="1">SUMIF(AS:AS,AS98,BG:BG)</f>
        <v>1000</v>
      </c>
      <c r="BJ98" s="57">
        <f ca="1">MIN((BI98-SUMIF($AS$5:AS97,AS98,$BJ$5:BJ97)),MAX(0,BH98-SUMIF($F$5:F97,F98,$BJ$5:BJ97)))</f>
        <v>1000</v>
      </c>
      <c r="BK98" s="57">
        <f ca="1">(-SUMIF(AS:AS,AS98,BG:BG)+SUMIF(AS:AS,AS98,BJ:BJ))*(AP98=100)*AR98</f>
        <v>0</v>
      </c>
      <c r="BL98" s="57">
        <f ca="1">MAX(0,SUMIF(Invoice!A:A,F98,Invoice!B:B)-SUMIF(F:F,F98,BJ:BJ))*(COUNTIF(F:F,F98)=COUNTIF($F$5:F98,F98))</f>
        <v>0</v>
      </c>
    </row>
    <row r="99" spans="1:64" hidden="1">
      <c r="A99" s="43">
        <v>98</v>
      </c>
      <c r="B99" s="35" t="s">
        <v>147</v>
      </c>
      <c r="C99" s="35" t="s">
        <v>146</v>
      </c>
      <c r="D99" s="35">
        <v>2</v>
      </c>
      <c r="E99" s="35">
        <v>260</v>
      </c>
      <c r="F99" s="64" t="s">
        <v>359</v>
      </c>
      <c r="G99" s="73" t="s">
        <v>360</v>
      </c>
      <c r="H99" s="35">
        <v>26</v>
      </c>
      <c r="I99" s="35" t="s">
        <v>55</v>
      </c>
      <c r="J99" s="35">
        <v>0</v>
      </c>
      <c r="K99" s="35" t="s">
        <v>150</v>
      </c>
      <c r="L99" s="35" t="s">
        <v>53</v>
      </c>
      <c r="M99" s="35">
        <v>1</v>
      </c>
      <c r="N99" s="35"/>
      <c r="O99" s="35">
        <v>1</v>
      </c>
      <c r="P99" s="35">
        <v>2</v>
      </c>
      <c r="Q99" s="35">
        <v>2</v>
      </c>
      <c r="R99" s="35" t="s">
        <v>73</v>
      </c>
      <c r="S99" s="35" t="s">
        <v>73</v>
      </c>
      <c r="T99" s="36">
        <v>44901</v>
      </c>
      <c r="U99" s="36">
        <v>2958465</v>
      </c>
      <c r="V99" s="35" t="s">
        <v>282</v>
      </c>
      <c r="W99" s="35" t="s">
        <v>145</v>
      </c>
      <c r="X99" s="35"/>
      <c r="Y99" s="35" t="s">
        <v>143</v>
      </c>
      <c r="Z99" s="35">
        <v>7589154</v>
      </c>
      <c r="AA99" s="35">
        <v>86</v>
      </c>
      <c r="AB99" s="35">
        <v>43</v>
      </c>
      <c r="AC99" s="35"/>
      <c r="AE99" s="51">
        <f>M99/O99</f>
        <v>1</v>
      </c>
      <c r="AG99" s="6" t="str">
        <f>C99</f>
        <v>90MB1BJ0-C1BAY0</v>
      </c>
      <c r="AH99" s="6" t="str">
        <f>IF($D99&lt;=AH$4,"",IF(AND($D98=AH$4,$D99&gt;AH$4),$F98,AH98))</f>
        <v>59MB1BJB-MB0A02S</v>
      </c>
      <c r="AI99" s="6" t="str">
        <f>IF($D99&lt;=AI$4,"",IF(AND($D98=AI$4,$D99&gt;AI$4),$F98,AI98))</f>
        <v/>
      </c>
      <c r="AJ99" s="6" t="str">
        <f>IF($D99&lt;=AJ$4,"",IF(AND($D98=AJ$4,$D99&gt;AJ$4),$F98,AJ98))</f>
        <v/>
      </c>
      <c r="AK99" s="6" t="str">
        <f>IF($D99&lt;=AK$4,"",IF(AND($D98=AK$4,$D99&gt;AK$4),$F98,AK98))</f>
        <v/>
      </c>
      <c r="AL99" s="6" t="str">
        <f>IF($D99&lt;=AL$4,"",IF(AND($D98=AL$4,$D99&gt;AL$4),$F98,AL98))</f>
        <v/>
      </c>
      <c r="AM99" s="6" t="str">
        <f>IF($D99&lt;=AM$4,"",IF(AND($D98=AM$4,$D99&gt;AM$4),$F98,AM98))</f>
        <v/>
      </c>
      <c r="AN99" s="6" t="str">
        <f>IF($D99&lt;=AN$4,"",IF(AND($D98=AN$4,$D99&gt;AN$4),$F98,AN98))</f>
        <v/>
      </c>
      <c r="AO99" s="6" t="str">
        <f>CONCATENATE(AG99," | ",AH99," | ",AI99," | ",AJ99," | ",AK99," | ",AL99," | ",AM99," | ",AN99)</f>
        <v xml:space="preserve">90MB1BJ0-C1BAY0 | 59MB1BJB-MB0A02S |  |  |  |  |  | </v>
      </c>
      <c r="AP99" s="6">
        <f>IF(TRIM(H99)="",100,J99)</f>
        <v>0</v>
      </c>
      <c r="AQ99" s="4"/>
      <c r="AR99" s="6" t="b">
        <f>NOT(TRIM(W99)&lt;&gt;"F")</f>
        <v>1</v>
      </c>
      <c r="AS99" s="6" t="str">
        <f>$B99&amp;" | "&amp;$AO99&amp;" | "&amp;IF(TRIM(H99)="","uniq"&amp;ROW(),TRIM(H99))</f>
        <v>461E | 90MB1BJ0-C1BAY0 | 59MB1BJB-MB0A02S |  |  |  |  |  |  | 26</v>
      </c>
      <c r="AT99" s="63">
        <f>IF(NOT(AR99),IF(TRIM($H99)="","Assembly","Phantom Alt"),VLOOKUP(F99,ZPCS04!B:G,6,0))</f>
        <v>1255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</v>
      </c>
      <c r="AX99" s="7"/>
      <c r="AY99" s="6" t="b">
        <f>SUMIF(AS:AS,AS99,AP:AP)=100</f>
        <v>1</v>
      </c>
      <c r="AZ99" s="6" t="b">
        <f>SUMIF(AS:AS,AS99,AE:AE)/COUNTIF(AS:AS,AS99)=AE99</f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>C99&amp;" | "&amp;F99</f>
        <v>90MB1BJ0-C1BAY0 | 06103-00231000</v>
      </c>
      <c r="BE99" s="55" t="str">
        <f ca="1">C99&amp;" | "&amp;OFFSET($AF99,0,8-COUNTBLANK($AG99:$AN99))</f>
        <v>90MB1BJ0-C1BAY0 | 59MB1BJB-MB0A02S</v>
      </c>
      <c r="BF99" s="57">
        <f ca="1">IFERROR(VLOOKUP($BE99,$BD$5:$BF98,3,0)*$AE99,VLOOKUP($C99,Demanda!$A:$B,2,0)*$AE99)*IF(AT99="Phantom Alt",$BC99,TRUE)</f>
        <v>1000</v>
      </c>
      <c r="BG99" s="57">
        <f ca="1">BF99*(AP99/100)</f>
        <v>0</v>
      </c>
      <c r="BH99" s="57">
        <f>SUMIF(Invoice!A:A,F99,Invoice!B:B)</f>
        <v>0</v>
      </c>
      <c r="BI99" s="57">
        <f ca="1">SUMIF(AS:AS,AS99,BG:BG)</f>
        <v>1000</v>
      </c>
      <c r="BJ99" s="57">
        <f ca="1">MIN((BI99-SUMIF($AS$5:AS98,AS99,$BJ$5:BJ98)),MAX(0,BH99-SUMIF($F$5:F98,F99,$BJ$5:BJ98)))</f>
        <v>0</v>
      </c>
      <c r="BK99" s="57">
        <f ca="1">(-SUMIF(AS:AS,AS99,BG:BG)+SUMIF(AS:AS,AS99,BJ:BJ))*(AP99=100)*AR99</f>
        <v>0</v>
      </c>
      <c r="BL99" s="57">
        <f ca="1">MAX(0,SUMIF(Invoice!A:A,F99,Invoice!B:B)-SUMIF(F:F,F99,BJ:BJ))*(COUNTIF(F:F,F99)=COUNTIF($F$5:F99,F99))</f>
        <v>0</v>
      </c>
    </row>
    <row r="100" spans="1:64" hidden="1">
      <c r="A100" s="43">
        <v>100</v>
      </c>
      <c r="B100" s="35" t="s">
        <v>147</v>
      </c>
      <c r="C100" s="35" t="s">
        <v>146</v>
      </c>
      <c r="D100" s="35">
        <v>2</v>
      </c>
      <c r="E100" s="35">
        <v>270</v>
      </c>
      <c r="F100" s="64" t="s">
        <v>363</v>
      </c>
      <c r="G100" s="73" t="s">
        <v>364</v>
      </c>
      <c r="H100" s="35">
        <v>27</v>
      </c>
      <c r="I100" s="35" t="s">
        <v>54</v>
      </c>
      <c r="J100" s="35">
        <v>100</v>
      </c>
      <c r="K100" s="35" t="s">
        <v>150</v>
      </c>
      <c r="L100" s="35" t="s">
        <v>53</v>
      </c>
      <c r="M100" s="35">
        <v>1</v>
      </c>
      <c r="N100" s="35">
        <v>1</v>
      </c>
      <c r="O100" s="35">
        <v>1</v>
      </c>
      <c r="P100" s="35">
        <v>2</v>
      </c>
      <c r="Q100" s="35">
        <v>1</v>
      </c>
      <c r="R100" s="35" t="s">
        <v>73</v>
      </c>
      <c r="S100" s="35" t="s">
        <v>73</v>
      </c>
      <c r="T100" s="36">
        <v>44901</v>
      </c>
      <c r="U100" s="36">
        <v>2958465</v>
      </c>
      <c r="V100" s="35" t="s">
        <v>282</v>
      </c>
      <c r="W100" s="35" t="s">
        <v>145</v>
      </c>
      <c r="X100" s="35"/>
      <c r="Y100" s="35" t="s">
        <v>143</v>
      </c>
      <c r="Z100" s="35">
        <v>7589154</v>
      </c>
      <c r="AA100" s="35">
        <v>88</v>
      </c>
      <c r="AB100" s="35">
        <v>44</v>
      </c>
      <c r="AC100" s="35"/>
      <c r="AE100" s="51">
        <f>M100/O100</f>
        <v>1</v>
      </c>
      <c r="AG100" s="6" t="str">
        <f>C100</f>
        <v>90MB1BJ0-C1BAY0</v>
      </c>
      <c r="AH100" s="6" t="str">
        <f>IF($D100&lt;=AH$4,"",IF(AND($D99=AH$4,$D100&gt;AH$4),$F99,AH99))</f>
        <v>59MB1BJB-MB0A02S</v>
      </c>
      <c r="AI100" s="6" t="str">
        <f>IF($D100&lt;=AI$4,"",IF(AND($D99=AI$4,$D100&gt;AI$4),$F99,AI99))</f>
        <v/>
      </c>
      <c r="AJ100" s="6" t="str">
        <f>IF($D100&lt;=AJ$4,"",IF(AND($D99=AJ$4,$D100&gt;AJ$4),$F99,AJ99))</f>
        <v/>
      </c>
      <c r="AK100" s="6" t="str">
        <f>IF($D100&lt;=AK$4,"",IF(AND($D99=AK$4,$D100&gt;AK$4),$F99,AK99))</f>
        <v/>
      </c>
      <c r="AL100" s="6" t="str">
        <f>IF($D100&lt;=AL$4,"",IF(AND($D99=AL$4,$D100&gt;AL$4),$F99,AL99))</f>
        <v/>
      </c>
      <c r="AM100" s="6" t="str">
        <f>IF($D100&lt;=AM$4,"",IF(AND($D99=AM$4,$D100&gt;AM$4),$F99,AM99))</f>
        <v/>
      </c>
      <c r="AN100" s="6" t="str">
        <f>IF($D100&lt;=AN$4,"",IF(AND($D99=AN$4,$D100&gt;AN$4),$F99,AN99))</f>
        <v/>
      </c>
      <c r="AO100" s="6" t="str">
        <f>CONCATENATE(AG100," | ",AH100," | ",AI100," | ",AJ100," | ",AK100," | ",AL100," | ",AM100," | ",AN100)</f>
        <v xml:space="preserve">90MB1BJ0-C1BAY0 | 59MB1BJB-MB0A02S |  |  |  |  |  | </v>
      </c>
      <c r="AP100" s="6">
        <f>IF(TRIM(H100)="",100,J100)</f>
        <v>100</v>
      </c>
      <c r="AQ100" s="4"/>
      <c r="AR100" s="6" t="b">
        <f>NOT(TRIM(W100)&lt;&gt;"F")</f>
        <v>1</v>
      </c>
      <c r="AS100" s="6" t="str">
        <f>$B100&amp;" | "&amp;$AO100&amp;" | "&amp;IF(TRIM(H100)="","uniq"&amp;ROW(),TRIM(H100))</f>
        <v>461E | 90MB1BJ0-C1BAY0 | 59MB1BJB-MB0A02S |  |  |  |  |  |  | 27</v>
      </c>
      <c r="AT100" s="63">
        <f>IF(NOT(AR100),IF(TRIM($H100)="","Assembly","Phantom Alt"),VLOOKUP(F100,ZPCS04!B:G,6,0))</f>
        <v>927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1.9999999900000001</v>
      </c>
      <c r="AX100" s="7"/>
      <c r="AY100" s="6" t="b">
        <f>SUMIF(AS:AS,AS100,AP:AP)=100</f>
        <v>1</v>
      </c>
      <c r="AZ100" s="6" t="b">
        <f>SUMIF(AS:AS,AS100,AE:AE)/COUNTIF(AS:AS,AS100)=AE100</f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>C100&amp;" | "&amp;F100</f>
        <v>90MB1BJ0-C1BAY0 | 06106-00400000</v>
      </c>
      <c r="BE100" s="55" t="str">
        <f ca="1">C100&amp;" | "&amp;OFFSET($AF100,0,8-COUNTBLANK($AG100:$AN100))</f>
        <v>90MB1BJ0-C1BAY0 | 59MB1BJB-MB0A02S</v>
      </c>
      <c r="BF100" s="57">
        <f ca="1">IFERROR(VLOOKUP($BE100,$BD$5:$BF99,3,0)*$AE100,VLOOKUP($C100,Demanda!$A:$B,2,0)*$AE100)*IF(AT100="Phantom Alt",$BC100,TRUE)</f>
        <v>1000</v>
      </c>
      <c r="BG100" s="57">
        <f ca="1">BF100*(AP100/100)</f>
        <v>1000</v>
      </c>
      <c r="BH100" s="57">
        <f>SUMIF(Invoice!A:A,F100,Invoice!B:B)</f>
        <v>1000</v>
      </c>
      <c r="BI100" s="57">
        <f ca="1">SUMIF(AS:AS,AS100,BG:BG)</f>
        <v>1000</v>
      </c>
      <c r="BJ100" s="57">
        <f ca="1">MIN((BI100-SUMIF($AS$5:AS99,AS100,$BJ$5:BJ99)),MAX(0,BH100-SUMIF($F$5:F99,F100,$BJ$5:BJ99)))</f>
        <v>1000</v>
      </c>
      <c r="BK100" s="57">
        <f ca="1">(-SUMIF(AS:AS,AS100,BG:BG)+SUMIF(AS:AS,AS100,BJ:BJ))*(AP100=100)*AR100</f>
        <v>0</v>
      </c>
      <c r="BL100" s="57">
        <f ca="1">MAX(0,SUMIF(Invoice!A:A,F100,Invoice!B:B)-SUMIF(F:F,F100,BJ:BJ))*(COUNTIF(F:F,F100)=COUNTIF($F$5:F100,F100))</f>
        <v>0</v>
      </c>
    </row>
    <row r="101" spans="1:64" hidden="1">
      <c r="A101" s="43">
        <v>101</v>
      </c>
      <c r="B101" s="35" t="s">
        <v>147</v>
      </c>
      <c r="C101" s="35" t="s">
        <v>146</v>
      </c>
      <c r="D101" s="35">
        <v>2</v>
      </c>
      <c r="E101" s="35">
        <v>270</v>
      </c>
      <c r="F101" s="64" t="s">
        <v>365</v>
      </c>
      <c r="G101" s="73" t="s">
        <v>366</v>
      </c>
      <c r="H101" s="35">
        <v>27</v>
      </c>
      <c r="I101" s="35" t="s">
        <v>55</v>
      </c>
      <c r="J101" s="35">
        <v>0</v>
      </c>
      <c r="K101" s="35" t="s">
        <v>150</v>
      </c>
      <c r="L101" s="35" t="s">
        <v>53</v>
      </c>
      <c r="M101" s="35">
        <v>1</v>
      </c>
      <c r="N101" s="35"/>
      <c r="O101" s="35">
        <v>1</v>
      </c>
      <c r="P101" s="35">
        <v>2</v>
      </c>
      <c r="Q101" s="35">
        <v>2</v>
      </c>
      <c r="R101" s="35" t="s">
        <v>73</v>
      </c>
      <c r="S101" s="35" t="s">
        <v>73</v>
      </c>
      <c r="T101" s="36">
        <v>44901</v>
      </c>
      <c r="U101" s="36">
        <v>2958465</v>
      </c>
      <c r="V101" s="35" t="s">
        <v>282</v>
      </c>
      <c r="W101" s="35" t="s">
        <v>145</v>
      </c>
      <c r="X101" s="35"/>
      <c r="Y101" s="35" t="s">
        <v>143</v>
      </c>
      <c r="Z101" s="35">
        <v>7589154</v>
      </c>
      <c r="AA101" s="35">
        <v>90</v>
      </c>
      <c r="AB101" s="35">
        <v>45</v>
      </c>
      <c r="AC101" s="35"/>
      <c r="AE101" s="51">
        <f>M101/O101</f>
        <v>1</v>
      </c>
      <c r="AG101" s="6" t="str">
        <f>C101</f>
        <v>90MB1BJ0-C1BAY0</v>
      </c>
      <c r="AH101" s="6" t="str">
        <f>IF($D101&lt;=AH$4,"",IF(AND($D100=AH$4,$D101&gt;AH$4),$F100,AH100))</f>
        <v>59MB1BJB-MB0A02S</v>
      </c>
      <c r="AI101" s="6" t="str">
        <f>IF($D101&lt;=AI$4,"",IF(AND($D100=AI$4,$D101&gt;AI$4),$F100,AI100))</f>
        <v/>
      </c>
      <c r="AJ101" s="6" t="str">
        <f>IF($D101&lt;=AJ$4,"",IF(AND($D100=AJ$4,$D101&gt;AJ$4),$F100,AJ100))</f>
        <v/>
      </c>
      <c r="AK101" s="6" t="str">
        <f>IF($D101&lt;=AK$4,"",IF(AND($D100=AK$4,$D101&gt;AK$4),$F100,AK100))</f>
        <v/>
      </c>
      <c r="AL101" s="6" t="str">
        <f>IF($D101&lt;=AL$4,"",IF(AND($D100=AL$4,$D101&gt;AL$4),$F100,AL100))</f>
        <v/>
      </c>
      <c r="AM101" s="6" t="str">
        <f>IF($D101&lt;=AM$4,"",IF(AND($D100=AM$4,$D101&gt;AM$4),$F100,AM100))</f>
        <v/>
      </c>
      <c r="AN101" s="6" t="str">
        <f>IF($D101&lt;=AN$4,"",IF(AND($D100=AN$4,$D101&gt;AN$4),$F100,AN100))</f>
        <v/>
      </c>
      <c r="AO101" s="6" t="str">
        <f>CONCATENATE(AG101," | ",AH101," | ",AI101," | ",AJ101," | ",AK101," | ",AL101," | ",AM101," | ",AN101)</f>
        <v xml:space="preserve">90MB1BJ0-C1BAY0 | 59MB1BJB-MB0A02S |  |  |  |  |  | </v>
      </c>
      <c r="AP101" s="6">
        <f>IF(TRIM(H101)="",100,J101)</f>
        <v>0</v>
      </c>
      <c r="AQ101" s="4"/>
      <c r="AR101" s="6" t="b">
        <f>NOT(TRIM(W101)&lt;&gt;"F")</f>
        <v>1</v>
      </c>
      <c r="AS101" s="6" t="str">
        <f>$B101&amp;" | "&amp;$AO101&amp;" | "&amp;IF(TRIM(H101)="","uniq"&amp;ROW(),TRIM(H101))</f>
        <v>461E | 90MB1BJ0-C1BAY0 | 59MB1BJB-MB0A02S |  |  |  |  |  |  | 27</v>
      </c>
      <c r="AT101" s="63">
        <f>IF(NOT(AR101),IF(TRIM($H101)="","Assembly","Phantom Alt"),VLOOKUP(F101,ZPCS04!B:G,6,0))</f>
        <v>927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2</v>
      </c>
      <c r="AX101" s="7"/>
      <c r="AY101" s="6" t="b">
        <f>SUMIF(AS:AS,AS101,AP:AP)=100</f>
        <v>1</v>
      </c>
      <c r="AZ101" s="6" t="b">
        <f>SUMIF(AS:AS,AS101,AE:AE)/COUNTIF(AS:AS,AS101)=AE101</f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>C101&amp;" | "&amp;F101</f>
        <v>90MB1BJ0-C1BAY0 | 06106-00400100</v>
      </c>
      <c r="BE101" s="55" t="str">
        <f ca="1">C101&amp;" | "&amp;OFFSET($AF101,0,8-COUNTBLANK($AG101:$AN101))</f>
        <v>90MB1BJ0-C1BAY0 | 59MB1BJB-MB0A02S</v>
      </c>
      <c r="BF101" s="57">
        <f ca="1">IFERROR(VLOOKUP($BE101,$BD$5:$BF100,3,0)*$AE101,VLOOKUP($C101,Demanda!$A:$B,2,0)*$AE101)*IF(AT101="Phantom Alt",$BC101,TRUE)</f>
        <v>1000</v>
      </c>
      <c r="BG101" s="57">
        <f ca="1">BF101*(AP101/100)</f>
        <v>0</v>
      </c>
      <c r="BH101" s="57">
        <f>SUMIF(Invoice!A:A,F101,Invoice!B:B)</f>
        <v>0</v>
      </c>
      <c r="BI101" s="57">
        <f ca="1">SUMIF(AS:AS,AS101,BG:BG)</f>
        <v>1000</v>
      </c>
      <c r="BJ101" s="57">
        <f ca="1">MIN((BI101-SUMIF($AS$5:AS100,AS101,$BJ$5:BJ100)),MAX(0,BH101-SUMIF($F$5:F100,F101,$BJ$5:BJ100)))</f>
        <v>0</v>
      </c>
      <c r="BK101" s="57">
        <f ca="1">(-SUMIF(AS:AS,AS101,BG:BG)+SUMIF(AS:AS,AS101,BJ:BJ))*(AP101=100)*AR101</f>
        <v>0</v>
      </c>
      <c r="BL101" s="57">
        <f ca="1">MAX(0,SUMIF(Invoice!A:A,F101,Invoice!B:B)-SUMIF(F:F,F101,BJ:BJ))*(COUNTIF(F:F,F101)=COUNTIF($F$5:F101,F101))</f>
        <v>0</v>
      </c>
    </row>
    <row r="102" spans="1:64" hidden="1">
      <c r="A102" s="43">
        <v>102</v>
      </c>
      <c r="B102" s="35" t="s">
        <v>147</v>
      </c>
      <c r="C102" s="35" t="s">
        <v>146</v>
      </c>
      <c r="D102" s="35">
        <v>2</v>
      </c>
      <c r="E102" s="35">
        <v>280</v>
      </c>
      <c r="F102" s="64" t="s">
        <v>367</v>
      </c>
      <c r="G102" s="73" t="s">
        <v>368</v>
      </c>
      <c r="H102" s="35"/>
      <c r="I102" s="35" t="s">
        <v>54</v>
      </c>
      <c r="J102" s="35">
        <v>0</v>
      </c>
      <c r="K102" s="35" t="s">
        <v>150</v>
      </c>
      <c r="L102" s="35" t="s">
        <v>53</v>
      </c>
      <c r="M102" s="35">
        <v>1</v>
      </c>
      <c r="N102" s="35">
        <v>1</v>
      </c>
      <c r="O102" s="35">
        <v>1</v>
      </c>
      <c r="P102" s="35"/>
      <c r="Q102" s="35"/>
      <c r="R102" s="35" t="s">
        <v>73</v>
      </c>
      <c r="S102" s="35" t="s">
        <v>73</v>
      </c>
      <c r="T102" s="36">
        <v>44901</v>
      </c>
      <c r="U102" s="36">
        <v>2958465</v>
      </c>
      <c r="V102" s="35" t="s">
        <v>282</v>
      </c>
      <c r="W102" s="35" t="s">
        <v>145</v>
      </c>
      <c r="X102" s="35"/>
      <c r="Y102" s="35" t="s">
        <v>143</v>
      </c>
      <c r="Z102" s="35">
        <v>7589154</v>
      </c>
      <c r="AA102" s="35">
        <v>92</v>
      </c>
      <c r="AB102" s="35">
        <v>46</v>
      </c>
      <c r="AC102" s="35"/>
      <c r="AE102" s="51">
        <f>M102/O102</f>
        <v>1</v>
      </c>
      <c r="AG102" s="6" t="str">
        <f>C102</f>
        <v>90MB1BJ0-C1BAY0</v>
      </c>
      <c r="AH102" s="6" t="str">
        <f>IF($D102&lt;=AH$4,"",IF(AND($D101=AH$4,$D102&gt;AH$4),$F101,AH101))</f>
        <v>59MB1BJB-MB0A02S</v>
      </c>
      <c r="AI102" s="6" t="str">
        <f>IF($D102&lt;=AI$4,"",IF(AND($D101=AI$4,$D102&gt;AI$4),$F101,AI101))</f>
        <v/>
      </c>
      <c r="AJ102" s="6" t="str">
        <f>IF($D102&lt;=AJ$4,"",IF(AND($D101=AJ$4,$D102&gt;AJ$4),$F101,AJ101))</f>
        <v/>
      </c>
      <c r="AK102" s="6" t="str">
        <f>IF($D102&lt;=AK$4,"",IF(AND($D101=AK$4,$D102&gt;AK$4),$F101,AK101))</f>
        <v/>
      </c>
      <c r="AL102" s="6" t="str">
        <f>IF($D102&lt;=AL$4,"",IF(AND($D101=AL$4,$D102&gt;AL$4),$F101,AL101))</f>
        <v/>
      </c>
      <c r="AM102" s="6" t="str">
        <f>IF($D102&lt;=AM$4,"",IF(AND($D101=AM$4,$D102&gt;AM$4),$F101,AM101))</f>
        <v/>
      </c>
      <c r="AN102" s="6" t="str">
        <f>IF($D102&lt;=AN$4,"",IF(AND($D101=AN$4,$D102&gt;AN$4),$F101,AN101))</f>
        <v/>
      </c>
      <c r="AO102" s="6" t="str">
        <f>CONCATENATE(AG102," | ",AH102," | ",AI102," | ",AJ102," | ",AK102," | ",AL102," | ",AM102," | ",AN102)</f>
        <v xml:space="preserve">90MB1BJ0-C1BAY0 | 59MB1BJB-MB0A02S |  |  |  |  |  | </v>
      </c>
      <c r="AP102" s="6">
        <f>IF(TRIM(H102)="",100,J102)</f>
        <v>100</v>
      </c>
      <c r="AQ102" s="4"/>
      <c r="AR102" s="6" t="b">
        <f>NOT(TRIM(W102)&lt;&gt;"F")</f>
        <v>1</v>
      </c>
      <c r="AS102" s="6" t="str">
        <f>$B102&amp;" | "&amp;$AO102&amp;" | "&amp;IF(TRIM(H102)="","uniq"&amp;ROW(),TRIM(H102))</f>
        <v>461E | 90MB1BJ0-C1BAY0 | 59MB1BJB-MB0A02S |  |  |  |  |  |  | uniq102</v>
      </c>
      <c r="AT102" s="63">
        <f>IF(NOT(AR102),IF(TRIM($H102)="","Assembly","Phantom Alt"),VLOOKUP(F102,ZPCS04!B:G,6,0))</f>
        <v>61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1.9999999509999999</v>
      </c>
      <c r="AX102" s="7"/>
      <c r="AY102" s="6" t="b">
        <f>SUMIF(AS:AS,AS102,AP:AP)=100</f>
        <v>1</v>
      </c>
      <c r="AZ102" s="6" t="b">
        <f>SUMIF(AS:AS,AS102,AE:AE)/COUNTIF(AS:AS,AS102)=AE102</f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>C102&amp;" | "&amp;F102</f>
        <v>90MB1BJ0-C1BAY0 | 06106-00890100</v>
      </c>
      <c r="BE102" s="55" t="str">
        <f ca="1">C102&amp;" | "&amp;OFFSET($AF102,0,8-COUNTBLANK($AG102:$AN102))</f>
        <v>90MB1BJ0-C1BAY0 | 59MB1BJB-MB0A02S</v>
      </c>
      <c r="BF102" s="57">
        <f ca="1">IFERROR(VLOOKUP($BE102,$BD$5:$BF101,3,0)*$AE102,VLOOKUP($C102,Demanda!$A:$B,2,0)*$AE102)*IF(AT102="Phantom Alt",$BC102,TRUE)</f>
        <v>1000</v>
      </c>
      <c r="BG102" s="57">
        <f ca="1">BF102*(AP102/100)</f>
        <v>1000</v>
      </c>
      <c r="BH102" s="57">
        <f>SUMIF(Invoice!A:A,F102,Invoice!B:B)</f>
        <v>4900</v>
      </c>
      <c r="BI102" s="57">
        <f ca="1">SUMIF(AS:AS,AS102,BG:BG)</f>
        <v>1000</v>
      </c>
      <c r="BJ102" s="57">
        <f ca="1">MIN((BI102-SUMIF($AS$5:AS101,AS102,$BJ$5:BJ101)),MAX(0,BH102-SUMIF($F$5:F101,F102,$BJ$5:BJ101)))</f>
        <v>1000</v>
      </c>
      <c r="BK102" s="57">
        <f ca="1">(-SUMIF(AS:AS,AS102,BG:BG)+SUMIF(AS:AS,AS102,BJ:BJ))*(AP102=100)*AR102</f>
        <v>0</v>
      </c>
      <c r="BL102" s="57">
        <f ca="1">MAX(0,SUMIF(Invoice!A:A,F102,Invoice!B:B)-SUMIF(F:F,F102,BJ:BJ))*(COUNTIF(F:F,F102)=COUNTIF($F$5:F102,F102))</f>
        <v>3900</v>
      </c>
    </row>
    <row r="103" spans="1:64" hidden="1">
      <c r="A103" s="43">
        <v>103</v>
      </c>
      <c r="B103" s="35" t="s">
        <v>147</v>
      </c>
      <c r="C103" s="35" t="s">
        <v>146</v>
      </c>
      <c r="D103" s="35">
        <v>2</v>
      </c>
      <c r="E103" s="35">
        <v>290</v>
      </c>
      <c r="F103" s="64" t="s">
        <v>369</v>
      </c>
      <c r="G103" s="73" t="s">
        <v>370</v>
      </c>
      <c r="H103" s="35"/>
      <c r="I103" s="35" t="s">
        <v>54</v>
      </c>
      <c r="J103" s="35">
        <v>0</v>
      </c>
      <c r="K103" s="35" t="s">
        <v>150</v>
      </c>
      <c r="L103" s="35" t="s">
        <v>53</v>
      </c>
      <c r="M103" s="35">
        <v>1</v>
      </c>
      <c r="N103" s="35">
        <v>1</v>
      </c>
      <c r="O103" s="35">
        <v>1</v>
      </c>
      <c r="P103" s="35"/>
      <c r="Q103" s="35"/>
      <c r="R103" s="35" t="s">
        <v>73</v>
      </c>
      <c r="S103" s="35" t="s">
        <v>73</v>
      </c>
      <c r="T103" s="36">
        <v>44901</v>
      </c>
      <c r="U103" s="36">
        <v>2958465</v>
      </c>
      <c r="V103" s="35" t="s">
        <v>282</v>
      </c>
      <c r="W103" s="35" t="s">
        <v>145</v>
      </c>
      <c r="X103" s="35"/>
      <c r="Y103" s="35" t="s">
        <v>143</v>
      </c>
      <c r="Z103" s="35">
        <v>7589154</v>
      </c>
      <c r="AA103" s="35">
        <v>94</v>
      </c>
      <c r="AB103" s="35">
        <v>47</v>
      </c>
      <c r="AC103" s="35"/>
      <c r="AE103" s="51">
        <f>M103/O103</f>
        <v>1</v>
      </c>
      <c r="AG103" s="6" t="str">
        <f>C103</f>
        <v>90MB1BJ0-C1BAY0</v>
      </c>
      <c r="AH103" s="6" t="str">
        <f>IF($D103&lt;=AH$4,"",IF(AND($D102=AH$4,$D103&gt;AH$4),$F102,AH102))</f>
        <v>59MB1BJB-MB0A02S</v>
      </c>
      <c r="AI103" s="6" t="str">
        <f>IF($D103&lt;=AI$4,"",IF(AND($D102=AI$4,$D103&gt;AI$4),$F102,AI102))</f>
        <v/>
      </c>
      <c r="AJ103" s="6" t="str">
        <f>IF($D103&lt;=AJ$4,"",IF(AND($D102=AJ$4,$D103&gt;AJ$4),$F102,AJ102))</f>
        <v/>
      </c>
      <c r="AK103" s="6" t="str">
        <f>IF($D103&lt;=AK$4,"",IF(AND($D102=AK$4,$D103&gt;AK$4),$F102,AK102))</f>
        <v/>
      </c>
      <c r="AL103" s="6" t="str">
        <f>IF($D103&lt;=AL$4,"",IF(AND($D102=AL$4,$D103&gt;AL$4),$F102,AL102))</f>
        <v/>
      </c>
      <c r="AM103" s="6" t="str">
        <f>IF($D103&lt;=AM$4,"",IF(AND($D102=AM$4,$D103&gt;AM$4),$F102,AM102))</f>
        <v/>
      </c>
      <c r="AN103" s="6" t="str">
        <f>IF($D103&lt;=AN$4,"",IF(AND($D102=AN$4,$D103&gt;AN$4),$F102,AN102))</f>
        <v/>
      </c>
      <c r="AO103" s="6" t="str">
        <f>CONCATENATE(AG103," | ",AH103," | ",AI103," | ",AJ103," | ",AK103," | ",AL103," | ",AM103," | ",AN103)</f>
        <v xml:space="preserve">90MB1BJ0-C1BAY0 | 59MB1BJB-MB0A02S |  |  |  |  |  | </v>
      </c>
      <c r="AP103" s="6">
        <f>IF(TRIM(H103)="",100,J103)</f>
        <v>100</v>
      </c>
      <c r="AQ103" s="4"/>
      <c r="AR103" s="6" t="b">
        <f>NOT(TRIM(W103)&lt;&gt;"F")</f>
        <v>1</v>
      </c>
      <c r="AS103" s="6" t="str">
        <f>$B103&amp;" | "&amp;$AO103&amp;" | "&amp;IF(TRIM(H103)="","uniq"&amp;ROW(),TRIM(H103))</f>
        <v>461E | 90MB1BJ0-C1BAY0 | 59MB1BJB-MB0A02S |  |  |  |  |  |  | uniq103</v>
      </c>
      <c r="AT103" s="63">
        <f>IF(NOT(AR103),IF(TRIM($H103)="","Assembly","Phantom Alt"),VLOOKUP(F103,ZPCS04!B:G,6,0))</f>
        <v>332</v>
      </c>
      <c r="AU103" s="7"/>
      <c r="AV103" s="38">
        <f ca="1">IF(TRIM($W103)="F",OFFSET($A$5,MATCH($AS103,$AS$5:$AS103,0)-1,0),$A103)</f>
        <v>103</v>
      </c>
      <c r="AW103" s="38">
        <f ca="1">IFERROR(OFFSET(ZPCS04!$A$1,MATCH(F103,ZPCS04!B:B,0)-1,0),100)</f>
        <v>1.9999999900000001</v>
      </c>
      <c r="AX103" s="7"/>
      <c r="AY103" s="6" t="b">
        <f>SUMIF(AS:AS,AS103,AP:AP)=100</f>
        <v>1</v>
      </c>
      <c r="AZ103" s="6" t="b">
        <f>SUMIF(AS:AS,AS103,AE:AE)/COUNTIF(AS:AS,AS103)=AE103</f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>C103&amp;" | "&amp;F103</f>
        <v>90MB1BJ0-C1BAY0 | 06112-00390400</v>
      </c>
      <c r="BE103" s="55" t="str">
        <f ca="1">C103&amp;" | "&amp;OFFSET($AF103,0,8-COUNTBLANK($AG103:$AN103))</f>
        <v>90MB1BJ0-C1BAY0 | 59MB1BJB-MB0A02S</v>
      </c>
      <c r="BF103" s="57">
        <f ca="1">IFERROR(VLOOKUP($BE103,$BD$5:$BF102,3,0)*$AE103,VLOOKUP($C103,Demanda!$A:$B,2,0)*$AE103)*IF(AT103="Phantom Alt",$BC103,TRUE)</f>
        <v>1000</v>
      </c>
      <c r="BG103" s="57">
        <f ca="1">BF103*(AP103/100)</f>
        <v>1000</v>
      </c>
      <c r="BH103" s="57">
        <f>SUMIF(Invoice!A:A,F103,Invoice!B:B)</f>
        <v>1000</v>
      </c>
      <c r="BI103" s="57">
        <f ca="1">SUMIF(AS:AS,AS103,BG:BG)</f>
        <v>1000</v>
      </c>
      <c r="BJ103" s="57">
        <f ca="1">MIN((BI103-SUMIF($AS$5:AS102,AS103,$BJ$5:BJ102)),MAX(0,BH103-SUMIF($F$5:F102,F103,$BJ$5:BJ102)))</f>
        <v>1000</v>
      </c>
      <c r="BK103" s="57">
        <f ca="1">(-SUMIF(AS:AS,AS103,BG:BG)+SUMIF(AS:AS,AS103,BJ:BJ))*(AP103=100)*AR103</f>
        <v>0</v>
      </c>
      <c r="BL103" s="57">
        <f ca="1">MAX(0,SUMIF(Invoice!A:A,F103,Invoice!B:B)-SUMIF(F:F,F103,BJ:BJ))*(COUNTIF(F:F,F103)=COUNTIF($F$5:F103,F103))</f>
        <v>0</v>
      </c>
    </row>
    <row r="104" spans="1:64" hidden="1">
      <c r="A104" s="43">
        <v>104</v>
      </c>
      <c r="B104" s="35" t="s">
        <v>147</v>
      </c>
      <c r="C104" s="35" t="s">
        <v>146</v>
      </c>
      <c r="D104" s="35">
        <v>2</v>
      </c>
      <c r="E104" s="35">
        <v>300</v>
      </c>
      <c r="F104" s="64" t="s">
        <v>371</v>
      </c>
      <c r="G104" s="73" t="s">
        <v>372</v>
      </c>
      <c r="H104" s="35"/>
      <c r="I104" s="35" t="s">
        <v>54</v>
      </c>
      <c r="J104" s="35">
        <v>0</v>
      </c>
      <c r="K104" s="35" t="s">
        <v>150</v>
      </c>
      <c r="L104" s="35" t="s">
        <v>53</v>
      </c>
      <c r="M104" s="35">
        <v>2</v>
      </c>
      <c r="N104" s="35">
        <v>2</v>
      </c>
      <c r="O104" s="35">
        <v>1</v>
      </c>
      <c r="P104" s="35"/>
      <c r="Q104" s="35"/>
      <c r="R104" s="35" t="s">
        <v>73</v>
      </c>
      <c r="S104" s="35" t="s">
        <v>73</v>
      </c>
      <c r="T104" s="36">
        <v>44901</v>
      </c>
      <c r="U104" s="36">
        <v>2958465</v>
      </c>
      <c r="V104" s="35" t="s">
        <v>282</v>
      </c>
      <c r="W104" s="35" t="s">
        <v>145</v>
      </c>
      <c r="X104" s="35"/>
      <c r="Y104" s="35" t="s">
        <v>143</v>
      </c>
      <c r="Z104" s="35">
        <v>7589154</v>
      </c>
      <c r="AA104" s="35">
        <v>96</v>
      </c>
      <c r="AB104" s="35">
        <v>48</v>
      </c>
      <c r="AC104" s="35" t="s">
        <v>144</v>
      </c>
      <c r="AE104" s="51">
        <f>M104/O104</f>
        <v>2</v>
      </c>
      <c r="AG104" s="6" t="str">
        <f>C104</f>
        <v>90MB1BJ0-C1BAY0</v>
      </c>
      <c r="AH104" s="6" t="str">
        <f>IF($D104&lt;=AH$4,"",IF(AND($D103=AH$4,$D104&gt;AH$4),$F103,AH103))</f>
        <v>59MB1BJB-MB0A02S</v>
      </c>
      <c r="AI104" s="6" t="str">
        <f>IF($D104&lt;=AI$4,"",IF(AND($D103=AI$4,$D104&gt;AI$4),$F103,AI103))</f>
        <v/>
      </c>
      <c r="AJ104" s="6" t="str">
        <f>IF($D104&lt;=AJ$4,"",IF(AND($D103=AJ$4,$D104&gt;AJ$4),$F103,AJ103))</f>
        <v/>
      </c>
      <c r="AK104" s="6" t="str">
        <f>IF($D104&lt;=AK$4,"",IF(AND($D103=AK$4,$D104&gt;AK$4),$F103,AK103))</f>
        <v/>
      </c>
      <c r="AL104" s="6" t="str">
        <f>IF($D104&lt;=AL$4,"",IF(AND($D103=AL$4,$D104&gt;AL$4),$F103,AL103))</f>
        <v/>
      </c>
      <c r="AM104" s="6" t="str">
        <f>IF($D104&lt;=AM$4,"",IF(AND($D103=AM$4,$D104&gt;AM$4),$F103,AM103))</f>
        <v/>
      </c>
      <c r="AN104" s="6" t="str">
        <f>IF($D104&lt;=AN$4,"",IF(AND($D103=AN$4,$D104&gt;AN$4),$F103,AN103))</f>
        <v/>
      </c>
      <c r="AO104" s="6" t="str">
        <f>CONCATENATE(AG104," | ",AH104," | ",AI104," | ",AJ104," | ",AK104," | ",AL104," | ",AM104," | ",AN104)</f>
        <v xml:space="preserve">90MB1BJ0-C1BAY0 | 59MB1BJB-MB0A02S |  |  |  |  |  | </v>
      </c>
      <c r="AP104" s="6">
        <f>IF(TRIM(H104)="",100,J104)</f>
        <v>100</v>
      </c>
      <c r="AQ104" s="4"/>
      <c r="AR104" s="6" t="b">
        <f>NOT(TRIM(W104)&lt;&gt;"F")</f>
        <v>1</v>
      </c>
      <c r="AS104" s="6" t="str">
        <f>$B104&amp;" | "&amp;$AO104&amp;" | "&amp;IF(TRIM(H104)="","uniq"&amp;ROW(),TRIM(H104))</f>
        <v>461E | 90MB1BJ0-C1BAY0 | 59MB1BJB-MB0A02S |  |  |  |  |  |  | uniq104</v>
      </c>
      <c r="AT104" s="63">
        <f>IF(NOT(AR104),IF(TRIM($H104)="","Assembly","Phantom Alt"),VLOOKUP(F104,ZPCS04!B:G,6,0))</f>
        <v>65</v>
      </c>
      <c r="AU104" s="7"/>
      <c r="AV104" s="38">
        <f ca="1">IF(TRIM($W104)="F",OFFSET($A$5,MATCH($AS104,$AS$5:$AS104,0)-1,0),$A104)</f>
        <v>104</v>
      </c>
      <c r="AW104" s="38">
        <f ca="1">IFERROR(OFFSET(ZPCS04!$A$1,MATCH(F104,ZPCS04!B:B,0)-1,0),100)</f>
        <v>1.9999999800000001</v>
      </c>
      <c r="AX104" s="7"/>
      <c r="AY104" s="6" t="b">
        <f>SUMIF(AS:AS,AS104,AP:AP)=100</f>
        <v>1</v>
      </c>
      <c r="AZ104" s="6" t="b">
        <f>SUMIF(AS:AS,AS104,AE:AE)/COUNTIF(AS:AS,AS104)=AE104</f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>C104&amp;" | "&amp;F104</f>
        <v>90MB1BJ0-C1BAY0 | 06113-00270300</v>
      </c>
      <c r="BE104" s="55" t="str">
        <f ca="1">C104&amp;" | "&amp;OFFSET($AF104,0,8-COUNTBLANK($AG104:$AN104))</f>
        <v>90MB1BJ0-C1BAY0 | 59MB1BJB-MB0A02S</v>
      </c>
      <c r="BF104" s="57">
        <f ca="1">IFERROR(VLOOKUP($BE104,$BD$5:$BF103,3,0)*$AE104,VLOOKUP($C104,Demanda!$A:$B,2,0)*$AE104)*IF(AT104="Phantom Alt",$BC104,TRUE)</f>
        <v>2000</v>
      </c>
      <c r="BG104" s="57">
        <f ca="1">BF104*(AP104/100)</f>
        <v>2000</v>
      </c>
      <c r="BH104" s="57">
        <f>SUMIF(Invoice!A:A,F104,Invoice!B:B)</f>
        <v>2000</v>
      </c>
      <c r="BI104" s="57">
        <f ca="1">SUMIF(AS:AS,AS104,BG:BG)</f>
        <v>2000</v>
      </c>
      <c r="BJ104" s="57">
        <f ca="1">MIN((BI104-SUMIF($AS$5:AS103,AS104,$BJ$5:BJ103)),MAX(0,BH104-SUMIF($F$5:F103,F104,$BJ$5:BJ103)))</f>
        <v>2000</v>
      </c>
      <c r="BK104" s="57">
        <f ca="1">(-SUMIF(AS:AS,AS104,BG:BG)+SUMIF(AS:AS,AS104,BJ:BJ))*(AP104=100)*AR104</f>
        <v>0</v>
      </c>
      <c r="BL104" s="57">
        <f ca="1">MAX(0,SUMIF(Invoice!A:A,F104,Invoice!B:B)-SUMIF(F:F,F104,BJ:BJ))*(COUNTIF(F:F,F104)=COUNTIF($F$5:F104,F104))</f>
        <v>0</v>
      </c>
    </row>
    <row r="105" spans="1:64" hidden="1">
      <c r="A105" s="43">
        <v>105</v>
      </c>
      <c r="B105" s="35" t="s">
        <v>147</v>
      </c>
      <c r="C105" s="35" t="s">
        <v>146</v>
      </c>
      <c r="D105" s="35">
        <v>2</v>
      </c>
      <c r="E105" s="35">
        <v>310</v>
      </c>
      <c r="F105" s="64" t="s">
        <v>373</v>
      </c>
      <c r="G105" s="73" t="s">
        <v>374</v>
      </c>
      <c r="H105" s="35"/>
      <c r="I105" s="35" t="s">
        <v>54</v>
      </c>
      <c r="J105" s="35">
        <v>0</v>
      </c>
      <c r="K105" s="35" t="s">
        <v>150</v>
      </c>
      <c r="L105" s="35" t="s">
        <v>53</v>
      </c>
      <c r="M105" s="35">
        <v>1</v>
      </c>
      <c r="N105" s="35">
        <v>1</v>
      </c>
      <c r="O105" s="35">
        <v>1</v>
      </c>
      <c r="P105" s="35"/>
      <c r="Q105" s="35"/>
      <c r="R105" s="35" t="s">
        <v>73</v>
      </c>
      <c r="S105" s="35" t="s">
        <v>73</v>
      </c>
      <c r="T105" s="36">
        <v>44901</v>
      </c>
      <c r="U105" s="36">
        <v>2958465</v>
      </c>
      <c r="V105" s="35" t="s">
        <v>282</v>
      </c>
      <c r="W105" s="35" t="s">
        <v>145</v>
      </c>
      <c r="X105" s="35"/>
      <c r="Y105" s="35" t="s">
        <v>143</v>
      </c>
      <c r="Z105" s="35">
        <v>7589154</v>
      </c>
      <c r="AA105" s="35">
        <v>98</v>
      </c>
      <c r="AB105" s="35">
        <v>49</v>
      </c>
      <c r="AC105" s="35"/>
      <c r="AE105" s="51">
        <f>M105/O105</f>
        <v>1</v>
      </c>
      <c r="AG105" s="6" t="str">
        <f>C105</f>
        <v>90MB1BJ0-C1BAY0</v>
      </c>
      <c r="AH105" s="6" t="str">
        <f>IF($D105&lt;=AH$4,"",IF(AND($D104=AH$4,$D105&gt;AH$4),$F104,AH104))</f>
        <v>59MB1BJB-MB0A02S</v>
      </c>
      <c r="AI105" s="6" t="str">
        <f>IF($D105&lt;=AI$4,"",IF(AND($D104=AI$4,$D105&gt;AI$4),$F104,AI104))</f>
        <v/>
      </c>
      <c r="AJ105" s="6" t="str">
        <f>IF($D105&lt;=AJ$4,"",IF(AND($D104=AJ$4,$D105&gt;AJ$4),$F104,AJ104))</f>
        <v/>
      </c>
      <c r="AK105" s="6" t="str">
        <f>IF($D105&lt;=AK$4,"",IF(AND($D104=AK$4,$D105&gt;AK$4),$F104,AK104))</f>
        <v/>
      </c>
      <c r="AL105" s="6" t="str">
        <f>IF($D105&lt;=AL$4,"",IF(AND($D104=AL$4,$D105&gt;AL$4),$F104,AL104))</f>
        <v/>
      </c>
      <c r="AM105" s="6" t="str">
        <f>IF($D105&lt;=AM$4,"",IF(AND($D104=AM$4,$D105&gt;AM$4),$F104,AM104))</f>
        <v/>
      </c>
      <c r="AN105" s="6" t="str">
        <f>IF($D105&lt;=AN$4,"",IF(AND($D104=AN$4,$D105&gt;AN$4),$F104,AN104))</f>
        <v/>
      </c>
      <c r="AO105" s="6" t="str">
        <f>CONCATENATE(AG105," | ",AH105," | ",AI105," | ",AJ105," | ",AK105," | ",AL105," | ",AM105," | ",AN105)</f>
        <v xml:space="preserve">90MB1BJ0-C1BAY0 | 59MB1BJB-MB0A02S |  |  |  |  |  | </v>
      </c>
      <c r="AP105" s="6">
        <f>IF(TRIM(H105)="",100,J105)</f>
        <v>100</v>
      </c>
      <c r="AQ105" s="4"/>
      <c r="AR105" s="6" t="b">
        <f>NOT(TRIM(W105)&lt;&gt;"F")</f>
        <v>1</v>
      </c>
      <c r="AS105" s="6" t="str">
        <f>$B105&amp;" | "&amp;$AO105&amp;" | "&amp;IF(TRIM(H105)="","uniq"&amp;ROW(),TRIM(H105))</f>
        <v>461E | 90MB1BJ0-C1BAY0 | 59MB1BJB-MB0A02S |  |  |  |  |  |  | uniq105</v>
      </c>
      <c r="AT105" s="63">
        <f>IF(NOT(AR105),IF(TRIM($H105)="","Assembly","Phantom Alt"),VLOOKUP(F105,ZPCS04!B:G,6,0))</f>
        <v>67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1.9999999900000001</v>
      </c>
      <c r="AX105" s="7"/>
      <c r="AY105" s="6" t="b">
        <f>SUMIF(AS:AS,AS105,AP:AP)=100</f>
        <v>1</v>
      </c>
      <c r="AZ105" s="6" t="b">
        <f>SUMIF(AS:AS,AS105,AE:AE)/COUNTIF(AS:AS,AS105)=AE105</f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>C105&amp;" | "&amp;F105</f>
        <v>90MB1BJ0-C1BAY0 | 06113-00440300</v>
      </c>
      <c r="BE105" s="55" t="str">
        <f ca="1">C105&amp;" | "&amp;OFFSET($AF105,0,8-COUNTBLANK($AG105:$AN105))</f>
        <v>90MB1BJ0-C1BAY0 | 59MB1BJB-MB0A02S</v>
      </c>
      <c r="BF105" s="57">
        <f ca="1">IFERROR(VLOOKUP($BE105,$BD$5:$BF104,3,0)*$AE105,VLOOKUP($C105,Demanda!$A:$B,2,0)*$AE105)*IF(AT105="Phantom Alt",$BC105,TRUE)</f>
        <v>1000</v>
      </c>
      <c r="BG105" s="57">
        <f ca="1">BF105*(AP105/100)</f>
        <v>1000</v>
      </c>
      <c r="BH105" s="57">
        <f>SUMIF(Invoice!A:A,F105,Invoice!B:B)</f>
        <v>1000</v>
      </c>
      <c r="BI105" s="57">
        <f ca="1">SUMIF(AS:AS,AS105,BG:BG)</f>
        <v>1000</v>
      </c>
      <c r="BJ105" s="57">
        <f ca="1">MIN((BI105-SUMIF($AS$5:AS104,AS105,$BJ$5:BJ104)),MAX(0,BH105-SUMIF($F$5:F104,F105,$BJ$5:BJ104)))</f>
        <v>1000</v>
      </c>
      <c r="BK105" s="57">
        <f ca="1">(-SUMIF(AS:AS,AS105,BG:BG)+SUMIF(AS:AS,AS105,BJ:BJ))*(AP105=100)*AR105</f>
        <v>0</v>
      </c>
      <c r="BL105" s="57">
        <f ca="1">MAX(0,SUMIF(Invoice!A:A,F105,Invoice!B:B)-SUMIF(F:F,F105,BJ:BJ))*(COUNTIF(F:F,F105)=COUNTIF($F$5:F105,F105))</f>
        <v>0</v>
      </c>
    </row>
    <row r="106" spans="1:64" hidden="1">
      <c r="A106" s="43">
        <v>106</v>
      </c>
      <c r="B106" s="35" t="s">
        <v>147</v>
      </c>
      <c r="C106" s="35" t="s">
        <v>146</v>
      </c>
      <c r="D106" s="35">
        <v>2</v>
      </c>
      <c r="E106" s="35">
        <v>320</v>
      </c>
      <c r="F106" s="64" t="s">
        <v>375</v>
      </c>
      <c r="G106" s="73" t="s">
        <v>376</v>
      </c>
      <c r="H106" s="35"/>
      <c r="I106" s="35" t="s">
        <v>54</v>
      </c>
      <c r="J106" s="35">
        <v>0</v>
      </c>
      <c r="K106" s="35" t="s">
        <v>150</v>
      </c>
      <c r="L106" s="35" t="s">
        <v>53</v>
      </c>
      <c r="M106" s="35">
        <v>1</v>
      </c>
      <c r="N106" s="35">
        <v>1</v>
      </c>
      <c r="O106" s="35">
        <v>1</v>
      </c>
      <c r="P106" s="35"/>
      <c r="Q106" s="35"/>
      <c r="R106" s="35" t="s">
        <v>73</v>
      </c>
      <c r="S106" s="35" t="s">
        <v>73</v>
      </c>
      <c r="T106" s="36">
        <v>44901</v>
      </c>
      <c r="U106" s="36">
        <v>2958465</v>
      </c>
      <c r="V106" s="35" t="s">
        <v>282</v>
      </c>
      <c r="W106" s="35" t="s">
        <v>145</v>
      </c>
      <c r="X106" s="35"/>
      <c r="Y106" s="35" t="s">
        <v>143</v>
      </c>
      <c r="Z106" s="35">
        <v>7589154</v>
      </c>
      <c r="AA106" s="35">
        <v>100</v>
      </c>
      <c r="AB106" s="35">
        <v>50</v>
      </c>
      <c r="AC106" s="35"/>
      <c r="AE106" s="51">
        <f>M106/O106</f>
        <v>1</v>
      </c>
      <c r="AG106" s="6" t="str">
        <f>C106</f>
        <v>90MB1BJ0-C1BAY0</v>
      </c>
      <c r="AH106" s="6" t="str">
        <f>IF($D106&lt;=AH$4,"",IF(AND($D105=AH$4,$D106&gt;AH$4),$F105,AH105))</f>
        <v>59MB1BJB-MB0A02S</v>
      </c>
      <c r="AI106" s="6" t="str">
        <f>IF($D106&lt;=AI$4,"",IF(AND($D105=AI$4,$D106&gt;AI$4),$F105,AI105))</f>
        <v/>
      </c>
      <c r="AJ106" s="6" t="str">
        <f>IF($D106&lt;=AJ$4,"",IF(AND($D105=AJ$4,$D106&gt;AJ$4),$F105,AJ105))</f>
        <v/>
      </c>
      <c r="AK106" s="6" t="str">
        <f>IF($D106&lt;=AK$4,"",IF(AND($D105=AK$4,$D106&gt;AK$4),$F105,AK105))</f>
        <v/>
      </c>
      <c r="AL106" s="6" t="str">
        <f>IF($D106&lt;=AL$4,"",IF(AND($D105=AL$4,$D106&gt;AL$4),$F105,AL105))</f>
        <v/>
      </c>
      <c r="AM106" s="6" t="str">
        <f>IF($D106&lt;=AM$4,"",IF(AND($D105=AM$4,$D106&gt;AM$4),$F105,AM105))</f>
        <v/>
      </c>
      <c r="AN106" s="6" t="str">
        <f>IF($D106&lt;=AN$4,"",IF(AND($D105=AN$4,$D106&gt;AN$4),$F105,AN105))</f>
        <v/>
      </c>
      <c r="AO106" s="6" t="str">
        <f>CONCATENATE(AG106," | ",AH106," | ",AI106," | ",AJ106," | ",AK106," | ",AL106," | ",AM106," | ",AN106)</f>
        <v xml:space="preserve">90MB1BJ0-C1BAY0 | 59MB1BJB-MB0A02S |  |  |  |  |  | </v>
      </c>
      <c r="AP106" s="6">
        <f>IF(TRIM(H106)="",100,J106)</f>
        <v>100</v>
      </c>
      <c r="AQ106" s="4"/>
      <c r="AR106" s="6" t="b">
        <f>NOT(TRIM(W106)&lt;&gt;"F")</f>
        <v>1</v>
      </c>
      <c r="AS106" s="6" t="str">
        <f>$B106&amp;" | "&amp;$AO106&amp;" | "&amp;IF(TRIM(H106)="","uniq"&amp;ROW(),TRIM(H106))</f>
        <v>461E | 90MB1BJ0-C1BAY0 | 59MB1BJB-MB0A02S |  |  |  |  |  |  | uniq106</v>
      </c>
      <c r="AT106" s="63">
        <f>IF(NOT(AR106),IF(TRIM($H106)="","Assembly","Phantom Alt"),VLOOKUP(F106,ZPCS04!B:G,6,0))</f>
        <v>68</v>
      </c>
      <c r="AU106" s="7"/>
      <c r="AV106" s="38">
        <f ca="1">IF(TRIM($W106)="F",OFFSET($A$5,MATCH($AS106,$AS$5:$AS106,0)-1,0),$A106)</f>
        <v>106</v>
      </c>
      <c r="AW106" s="38">
        <f ca="1">IFERROR(OFFSET(ZPCS04!$A$1,MATCH(F106,ZPCS04!B:B,0)-1,0),100)</f>
        <v>1.9999999900000001</v>
      </c>
      <c r="AX106" s="7"/>
      <c r="AY106" s="6" t="b">
        <f>SUMIF(AS:AS,AS106,AP:AP)=100</f>
        <v>1</v>
      </c>
      <c r="AZ106" s="6" t="b">
        <f>SUMIF(AS:AS,AS106,AE:AE)/COUNTIF(AS:AS,AS106)=AE106</f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>C106&amp;" | "&amp;F106</f>
        <v>90MB1BJ0-C1BAY0 | 06113-00610000</v>
      </c>
      <c r="BE106" s="55" t="str">
        <f ca="1">C106&amp;" | "&amp;OFFSET($AF106,0,8-COUNTBLANK($AG106:$AN106))</f>
        <v>90MB1BJ0-C1BAY0 | 59MB1BJB-MB0A02S</v>
      </c>
      <c r="BF106" s="57">
        <f ca="1">IFERROR(VLOOKUP($BE106,$BD$5:$BF105,3,0)*$AE106,VLOOKUP($C106,Demanda!$A:$B,2,0)*$AE106)*IF(AT106="Phantom Alt",$BC106,TRUE)</f>
        <v>1000</v>
      </c>
      <c r="BG106" s="57">
        <f ca="1">BF106*(AP106/100)</f>
        <v>1000</v>
      </c>
      <c r="BH106" s="57">
        <f>SUMIF(Invoice!A:A,F106,Invoice!B:B)</f>
        <v>1000</v>
      </c>
      <c r="BI106" s="57">
        <f ca="1">SUMIF(AS:AS,AS106,BG:BG)</f>
        <v>1000</v>
      </c>
      <c r="BJ106" s="57">
        <f ca="1">MIN((BI106-SUMIF($AS$5:AS105,AS106,$BJ$5:BJ105)),MAX(0,BH106-SUMIF($F$5:F105,F106,$BJ$5:BJ105)))</f>
        <v>1000</v>
      </c>
      <c r="BK106" s="57">
        <f ca="1">(-SUMIF(AS:AS,AS106,BG:BG)+SUMIF(AS:AS,AS106,BJ:BJ))*(AP106=100)*AR106</f>
        <v>0</v>
      </c>
      <c r="BL106" s="57">
        <f ca="1">MAX(0,SUMIF(Invoice!A:A,F106,Invoice!B:B)-SUMIF(F:F,F106,BJ:BJ))*(COUNTIF(F:F,F106)=COUNTIF($F$5:F106,F106))</f>
        <v>0</v>
      </c>
    </row>
    <row r="107" spans="1:64" hidden="1">
      <c r="A107" s="43">
        <v>107</v>
      </c>
      <c r="B107" s="35" t="s">
        <v>147</v>
      </c>
      <c r="C107" s="35" t="s">
        <v>146</v>
      </c>
      <c r="D107" s="35">
        <v>2</v>
      </c>
      <c r="E107" s="35">
        <v>330</v>
      </c>
      <c r="F107" s="64" t="s">
        <v>377</v>
      </c>
      <c r="G107" s="73" t="s">
        <v>378</v>
      </c>
      <c r="H107" s="35"/>
      <c r="I107" s="35" t="s">
        <v>54</v>
      </c>
      <c r="J107" s="35">
        <v>0</v>
      </c>
      <c r="K107" s="35" t="s">
        <v>150</v>
      </c>
      <c r="L107" s="35" t="s">
        <v>53</v>
      </c>
      <c r="M107" s="35">
        <v>2</v>
      </c>
      <c r="N107" s="35">
        <v>2</v>
      </c>
      <c r="O107" s="35">
        <v>1</v>
      </c>
      <c r="P107" s="35"/>
      <c r="Q107" s="35"/>
      <c r="R107" s="35" t="s">
        <v>73</v>
      </c>
      <c r="S107" s="35" t="s">
        <v>73</v>
      </c>
      <c r="T107" s="36">
        <v>44901</v>
      </c>
      <c r="U107" s="36">
        <v>2958465</v>
      </c>
      <c r="V107" s="35" t="s">
        <v>282</v>
      </c>
      <c r="W107" s="35" t="s">
        <v>145</v>
      </c>
      <c r="X107" s="35"/>
      <c r="Y107" s="35" t="s">
        <v>143</v>
      </c>
      <c r="Z107" s="35">
        <v>7589154</v>
      </c>
      <c r="AA107" s="35">
        <v>102</v>
      </c>
      <c r="AB107" s="35">
        <v>51</v>
      </c>
      <c r="AC107" s="35"/>
      <c r="AE107" s="51">
        <f>M107/O107</f>
        <v>2</v>
      </c>
      <c r="AG107" s="6" t="str">
        <f>C107</f>
        <v>90MB1BJ0-C1BAY0</v>
      </c>
      <c r="AH107" s="6" t="str">
        <f>IF($D107&lt;=AH$4,"",IF(AND($D106=AH$4,$D107&gt;AH$4),$F106,AH106))</f>
        <v>59MB1BJB-MB0A02S</v>
      </c>
      <c r="AI107" s="6" t="str">
        <f>IF($D107&lt;=AI$4,"",IF(AND($D106=AI$4,$D107&gt;AI$4),$F106,AI106))</f>
        <v/>
      </c>
      <c r="AJ107" s="6" t="str">
        <f>IF($D107&lt;=AJ$4,"",IF(AND($D106=AJ$4,$D107&gt;AJ$4),$F106,AJ106))</f>
        <v/>
      </c>
      <c r="AK107" s="6" t="str">
        <f>IF($D107&lt;=AK$4,"",IF(AND($D106=AK$4,$D107&gt;AK$4),$F106,AK106))</f>
        <v/>
      </c>
      <c r="AL107" s="6" t="str">
        <f>IF($D107&lt;=AL$4,"",IF(AND($D106=AL$4,$D107&gt;AL$4),$F106,AL106))</f>
        <v/>
      </c>
      <c r="AM107" s="6" t="str">
        <f>IF($D107&lt;=AM$4,"",IF(AND($D106=AM$4,$D107&gt;AM$4),$F106,AM106))</f>
        <v/>
      </c>
      <c r="AN107" s="6" t="str">
        <f>IF($D107&lt;=AN$4,"",IF(AND($D106=AN$4,$D107&gt;AN$4),$F106,AN106))</f>
        <v/>
      </c>
      <c r="AO107" s="6" t="str">
        <f>CONCATENATE(AG107," | ",AH107," | ",AI107," | ",AJ107," | ",AK107," | ",AL107," | ",AM107," | ",AN107)</f>
        <v xml:space="preserve">90MB1BJ0-C1BAY0 | 59MB1BJB-MB0A02S |  |  |  |  |  | </v>
      </c>
      <c r="AP107" s="6">
        <f>IF(TRIM(H107)="",100,J107)</f>
        <v>100</v>
      </c>
      <c r="AQ107" s="4"/>
      <c r="AR107" s="6" t="b">
        <f>NOT(TRIM(W107)&lt;&gt;"F")</f>
        <v>1</v>
      </c>
      <c r="AS107" s="6" t="str">
        <f>$B107&amp;" | "&amp;$AO107&amp;" | "&amp;IF(TRIM(H107)="","uniq"&amp;ROW(),TRIM(H107))</f>
        <v>461E | 90MB1BJ0-C1BAY0 | 59MB1BJB-MB0A02S |  |  |  |  |  |  | uniq107</v>
      </c>
      <c r="AT107" s="63">
        <f>IF(NOT(AR107),IF(TRIM($H107)="","Assembly","Phantom Alt"),VLOOKUP(F107,ZPCS04!B:G,6,0))</f>
        <v>71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1.9999999800000001</v>
      </c>
      <c r="AX107" s="7"/>
      <c r="AY107" s="6" t="b">
        <f>SUMIF(AS:AS,AS107,AP:AP)=100</f>
        <v>1</v>
      </c>
      <c r="AZ107" s="6" t="b">
        <f>SUMIF(AS:AS,AS107,AE:AE)/COUNTIF(AS:AS,AS107)=AE107</f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>C107&amp;" | "&amp;F107</f>
        <v>90MB1BJ0-C1BAY0 | 06113-00850000</v>
      </c>
      <c r="BE107" s="55" t="str">
        <f ca="1">C107&amp;" | "&amp;OFFSET($AF107,0,8-COUNTBLANK($AG107:$AN107))</f>
        <v>90MB1BJ0-C1BAY0 | 59MB1BJB-MB0A02S</v>
      </c>
      <c r="BF107" s="57">
        <f ca="1">IFERROR(VLOOKUP($BE107,$BD$5:$BF106,3,0)*$AE107,VLOOKUP($C107,Demanda!$A:$B,2,0)*$AE107)*IF(AT107="Phantom Alt",$BC107,TRUE)</f>
        <v>2000</v>
      </c>
      <c r="BG107" s="57">
        <f ca="1">BF107*(AP107/100)</f>
        <v>2000</v>
      </c>
      <c r="BH107" s="57">
        <f>SUMIF(Invoice!A:A,F107,Invoice!B:B)</f>
        <v>2000</v>
      </c>
      <c r="BI107" s="57">
        <f ca="1">SUMIF(AS:AS,AS107,BG:BG)</f>
        <v>2000</v>
      </c>
      <c r="BJ107" s="57">
        <f ca="1">MIN((BI107-SUMIF($AS$5:AS106,AS107,$BJ$5:BJ106)),MAX(0,BH107-SUMIF($F$5:F106,F107,$BJ$5:BJ106)))</f>
        <v>2000</v>
      </c>
      <c r="BK107" s="57">
        <f ca="1">(-SUMIF(AS:AS,AS107,BG:BG)+SUMIF(AS:AS,AS107,BJ:BJ))*(AP107=100)*AR107</f>
        <v>0</v>
      </c>
      <c r="BL107" s="57">
        <f ca="1">MAX(0,SUMIF(Invoice!A:A,F107,Invoice!B:B)-SUMIF(F:F,F107,BJ:BJ))*(COUNTIF(F:F,F107)=COUNTIF($F$5:F107,F107))</f>
        <v>0</v>
      </c>
    </row>
    <row r="108" spans="1:64" hidden="1">
      <c r="A108" s="43">
        <v>108</v>
      </c>
      <c r="B108" s="35" t="s">
        <v>147</v>
      </c>
      <c r="C108" s="35" t="s">
        <v>146</v>
      </c>
      <c r="D108" s="35">
        <v>2</v>
      </c>
      <c r="E108" s="35">
        <v>340</v>
      </c>
      <c r="F108" s="64" t="s">
        <v>379</v>
      </c>
      <c r="G108" s="73" t="s">
        <v>380</v>
      </c>
      <c r="H108" s="35"/>
      <c r="I108" s="35" t="s">
        <v>54</v>
      </c>
      <c r="J108" s="35">
        <v>0</v>
      </c>
      <c r="K108" s="35" t="s">
        <v>150</v>
      </c>
      <c r="L108" s="35" t="s">
        <v>53</v>
      </c>
      <c r="M108" s="35">
        <v>1</v>
      </c>
      <c r="N108" s="35">
        <v>1</v>
      </c>
      <c r="O108" s="35">
        <v>1</v>
      </c>
      <c r="P108" s="35"/>
      <c r="Q108" s="35"/>
      <c r="R108" s="35" t="s">
        <v>73</v>
      </c>
      <c r="S108" s="35" t="s">
        <v>73</v>
      </c>
      <c r="T108" s="36">
        <v>44901</v>
      </c>
      <c r="U108" s="36">
        <v>2958465</v>
      </c>
      <c r="V108" s="35" t="s">
        <v>282</v>
      </c>
      <c r="W108" s="35" t="s">
        <v>145</v>
      </c>
      <c r="X108" s="35"/>
      <c r="Y108" s="35" t="s">
        <v>143</v>
      </c>
      <c r="Z108" s="35">
        <v>7589154</v>
      </c>
      <c r="AA108" s="35">
        <v>104</v>
      </c>
      <c r="AB108" s="35">
        <v>52</v>
      </c>
      <c r="AC108" s="35" t="s">
        <v>144</v>
      </c>
      <c r="AE108" s="51">
        <f>M108/O108</f>
        <v>1</v>
      </c>
      <c r="AG108" s="6" t="str">
        <f>C108</f>
        <v>90MB1BJ0-C1BAY0</v>
      </c>
      <c r="AH108" s="6" t="str">
        <f>IF($D108&lt;=AH$4,"",IF(AND($D107=AH$4,$D108&gt;AH$4),$F107,AH107))</f>
        <v>59MB1BJB-MB0A02S</v>
      </c>
      <c r="AI108" s="6" t="str">
        <f>IF($D108&lt;=AI$4,"",IF(AND($D107=AI$4,$D108&gt;AI$4),$F107,AI107))</f>
        <v/>
      </c>
      <c r="AJ108" s="6" t="str">
        <f>IF($D108&lt;=AJ$4,"",IF(AND($D107=AJ$4,$D108&gt;AJ$4),$F107,AJ107))</f>
        <v/>
      </c>
      <c r="AK108" s="6" t="str">
        <f>IF($D108&lt;=AK$4,"",IF(AND($D107=AK$4,$D108&gt;AK$4),$F107,AK107))</f>
        <v/>
      </c>
      <c r="AL108" s="6" t="str">
        <f>IF($D108&lt;=AL$4,"",IF(AND($D107=AL$4,$D108&gt;AL$4),$F107,AL107))</f>
        <v/>
      </c>
      <c r="AM108" s="6" t="str">
        <f>IF($D108&lt;=AM$4,"",IF(AND($D107=AM$4,$D108&gt;AM$4),$F107,AM107))</f>
        <v/>
      </c>
      <c r="AN108" s="6" t="str">
        <f>IF($D108&lt;=AN$4,"",IF(AND($D107=AN$4,$D108&gt;AN$4),$F107,AN107))</f>
        <v/>
      </c>
      <c r="AO108" s="6" t="str">
        <f>CONCATENATE(AG108," | ",AH108," | ",AI108," | ",AJ108," | ",AK108," | ",AL108," | ",AM108," | ",AN108)</f>
        <v xml:space="preserve">90MB1BJ0-C1BAY0 | 59MB1BJB-MB0A02S |  |  |  |  |  | </v>
      </c>
      <c r="AP108" s="6">
        <f>IF(TRIM(H108)="",100,J108)</f>
        <v>100</v>
      </c>
      <c r="AQ108" s="4"/>
      <c r="AR108" s="6" t="b">
        <f>NOT(TRIM(W108)&lt;&gt;"F")</f>
        <v>1</v>
      </c>
      <c r="AS108" s="6" t="str">
        <f>$B108&amp;" | "&amp;$AO108&amp;" | "&amp;IF(TRIM(H108)="","uniq"&amp;ROW(),TRIM(H108))</f>
        <v>461E | 90MB1BJ0-C1BAY0 | 59MB1BJB-MB0A02S |  |  |  |  |  |  | uniq108</v>
      </c>
      <c r="AT108" s="63">
        <f>IF(NOT(AR108),IF(TRIM($H108)="","Assembly","Phantom Alt"),VLOOKUP(F108,ZPCS04!B:G,6,0))</f>
        <v>76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1.9999999900000001</v>
      </c>
      <c r="AX108" s="7"/>
      <c r="AY108" s="6" t="b">
        <f>SUMIF(AS:AS,AS108,AP:AP)=100</f>
        <v>1</v>
      </c>
      <c r="AZ108" s="6" t="b">
        <f>SUMIF(AS:AS,AS108,AE:AE)/COUNTIF(AS:AS,AS108)=AE108</f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>C108&amp;" | "&amp;F108</f>
        <v>90MB1BJ0-C1BAY0 | 06116-00440200</v>
      </c>
      <c r="BE108" s="55" t="str">
        <f ca="1">C108&amp;" | "&amp;OFFSET($AF108,0,8-COUNTBLANK($AG108:$AN108))</f>
        <v>90MB1BJ0-C1BAY0 | 59MB1BJB-MB0A02S</v>
      </c>
      <c r="BF108" s="57">
        <f ca="1">IFERROR(VLOOKUP($BE108,$BD$5:$BF107,3,0)*$AE108,VLOOKUP($C108,Demanda!$A:$B,2,0)*$AE108)*IF(AT108="Phantom Alt",$BC108,TRUE)</f>
        <v>1000</v>
      </c>
      <c r="BG108" s="57">
        <f ca="1">BF108*(AP108/100)</f>
        <v>1000</v>
      </c>
      <c r="BH108" s="57">
        <f>SUMIF(Invoice!A:A,F108,Invoice!B:B)</f>
        <v>1000</v>
      </c>
      <c r="BI108" s="57">
        <f ca="1">SUMIF(AS:AS,AS108,BG:BG)</f>
        <v>1000</v>
      </c>
      <c r="BJ108" s="57">
        <f ca="1">MIN((BI108-SUMIF($AS$5:AS107,AS108,$BJ$5:BJ107)),MAX(0,BH108-SUMIF($F$5:F107,F108,$BJ$5:BJ107)))</f>
        <v>1000</v>
      </c>
      <c r="BK108" s="57">
        <f ca="1">(-SUMIF(AS:AS,AS108,BG:BG)+SUMIF(AS:AS,AS108,BJ:BJ))*(AP108=100)*AR108</f>
        <v>0</v>
      </c>
      <c r="BL108" s="57">
        <f ca="1">MAX(0,SUMIF(Invoice!A:A,F108,Invoice!B:B)-SUMIF(F:F,F108,BJ:BJ))*(COUNTIF(F:F,F108)=COUNTIF($F$5:F108,F108))</f>
        <v>0</v>
      </c>
    </row>
    <row r="109" spans="1:64" hidden="1">
      <c r="A109" s="43">
        <v>109</v>
      </c>
      <c r="B109" s="35" t="s">
        <v>147</v>
      </c>
      <c r="C109" s="35" t="s">
        <v>146</v>
      </c>
      <c r="D109" s="35">
        <v>2</v>
      </c>
      <c r="E109" s="35">
        <v>350</v>
      </c>
      <c r="F109" s="64" t="s">
        <v>381</v>
      </c>
      <c r="G109" s="73" t="s">
        <v>382</v>
      </c>
      <c r="H109" s="35">
        <v>35</v>
      </c>
      <c r="I109" s="35" t="s">
        <v>55</v>
      </c>
      <c r="J109" s="35">
        <v>0</v>
      </c>
      <c r="K109" s="35" t="s">
        <v>150</v>
      </c>
      <c r="L109" s="35" t="s">
        <v>53</v>
      </c>
      <c r="M109" s="35">
        <v>1</v>
      </c>
      <c r="N109" s="35"/>
      <c r="O109" s="35">
        <v>1</v>
      </c>
      <c r="P109" s="35">
        <v>2</v>
      </c>
      <c r="Q109" s="35">
        <v>3</v>
      </c>
      <c r="R109" s="35" t="s">
        <v>73</v>
      </c>
      <c r="S109" s="35" t="s">
        <v>73</v>
      </c>
      <c r="T109" s="36">
        <v>44901</v>
      </c>
      <c r="U109" s="36">
        <v>2958465</v>
      </c>
      <c r="V109" s="35" t="s">
        <v>282</v>
      </c>
      <c r="W109" s="35" t="s">
        <v>145</v>
      </c>
      <c r="X109" s="35"/>
      <c r="Y109" s="35" t="s">
        <v>143</v>
      </c>
      <c r="Z109" s="35">
        <v>7589154</v>
      </c>
      <c r="AA109" s="35">
        <v>110</v>
      </c>
      <c r="AB109" s="35">
        <v>55</v>
      </c>
      <c r="AC109" s="35"/>
      <c r="AE109" s="51">
        <f>M109/O109</f>
        <v>1</v>
      </c>
      <c r="AG109" s="6" t="str">
        <f>C109</f>
        <v>90MB1BJ0-C1BAY0</v>
      </c>
      <c r="AH109" s="6" t="str">
        <f>IF($D109&lt;=AH$4,"",IF(AND($D108=AH$4,$D109&gt;AH$4),$F108,AH108))</f>
        <v>59MB1BJB-MB0A02S</v>
      </c>
      <c r="AI109" s="6" t="str">
        <f>IF($D109&lt;=AI$4,"",IF(AND($D108=AI$4,$D109&gt;AI$4),$F108,AI108))</f>
        <v/>
      </c>
      <c r="AJ109" s="6" t="str">
        <f>IF($D109&lt;=AJ$4,"",IF(AND($D108=AJ$4,$D109&gt;AJ$4),$F108,AJ108))</f>
        <v/>
      </c>
      <c r="AK109" s="6" t="str">
        <f>IF($D109&lt;=AK$4,"",IF(AND($D108=AK$4,$D109&gt;AK$4),$F108,AK108))</f>
        <v/>
      </c>
      <c r="AL109" s="6" t="str">
        <f>IF($D109&lt;=AL$4,"",IF(AND($D108=AL$4,$D109&gt;AL$4),$F108,AL108))</f>
        <v/>
      </c>
      <c r="AM109" s="6" t="str">
        <f>IF($D109&lt;=AM$4,"",IF(AND($D108=AM$4,$D109&gt;AM$4),$F108,AM108))</f>
        <v/>
      </c>
      <c r="AN109" s="6" t="str">
        <f>IF($D109&lt;=AN$4,"",IF(AND($D108=AN$4,$D109&gt;AN$4),$F108,AN108))</f>
        <v/>
      </c>
      <c r="AO109" s="6" t="str">
        <f>CONCATENATE(AG109," | ",AH109," | ",AI109," | ",AJ109," | ",AK109," | ",AL109," | ",AM109," | ",AN109)</f>
        <v xml:space="preserve">90MB1BJ0-C1BAY0 | 59MB1BJB-MB0A02S |  |  |  |  |  | </v>
      </c>
      <c r="AP109" s="6">
        <f>IF(TRIM(H109)="",100,J109)</f>
        <v>0</v>
      </c>
      <c r="AQ109" s="4"/>
      <c r="AR109" s="6" t="b">
        <f>NOT(TRIM(W109)&lt;&gt;"F")</f>
        <v>1</v>
      </c>
      <c r="AS109" s="6" t="str">
        <f>$B109&amp;" | "&amp;$AO109&amp;" | "&amp;IF(TRIM(H109)="","uniq"&amp;ROW(),TRIM(H109))</f>
        <v>461E | 90MB1BJ0-C1BAY0 | 59MB1BJB-MB0A02S |  |  |  |  |  |  | 35</v>
      </c>
      <c r="AT109" s="63">
        <f>IF(NOT(AR109),IF(TRIM($H109)="","Assembly","Phantom Alt"),VLOOKUP(F109,ZPCS04!B:G,6,0))</f>
        <v>1122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1.9999999900000001</v>
      </c>
      <c r="AX109" s="7"/>
      <c r="AY109" s="6" t="b">
        <f>SUMIF(AS:AS,AS109,AP:AP)=100</f>
        <v>1</v>
      </c>
      <c r="AZ109" s="6" t="b">
        <f>SUMIF(AS:AS,AS109,AE:AE)/COUNTIF(AS:AS,AS109)=AE109</f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>C109&amp;" | "&amp;F109</f>
        <v>90MB1BJ0-C1BAY0 | 06010-00490000</v>
      </c>
      <c r="BE109" s="55" t="str">
        <f ca="1">C109&amp;" | "&amp;OFFSET($AF109,0,8-COUNTBLANK($AG109:$AN109))</f>
        <v>90MB1BJ0-C1BAY0 | 59MB1BJB-MB0A02S</v>
      </c>
      <c r="BF109" s="57">
        <f ca="1">IFERROR(VLOOKUP($BE109,$BD$5:$BF108,3,0)*$AE109,VLOOKUP($C109,Demanda!$A:$B,2,0)*$AE109)*IF(AT109="Phantom Alt",$BC109,TRUE)</f>
        <v>1000</v>
      </c>
      <c r="BG109" s="57">
        <f ca="1">BF109*(AP109/100)</f>
        <v>0</v>
      </c>
      <c r="BH109" s="57">
        <f>SUMIF(Invoice!A:A,F109,Invoice!B:B)</f>
        <v>1000</v>
      </c>
      <c r="BI109" s="57">
        <f ca="1">SUMIF(AS:AS,AS109,BG:BG)</f>
        <v>1000</v>
      </c>
      <c r="BJ109" s="57">
        <f ca="1">MIN((BI109-SUMIF($AS$5:AS108,AS109,$BJ$5:BJ108)),MAX(0,BH109-SUMIF($F$5:F108,F109,$BJ$5:BJ108)))</f>
        <v>1000</v>
      </c>
      <c r="BK109" s="57">
        <f ca="1">(-SUMIF(AS:AS,AS109,BG:BG)+SUMIF(AS:AS,AS109,BJ:BJ))*(AP109=100)*AR109</f>
        <v>0</v>
      </c>
      <c r="BL109" s="57">
        <f ca="1">MAX(0,SUMIF(Invoice!A:A,F109,Invoice!B:B)-SUMIF(F:F,F109,BJ:BJ))*(COUNTIF(F:F,F109)=COUNTIF($F$5:F109,F109))</f>
        <v>0</v>
      </c>
    </row>
    <row r="110" spans="1:64" hidden="1">
      <c r="A110" s="43">
        <v>110</v>
      </c>
      <c r="B110" s="35" t="s">
        <v>147</v>
      </c>
      <c r="C110" s="35" t="s">
        <v>146</v>
      </c>
      <c r="D110" s="35">
        <v>2</v>
      </c>
      <c r="E110" s="35">
        <v>350</v>
      </c>
      <c r="F110" s="64" t="s">
        <v>383</v>
      </c>
      <c r="G110" s="73" t="s">
        <v>384</v>
      </c>
      <c r="H110" s="35">
        <v>35</v>
      </c>
      <c r="I110" s="35" t="s">
        <v>55</v>
      </c>
      <c r="J110" s="35">
        <v>0</v>
      </c>
      <c r="K110" s="35" t="s">
        <v>150</v>
      </c>
      <c r="L110" s="35" t="s">
        <v>53</v>
      </c>
      <c r="M110" s="35">
        <v>1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44901</v>
      </c>
      <c r="U110" s="36">
        <v>2958465</v>
      </c>
      <c r="V110" s="35" t="s">
        <v>282</v>
      </c>
      <c r="W110" s="35" t="s">
        <v>145</v>
      </c>
      <c r="X110" s="35"/>
      <c r="Y110" s="35" t="s">
        <v>143</v>
      </c>
      <c r="Z110" s="35">
        <v>7589154</v>
      </c>
      <c r="AA110" s="35">
        <v>108</v>
      </c>
      <c r="AB110" s="35">
        <v>54</v>
      </c>
      <c r="AC110" s="35"/>
      <c r="AE110" s="51">
        <f>M110/O110</f>
        <v>1</v>
      </c>
      <c r="AG110" s="6" t="str">
        <f>C110</f>
        <v>90MB1BJ0-C1BAY0</v>
      </c>
      <c r="AH110" s="6" t="str">
        <f>IF($D110&lt;=AH$4,"",IF(AND($D109=AH$4,$D110&gt;AH$4),$F109,AH109))</f>
        <v>59MB1BJB-MB0A02S</v>
      </c>
      <c r="AI110" s="6" t="str">
        <f>IF($D110&lt;=AI$4,"",IF(AND($D109=AI$4,$D110&gt;AI$4),$F109,AI109))</f>
        <v/>
      </c>
      <c r="AJ110" s="6" t="str">
        <f>IF($D110&lt;=AJ$4,"",IF(AND($D109=AJ$4,$D110&gt;AJ$4),$F109,AJ109))</f>
        <v/>
      </c>
      <c r="AK110" s="6" t="str">
        <f>IF($D110&lt;=AK$4,"",IF(AND($D109=AK$4,$D110&gt;AK$4),$F109,AK109))</f>
        <v/>
      </c>
      <c r="AL110" s="6" t="str">
        <f>IF($D110&lt;=AL$4,"",IF(AND($D109=AL$4,$D110&gt;AL$4),$F109,AL109))</f>
        <v/>
      </c>
      <c r="AM110" s="6" t="str">
        <f>IF($D110&lt;=AM$4,"",IF(AND($D109=AM$4,$D110&gt;AM$4),$F109,AM109))</f>
        <v/>
      </c>
      <c r="AN110" s="6" t="str">
        <f>IF($D110&lt;=AN$4,"",IF(AND($D109=AN$4,$D110&gt;AN$4),$F109,AN109))</f>
        <v/>
      </c>
      <c r="AO110" s="6" t="str">
        <f>CONCATENATE(AG110," | ",AH110," | ",AI110," | ",AJ110," | ",AK110," | ",AL110," | ",AM110," | ",AN110)</f>
        <v xml:space="preserve">90MB1BJ0-C1BAY0 | 59MB1BJB-MB0A02S |  |  |  |  |  | </v>
      </c>
      <c r="AP110" s="6">
        <f>IF(TRIM(H110)="",100,J110)</f>
        <v>0</v>
      </c>
      <c r="AQ110" s="4"/>
      <c r="AR110" s="6" t="b">
        <f>NOT(TRIM(W110)&lt;&gt;"F")</f>
        <v>1</v>
      </c>
      <c r="AS110" s="6" t="str">
        <f>$B110&amp;" | "&amp;$AO110&amp;" | "&amp;IF(TRIM(H110)="","uniq"&amp;ROW(),TRIM(H110))</f>
        <v>461E | 90MB1BJ0-C1BAY0 | 59MB1BJB-MB0A02S |  |  |  |  |  |  | 35</v>
      </c>
      <c r="AT110" s="63">
        <f>IF(NOT(AR110),IF(TRIM($H110)="","Assembly","Phantom Alt"),VLOOKUP(F110,ZPCS04!B:G,6,0))</f>
        <v>1122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2</v>
      </c>
      <c r="AX110" s="7"/>
      <c r="AY110" s="6" t="b">
        <f>SUMIF(AS:AS,AS110,AP:AP)=100</f>
        <v>1</v>
      </c>
      <c r="AZ110" s="6" t="b">
        <f>SUMIF(AS:AS,AS110,AE:AE)/COUNTIF(AS:AS,AS110)=AE110</f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>C110&amp;" | "&amp;F110</f>
        <v>90MB1BJ0-C1BAY0 | 06G01000831L</v>
      </c>
      <c r="BE110" s="55" t="str">
        <f ca="1">C110&amp;" | "&amp;OFFSET($AF110,0,8-COUNTBLANK($AG110:$AN110))</f>
        <v>90MB1BJ0-C1BAY0 | 59MB1BJB-MB0A02S</v>
      </c>
      <c r="BF110" s="57">
        <f ca="1">IFERROR(VLOOKUP($BE110,$BD$5:$BF109,3,0)*$AE110,VLOOKUP($C110,Demanda!$A:$B,2,0)*$AE110)*IF(AT110="Phantom Alt",$BC110,TRUE)</f>
        <v>1000</v>
      </c>
      <c r="BG110" s="57">
        <f ca="1">BF110*(AP110/100)</f>
        <v>0</v>
      </c>
      <c r="BH110" s="57">
        <f>SUMIF(Invoice!A:A,F110,Invoice!B:B)</f>
        <v>0</v>
      </c>
      <c r="BI110" s="57">
        <f ca="1">SUMIF(AS:AS,AS110,BG:BG)</f>
        <v>1000</v>
      </c>
      <c r="BJ110" s="57">
        <f ca="1">MIN((BI110-SUMIF($AS$5:AS109,AS110,$BJ$5:BJ109)),MAX(0,BH110-SUMIF($F$5:F109,F110,$BJ$5:BJ109)))</f>
        <v>0</v>
      </c>
      <c r="BK110" s="57">
        <f ca="1">(-SUMIF(AS:AS,AS110,BG:BG)+SUMIF(AS:AS,AS110,BJ:BJ))*(AP110=100)*AR110</f>
        <v>0</v>
      </c>
      <c r="BL110" s="57">
        <f ca="1">MAX(0,SUMIF(Invoice!A:A,F110,Invoice!B:B)-SUMIF(F:F,F110,BJ:BJ))*(COUNTIF(F:F,F110)=COUNTIF($F$5:F110,F110))</f>
        <v>0</v>
      </c>
    </row>
    <row r="111" spans="1:64" hidden="1">
      <c r="A111" s="43">
        <v>111</v>
      </c>
      <c r="B111" s="35" t="s">
        <v>147</v>
      </c>
      <c r="C111" s="35" t="s">
        <v>146</v>
      </c>
      <c r="D111" s="35">
        <v>2</v>
      </c>
      <c r="E111" s="35">
        <v>350</v>
      </c>
      <c r="F111" s="64" t="s">
        <v>385</v>
      </c>
      <c r="G111" s="73" t="s">
        <v>386</v>
      </c>
      <c r="H111" s="35">
        <v>35</v>
      </c>
      <c r="I111" s="35" t="s">
        <v>54</v>
      </c>
      <c r="J111" s="35">
        <v>100</v>
      </c>
      <c r="K111" s="35" t="s">
        <v>314</v>
      </c>
      <c r="L111" s="35" t="s">
        <v>53</v>
      </c>
      <c r="M111" s="35">
        <v>1</v>
      </c>
      <c r="N111" s="35">
        <v>1</v>
      </c>
      <c r="O111" s="35">
        <v>1</v>
      </c>
      <c r="P111" s="35">
        <v>2</v>
      </c>
      <c r="Q111" s="35">
        <v>1</v>
      </c>
      <c r="R111" s="35" t="s">
        <v>122</v>
      </c>
      <c r="S111" s="35" t="s">
        <v>122</v>
      </c>
      <c r="T111" s="36">
        <v>44901</v>
      </c>
      <c r="U111" s="36">
        <v>2958465</v>
      </c>
      <c r="V111" s="35" t="s">
        <v>282</v>
      </c>
      <c r="W111" s="35" t="s">
        <v>145</v>
      </c>
      <c r="X111" s="35"/>
      <c r="Y111" s="35" t="s">
        <v>143</v>
      </c>
      <c r="Z111" s="35">
        <v>7589154</v>
      </c>
      <c r="AA111" s="35">
        <v>106</v>
      </c>
      <c r="AB111" s="35">
        <v>53</v>
      </c>
      <c r="AC111" s="35"/>
      <c r="AE111" s="51">
        <f>M111/O111</f>
        <v>1</v>
      </c>
      <c r="AG111" s="6" t="str">
        <f>C111</f>
        <v>90MB1BJ0-C1BAY0</v>
      </c>
      <c r="AH111" s="6" t="str">
        <f>IF($D111&lt;=AH$4,"",IF(AND($D110=AH$4,$D111&gt;AH$4),$F110,AH110))</f>
        <v>59MB1BJB-MB0A02S</v>
      </c>
      <c r="AI111" s="6" t="str">
        <f>IF($D111&lt;=AI$4,"",IF(AND($D110=AI$4,$D111&gt;AI$4),$F110,AI110))</f>
        <v/>
      </c>
      <c r="AJ111" s="6" t="str">
        <f>IF($D111&lt;=AJ$4,"",IF(AND($D110=AJ$4,$D111&gt;AJ$4),$F110,AJ110))</f>
        <v/>
      </c>
      <c r="AK111" s="6" t="str">
        <f>IF($D111&lt;=AK$4,"",IF(AND($D110=AK$4,$D111&gt;AK$4),$F110,AK110))</f>
        <v/>
      </c>
      <c r="AL111" s="6" t="str">
        <f>IF($D111&lt;=AL$4,"",IF(AND($D110=AL$4,$D111&gt;AL$4),$F110,AL110))</f>
        <v/>
      </c>
      <c r="AM111" s="6" t="str">
        <f>IF($D111&lt;=AM$4,"",IF(AND($D110=AM$4,$D111&gt;AM$4),$F110,AM110))</f>
        <v/>
      </c>
      <c r="AN111" s="6" t="str">
        <f>IF($D111&lt;=AN$4,"",IF(AND($D110=AN$4,$D111&gt;AN$4),$F110,AN110))</f>
        <v/>
      </c>
      <c r="AO111" s="6" t="str">
        <f>CONCATENATE(AG111," | ",AH111," | ",AI111," | ",AJ111," | ",AK111," | ",AL111," | ",AM111," | ",AN111)</f>
        <v xml:space="preserve">90MB1BJ0-C1BAY0 | 59MB1BJB-MB0A02S |  |  |  |  |  | </v>
      </c>
      <c r="AP111" s="6">
        <f>IF(TRIM(H111)="",100,J111)</f>
        <v>100</v>
      </c>
      <c r="AQ111" s="4"/>
      <c r="AR111" s="6" t="b">
        <f>NOT(TRIM(W111)&lt;&gt;"F")</f>
        <v>1</v>
      </c>
      <c r="AS111" s="6" t="str">
        <f>$B111&amp;" | "&amp;$AO111&amp;" | "&amp;IF(TRIM(H111)="","uniq"&amp;ROW(),TRIM(H111))</f>
        <v>461E | 90MB1BJ0-C1BAY0 | 59MB1BJB-MB0A02S |  |  |  |  |  |  | 35</v>
      </c>
      <c r="AT111" s="63">
        <f>IF(NOT(AR111),IF(TRIM($H111)="","Assembly","Phantom Alt"),VLOOKUP(F111,ZPCS04!B:G,6,0))</f>
        <v>1122</v>
      </c>
      <c r="AU111" s="7"/>
      <c r="AV111" s="38">
        <f ca="1">IF(TRIM($W111)="F",OFFSET($A$5,MATCH($AS111,$AS$5:$AS111,0)-1,0),$A111)</f>
        <v>109</v>
      </c>
      <c r="AW111" s="38">
        <f ca="1">IFERROR(OFFSET(ZPCS04!$A$1,MATCH(F111,ZPCS04!B:B,0)-1,0),100)</f>
        <v>2</v>
      </c>
      <c r="AX111" s="7"/>
      <c r="AY111" s="6" t="b">
        <f>SUMIF(AS:AS,AS111,AP:AP)=100</f>
        <v>1</v>
      </c>
      <c r="AZ111" s="6" t="b">
        <f>SUMIF(AS:AS,AS111,AE:AE)/COUNTIF(AS:AS,AS111)=AE111</f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>C111&amp;" | "&amp;F111</f>
        <v>90MB1BJ0-C1BAY0 | 06G010121012</v>
      </c>
      <c r="BE111" s="55" t="str">
        <f ca="1">C111&amp;" | "&amp;OFFSET($AF111,0,8-COUNTBLANK($AG111:$AN111))</f>
        <v>90MB1BJ0-C1BAY0 | 59MB1BJB-MB0A02S</v>
      </c>
      <c r="BF111" s="57">
        <f ca="1">IFERROR(VLOOKUP($BE111,$BD$5:$BF110,3,0)*$AE111,VLOOKUP($C111,Demanda!$A:$B,2,0)*$AE111)*IF(AT111="Phantom Alt",$BC111,TRUE)</f>
        <v>1000</v>
      </c>
      <c r="BG111" s="57">
        <f ca="1">BF111*(AP111/100)</f>
        <v>1000</v>
      </c>
      <c r="BH111" s="57">
        <f>SUMIF(Invoice!A:A,F111,Invoice!B:B)</f>
        <v>0</v>
      </c>
      <c r="BI111" s="57">
        <f ca="1">SUMIF(AS:AS,AS111,BG:BG)</f>
        <v>1000</v>
      </c>
      <c r="BJ111" s="57">
        <f ca="1">MIN((BI111-SUMIF($AS$5:AS110,AS111,$BJ$5:BJ110)),MAX(0,BH111-SUMIF($F$5:F110,F111,$BJ$5:BJ110)))</f>
        <v>0</v>
      </c>
      <c r="BK111" s="57">
        <f ca="1">(-SUMIF(AS:AS,AS111,BG:BG)+SUMIF(AS:AS,AS111,BJ:BJ))*(AP111=100)*AR111</f>
        <v>0</v>
      </c>
      <c r="BL111" s="57">
        <f ca="1">MAX(0,SUMIF(Invoice!A:A,F111,Invoice!B:B)-SUMIF(F:F,F111,BJ:BJ))*(COUNTIF(F:F,F111)=COUNTIF($F$5:F111,F111))</f>
        <v>0</v>
      </c>
    </row>
    <row r="112" spans="1:64" hidden="1">
      <c r="A112" s="43">
        <v>114</v>
      </c>
      <c r="B112" s="35" t="s">
        <v>147</v>
      </c>
      <c r="C112" s="35" t="s">
        <v>146</v>
      </c>
      <c r="D112" s="35">
        <v>2</v>
      </c>
      <c r="E112" s="35">
        <v>360</v>
      </c>
      <c r="F112" s="64" t="s">
        <v>391</v>
      </c>
      <c r="G112" s="73" t="s">
        <v>392</v>
      </c>
      <c r="H112" s="35">
        <v>36</v>
      </c>
      <c r="I112" s="35" t="s">
        <v>54</v>
      </c>
      <c r="J112" s="35">
        <v>100</v>
      </c>
      <c r="K112" s="35" t="s">
        <v>150</v>
      </c>
      <c r="L112" s="35" t="s">
        <v>53</v>
      </c>
      <c r="M112" s="35">
        <v>1</v>
      </c>
      <c r="N112" s="35">
        <v>1</v>
      </c>
      <c r="O112" s="35">
        <v>1</v>
      </c>
      <c r="P112" s="35">
        <v>2</v>
      </c>
      <c r="Q112" s="35">
        <v>1</v>
      </c>
      <c r="R112" s="35" t="s">
        <v>73</v>
      </c>
      <c r="S112" s="35" t="s">
        <v>73</v>
      </c>
      <c r="T112" s="36">
        <v>44901</v>
      </c>
      <c r="U112" s="36">
        <v>2958465</v>
      </c>
      <c r="V112" s="35" t="s">
        <v>282</v>
      </c>
      <c r="W112" s="35" t="s">
        <v>145</v>
      </c>
      <c r="X112" s="35"/>
      <c r="Y112" s="35" t="s">
        <v>143</v>
      </c>
      <c r="Z112" s="35">
        <v>7589154</v>
      </c>
      <c r="AA112" s="35">
        <v>112</v>
      </c>
      <c r="AB112" s="35">
        <v>56</v>
      </c>
      <c r="AC112" s="35"/>
      <c r="AE112" s="51">
        <f>M112/O112</f>
        <v>1</v>
      </c>
      <c r="AG112" s="6" t="str">
        <f>C112</f>
        <v>90MB1BJ0-C1BAY0</v>
      </c>
      <c r="AH112" s="6" t="str">
        <f>IF($D112&lt;=AH$4,"",IF(AND($D111=AH$4,$D112&gt;AH$4),$F111,AH111))</f>
        <v>59MB1BJB-MB0A02S</v>
      </c>
      <c r="AI112" s="6" t="str">
        <f>IF($D112&lt;=AI$4,"",IF(AND($D111=AI$4,$D112&gt;AI$4),$F111,AI111))</f>
        <v/>
      </c>
      <c r="AJ112" s="6" t="str">
        <f>IF($D112&lt;=AJ$4,"",IF(AND($D111=AJ$4,$D112&gt;AJ$4),$F111,AJ111))</f>
        <v/>
      </c>
      <c r="AK112" s="6" t="str">
        <f>IF($D112&lt;=AK$4,"",IF(AND($D111=AK$4,$D112&gt;AK$4),$F111,AK111))</f>
        <v/>
      </c>
      <c r="AL112" s="6" t="str">
        <f>IF($D112&lt;=AL$4,"",IF(AND($D111=AL$4,$D112&gt;AL$4),$F111,AL111))</f>
        <v/>
      </c>
      <c r="AM112" s="6" t="str">
        <f>IF($D112&lt;=AM$4,"",IF(AND($D111=AM$4,$D112&gt;AM$4),$F111,AM111))</f>
        <v/>
      </c>
      <c r="AN112" s="6" t="str">
        <f>IF($D112&lt;=AN$4,"",IF(AND($D111=AN$4,$D112&gt;AN$4),$F111,AN111))</f>
        <v/>
      </c>
      <c r="AO112" s="6" t="str">
        <f>CONCATENATE(AG112," | ",AH112," | ",AI112," | ",AJ112," | ",AK112," | ",AL112," | ",AM112," | ",AN112)</f>
        <v xml:space="preserve">90MB1BJ0-C1BAY0 | 59MB1BJB-MB0A02S |  |  |  |  |  | </v>
      </c>
      <c r="AP112" s="6">
        <f>IF(TRIM(H112)="",100,J112)</f>
        <v>100</v>
      </c>
      <c r="AQ112" s="4"/>
      <c r="AR112" s="6" t="b">
        <f>NOT(TRIM(W112)&lt;&gt;"F")</f>
        <v>1</v>
      </c>
      <c r="AS112" s="6" t="str">
        <f>$B112&amp;" | "&amp;$AO112&amp;" | "&amp;IF(TRIM(H112)="","uniq"&amp;ROW(),TRIM(H112))</f>
        <v>461E | 90MB1BJ0-C1BAY0 | 59MB1BJB-MB0A02S |  |  |  |  |  |  | 36</v>
      </c>
      <c r="AT112" s="63">
        <f>IF(NOT(AR112),IF(TRIM($H112)="","Assembly","Phantom Alt"),VLOOKUP(F112,ZPCS04!B:G,6,0))</f>
        <v>929</v>
      </c>
      <c r="AU112" s="7"/>
      <c r="AV112" s="38">
        <f ca="1">IF(TRIM($W112)="F",OFFSET($A$5,MATCH($AS112,$AS$5:$AS112,0)-1,0),$A112)</f>
        <v>114</v>
      </c>
      <c r="AW112" s="38">
        <f ca="1">IFERROR(OFFSET(ZPCS04!$A$1,MATCH(F112,ZPCS04!B:B,0)-1,0),100)</f>
        <v>1.9999999900000001</v>
      </c>
      <c r="AX112" s="7"/>
      <c r="AY112" s="6" t="b">
        <f>SUMIF(AS:AS,AS112,AP:AP)=100</f>
        <v>1</v>
      </c>
      <c r="AZ112" s="6" t="b">
        <f>SUMIF(AS:AS,AS112,AE:AE)/COUNTIF(AS:AS,AS112)=AE112</f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>C112&amp;" | "&amp;F112</f>
        <v>90MB1BJ0-C1BAY0 | 06G010205010</v>
      </c>
      <c r="BE112" s="55" t="str">
        <f ca="1">C112&amp;" | "&amp;OFFSET($AF112,0,8-COUNTBLANK($AG112:$AN112))</f>
        <v>90MB1BJ0-C1BAY0 | 59MB1BJB-MB0A02S</v>
      </c>
      <c r="BF112" s="57">
        <f ca="1">IFERROR(VLOOKUP($BE112,$BD$5:$BF111,3,0)*$AE112,VLOOKUP($C112,Demanda!$A:$B,2,0)*$AE112)*IF(AT112="Phantom Alt",$BC112,TRUE)</f>
        <v>1000</v>
      </c>
      <c r="BG112" s="57">
        <f ca="1">BF112*(AP112/100)</f>
        <v>1000</v>
      </c>
      <c r="BH112" s="57">
        <f>SUMIF(Invoice!A:A,F112,Invoice!B:B)</f>
        <v>1000</v>
      </c>
      <c r="BI112" s="57">
        <f ca="1">SUMIF(AS:AS,AS112,BG:BG)</f>
        <v>1000</v>
      </c>
      <c r="BJ112" s="57">
        <f ca="1">MIN((BI112-SUMIF($AS$5:AS111,AS112,$BJ$5:BJ111)),MAX(0,BH112-SUMIF($F$5:F111,F112,$BJ$5:BJ111)))</f>
        <v>1000</v>
      </c>
      <c r="BK112" s="57">
        <f ca="1">(-SUMIF(AS:AS,AS112,BG:BG)+SUMIF(AS:AS,AS112,BJ:BJ))*(AP112=100)*AR112</f>
        <v>0</v>
      </c>
      <c r="BL112" s="57">
        <f ca="1">MAX(0,SUMIF(Invoice!A:A,F112,Invoice!B:B)-SUMIF(F:F,F112,BJ:BJ))*(COUNTIF(F:F,F112)=COUNTIF($F$5:F112,F112))</f>
        <v>0</v>
      </c>
    </row>
    <row r="113" spans="1:64" hidden="1">
      <c r="A113" s="43">
        <v>112</v>
      </c>
      <c r="B113" s="35" t="s">
        <v>147</v>
      </c>
      <c r="C113" s="35" t="s">
        <v>146</v>
      </c>
      <c r="D113" s="35">
        <v>2</v>
      </c>
      <c r="E113" s="35">
        <v>360</v>
      </c>
      <c r="F113" s="64" t="s">
        <v>387</v>
      </c>
      <c r="G113" s="73" t="s">
        <v>388</v>
      </c>
      <c r="H113" s="35">
        <v>36</v>
      </c>
      <c r="I113" s="35" t="s">
        <v>55</v>
      </c>
      <c r="J113" s="35">
        <v>0</v>
      </c>
      <c r="K113" s="35" t="s">
        <v>150</v>
      </c>
      <c r="L113" s="35" t="s">
        <v>53</v>
      </c>
      <c r="M113" s="35">
        <v>1</v>
      </c>
      <c r="N113" s="35"/>
      <c r="O113" s="35">
        <v>1</v>
      </c>
      <c r="P113" s="35">
        <v>2</v>
      </c>
      <c r="Q113" s="35">
        <v>2</v>
      </c>
      <c r="R113" s="35" t="s">
        <v>73</v>
      </c>
      <c r="S113" s="35" t="s">
        <v>73</v>
      </c>
      <c r="T113" s="36">
        <v>44901</v>
      </c>
      <c r="U113" s="36">
        <v>2958465</v>
      </c>
      <c r="V113" s="35" t="s">
        <v>282</v>
      </c>
      <c r="W113" s="35" t="s">
        <v>145</v>
      </c>
      <c r="X113" s="35"/>
      <c r="Y113" s="35" t="s">
        <v>143</v>
      </c>
      <c r="Z113" s="35">
        <v>7589154</v>
      </c>
      <c r="AA113" s="35">
        <v>114</v>
      </c>
      <c r="AB113" s="35">
        <v>57</v>
      </c>
      <c r="AC113" s="35"/>
      <c r="AE113" s="51">
        <f>M113/O113</f>
        <v>1</v>
      </c>
      <c r="AG113" s="6" t="str">
        <f>C113</f>
        <v>90MB1BJ0-C1BAY0</v>
      </c>
      <c r="AH113" s="6" t="str">
        <f>IF($D113&lt;=AH$4,"",IF(AND($D112=AH$4,$D113&gt;AH$4),$F112,AH112))</f>
        <v>59MB1BJB-MB0A02S</v>
      </c>
      <c r="AI113" s="6" t="str">
        <f>IF($D113&lt;=AI$4,"",IF(AND($D112=AI$4,$D113&gt;AI$4),$F112,AI112))</f>
        <v/>
      </c>
      <c r="AJ113" s="6" t="str">
        <f>IF($D113&lt;=AJ$4,"",IF(AND($D112=AJ$4,$D113&gt;AJ$4),$F112,AJ112))</f>
        <v/>
      </c>
      <c r="AK113" s="6" t="str">
        <f>IF($D113&lt;=AK$4,"",IF(AND($D112=AK$4,$D113&gt;AK$4),$F112,AK112))</f>
        <v/>
      </c>
      <c r="AL113" s="6" t="str">
        <f>IF($D113&lt;=AL$4,"",IF(AND($D112=AL$4,$D113&gt;AL$4),$F112,AL112))</f>
        <v/>
      </c>
      <c r="AM113" s="6" t="str">
        <f>IF($D113&lt;=AM$4,"",IF(AND($D112=AM$4,$D113&gt;AM$4),$F112,AM112))</f>
        <v/>
      </c>
      <c r="AN113" s="6" t="str">
        <f>IF($D113&lt;=AN$4,"",IF(AND($D112=AN$4,$D113&gt;AN$4),$F112,AN112))</f>
        <v/>
      </c>
      <c r="AO113" s="6" t="str">
        <f>CONCATENATE(AG113," | ",AH113," | ",AI113," | ",AJ113," | ",AK113," | ",AL113," | ",AM113," | ",AN113)</f>
        <v xml:space="preserve">90MB1BJ0-C1BAY0 | 59MB1BJB-MB0A02S |  |  |  |  |  | </v>
      </c>
      <c r="AP113" s="6">
        <f>IF(TRIM(H113)="",100,J113)</f>
        <v>0</v>
      </c>
      <c r="AQ113" s="4"/>
      <c r="AR113" s="6" t="b">
        <f>NOT(TRIM(W113)&lt;&gt;"F")</f>
        <v>1</v>
      </c>
      <c r="AS113" s="6" t="str">
        <f>$B113&amp;" | "&amp;$AO113&amp;" | "&amp;IF(TRIM(H113)="","uniq"&amp;ROW(),TRIM(H113))</f>
        <v>461E | 90MB1BJ0-C1BAY0 | 59MB1BJB-MB0A02S |  |  |  |  |  |  | 36</v>
      </c>
      <c r="AT113" s="63">
        <f>IF(NOT(AR113),IF(TRIM($H113)="","Assembly","Phantom Alt"),VLOOKUP(F113,ZPCS04!B:G,6,0))</f>
        <v>929</v>
      </c>
      <c r="AU113" s="7"/>
      <c r="AV113" s="38">
        <f ca="1">IF(TRIM($W113)="F",OFFSET($A$5,MATCH($AS113,$AS$5:$AS113,0)-1,0),$A113)</f>
        <v>114</v>
      </c>
      <c r="AW113" s="38">
        <f ca="1">IFERROR(OFFSET(ZPCS04!$A$1,MATCH(F113,ZPCS04!B:B,0)-1,0),100)</f>
        <v>2</v>
      </c>
      <c r="AX113" s="7"/>
      <c r="AY113" s="6" t="b">
        <f>SUMIF(AS:AS,AS113,AP:AP)=100</f>
        <v>1</v>
      </c>
      <c r="AZ113" s="6" t="b">
        <f>SUMIF(AS:AS,AS113,AE:AE)/COUNTIF(AS:AS,AS113)=AE113</f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>C113&amp;" | "&amp;F113</f>
        <v>90MB1BJ0-C1BAY0 | 06010-00240000</v>
      </c>
      <c r="BE113" s="55" t="str">
        <f ca="1">C113&amp;" | "&amp;OFFSET($AF113,0,8-COUNTBLANK($AG113:$AN113))</f>
        <v>90MB1BJ0-C1BAY0 | 59MB1BJB-MB0A02S</v>
      </c>
      <c r="BF113" s="57">
        <f ca="1">IFERROR(VLOOKUP($BE113,$BD$5:$BF112,3,0)*$AE113,VLOOKUP($C113,Demanda!$A:$B,2,0)*$AE113)*IF(AT113="Phantom Alt",$BC113,TRUE)</f>
        <v>1000</v>
      </c>
      <c r="BG113" s="57">
        <f ca="1">BF113*(AP113/100)</f>
        <v>0</v>
      </c>
      <c r="BH113" s="57">
        <f>SUMIF(Invoice!A:A,F113,Invoice!B:B)</f>
        <v>0</v>
      </c>
      <c r="BI113" s="57">
        <f ca="1">SUMIF(AS:AS,AS113,BG:BG)</f>
        <v>1000</v>
      </c>
      <c r="BJ113" s="57">
        <f ca="1">MIN((BI113-SUMIF($AS$5:AS112,AS113,$BJ$5:BJ112)),MAX(0,BH113-SUMIF($F$5:F112,F113,$BJ$5:BJ112)))</f>
        <v>0</v>
      </c>
      <c r="BK113" s="57">
        <f ca="1">(-SUMIF(AS:AS,AS113,BG:BG)+SUMIF(AS:AS,AS113,BJ:BJ))*(AP113=100)*AR113</f>
        <v>0</v>
      </c>
      <c r="BL113" s="57">
        <f ca="1">MAX(0,SUMIF(Invoice!A:A,F113,Invoice!B:B)-SUMIF(F:F,F113,BJ:BJ))*(COUNTIF(F:F,F113)=COUNTIF($F$5:F113,F113))</f>
        <v>0</v>
      </c>
    </row>
    <row r="114" spans="1:64" hidden="1">
      <c r="A114" s="43">
        <v>113</v>
      </c>
      <c r="B114" s="35" t="s">
        <v>147</v>
      </c>
      <c r="C114" s="35" t="s">
        <v>146</v>
      </c>
      <c r="D114" s="35">
        <v>2</v>
      </c>
      <c r="E114" s="35">
        <v>360</v>
      </c>
      <c r="F114" s="64" t="s">
        <v>389</v>
      </c>
      <c r="G114" s="73" t="s">
        <v>390</v>
      </c>
      <c r="H114" s="35">
        <v>36</v>
      </c>
      <c r="I114" s="35" t="s">
        <v>55</v>
      </c>
      <c r="J114" s="35">
        <v>0</v>
      </c>
      <c r="K114" s="35" t="s">
        <v>150</v>
      </c>
      <c r="L114" s="35" t="s">
        <v>53</v>
      </c>
      <c r="M114" s="35">
        <v>1</v>
      </c>
      <c r="N114" s="35"/>
      <c r="O114" s="35">
        <v>1</v>
      </c>
      <c r="P114" s="35">
        <v>2</v>
      </c>
      <c r="Q114" s="35">
        <v>3</v>
      </c>
      <c r="R114" s="35" t="s">
        <v>73</v>
      </c>
      <c r="S114" s="35" t="s">
        <v>73</v>
      </c>
      <c r="T114" s="36">
        <v>44901</v>
      </c>
      <c r="U114" s="36">
        <v>2958465</v>
      </c>
      <c r="V114" s="35" t="s">
        <v>282</v>
      </c>
      <c r="W114" s="35" t="s">
        <v>145</v>
      </c>
      <c r="X114" s="35"/>
      <c r="Y114" s="35" t="s">
        <v>143</v>
      </c>
      <c r="Z114" s="35">
        <v>7589154</v>
      </c>
      <c r="AA114" s="35">
        <v>116</v>
      </c>
      <c r="AB114" s="35">
        <v>58</v>
      </c>
      <c r="AC114" s="35"/>
      <c r="AE114" s="51">
        <f>M114/O114</f>
        <v>1</v>
      </c>
      <c r="AG114" s="6" t="str">
        <f>C114</f>
        <v>90MB1BJ0-C1BAY0</v>
      </c>
      <c r="AH114" s="6" t="str">
        <f>IF($D114&lt;=AH$4,"",IF(AND($D113=AH$4,$D114&gt;AH$4),$F113,AH113))</f>
        <v>59MB1BJB-MB0A02S</v>
      </c>
      <c r="AI114" s="6" t="str">
        <f>IF($D114&lt;=AI$4,"",IF(AND($D113=AI$4,$D114&gt;AI$4),$F113,AI113))</f>
        <v/>
      </c>
      <c r="AJ114" s="6" t="str">
        <f>IF($D114&lt;=AJ$4,"",IF(AND($D113=AJ$4,$D114&gt;AJ$4),$F113,AJ113))</f>
        <v/>
      </c>
      <c r="AK114" s="6" t="str">
        <f>IF($D114&lt;=AK$4,"",IF(AND($D113=AK$4,$D114&gt;AK$4),$F113,AK113))</f>
        <v/>
      </c>
      <c r="AL114" s="6" t="str">
        <f>IF($D114&lt;=AL$4,"",IF(AND($D113=AL$4,$D114&gt;AL$4),$F113,AL113))</f>
        <v/>
      </c>
      <c r="AM114" s="6" t="str">
        <f>IF($D114&lt;=AM$4,"",IF(AND($D113=AM$4,$D114&gt;AM$4),$F113,AM113))</f>
        <v/>
      </c>
      <c r="AN114" s="6" t="str">
        <f>IF($D114&lt;=AN$4,"",IF(AND($D113=AN$4,$D114&gt;AN$4),$F113,AN113))</f>
        <v/>
      </c>
      <c r="AO114" s="6" t="str">
        <f>CONCATENATE(AG114," | ",AH114," | ",AI114," | ",AJ114," | ",AK114," | ",AL114," | ",AM114," | ",AN114)</f>
        <v xml:space="preserve">90MB1BJ0-C1BAY0 | 59MB1BJB-MB0A02S |  |  |  |  |  | </v>
      </c>
      <c r="AP114" s="6">
        <f>IF(TRIM(H114)="",100,J114)</f>
        <v>0</v>
      </c>
      <c r="AQ114" s="4"/>
      <c r="AR114" s="6" t="b">
        <f>NOT(TRIM(W114)&lt;&gt;"F")</f>
        <v>1</v>
      </c>
      <c r="AS114" s="6" t="str">
        <f>$B114&amp;" | "&amp;$AO114&amp;" | "&amp;IF(TRIM(H114)="","uniq"&amp;ROW(),TRIM(H114))</f>
        <v>461E | 90MB1BJ0-C1BAY0 | 59MB1BJB-MB0A02S |  |  |  |  |  |  | 36</v>
      </c>
      <c r="AT114" s="63">
        <f>IF(NOT(AR114),IF(TRIM($H114)="","Assembly","Phantom Alt"),VLOOKUP(F114,ZPCS04!B:G,6,0))</f>
        <v>929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2</v>
      </c>
      <c r="AX114" s="7"/>
      <c r="AY114" s="6" t="b">
        <f>SUMIF(AS:AS,AS114,AP:AP)=100</f>
        <v>1</v>
      </c>
      <c r="AZ114" s="6" t="b">
        <f>SUMIF(AS:AS,AS114,AE:AE)/COUNTIF(AS:AS,AS114)=AE114</f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>C114&amp;" | "&amp;F114</f>
        <v>90MB1BJ0-C1BAY0 | 06G010132010</v>
      </c>
      <c r="BE114" s="55" t="str">
        <f ca="1">C114&amp;" | "&amp;OFFSET($AF114,0,8-COUNTBLANK($AG114:$AN114))</f>
        <v>90MB1BJ0-C1BAY0 | 59MB1BJB-MB0A02S</v>
      </c>
      <c r="BF114" s="57">
        <f ca="1">IFERROR(VLOOKUP($BE114,$BD$5:$BF113,3,0)*$AE114,VLOOKUP($C114,Demanda!$A:$B,2,0)*$AE114)*IF(AT114="Phantom Alt",$BC114,TRUE)</f>
        <v>1000</v>
      </c>
      <c r="BG114" s="57">
        <f ca="1">BF114*(AP114/100)</f>
        <v>0</v>
      </c>
      <c r="BH114" s="57">
        <f>SUMIF(Invoice!A:A,F114,Invoice!B:B)</f>
        <v>0</v>
      </c>
      <c r="BI114" s="57">
        <f ca="1">SUMIF(AS:AS,AS114,BG:BG)</f>
        <v>1000</v>
      </c>
      <c r="BJ114" s="57">
        <f ca="1">MIN((BI114-SUMIF($AS$5:AS113,AS114,$BJ$5:BJ113)),MAX(0,BH114-SUMIF($F$5:F113,F114,$BJ$5:BJ113)))</f>
        <v>0</v>
      </c>
      <c r="BK114" s="57">
        <f ca="1">(-SUMIF(AS:AS,AS114,BG:BG)+SUMIF(AS:AS,AS114,BJ:BJ))*(AP114=100)*AR114</f>
        <v>0</v>
      </c>
      <c r="BL114" s="57">
        <f ca="1">MAX(0,SUMIF(Invoice!A:A,F114,Invoice!B:B)-SUMIF(F:F,F114,BJ:BJ))*(COUNTIF(F:F,F114)=COUNTIF($F$5:F114,F114))</f>
        <v>0</v>
      </c>
    </row>
    <row r="115" spans="1:64" hidden="1">
      <c r="A115" s="43">
        <v>115</v>
      </c>
      <c r="B115" s="35" t="s">
        <v>147</v>
      </c>
      <c r="C115" s="35" t="s">
        <v>146</v>
      </c>
      <c r="D115" s="35">
        <v>2</v>
      </c>
      <c r="E115" s="35">
        <v>370</v>
      </c>
      <c r="F115" s="64" t="s">
        <v>393</v>
      </c>
      <c r="G115" s="73" t="s">
        <v>394</v>
      </c>
      <c r="H115" s="35"/>
      <c r="I115" s="35" t="s">
        <v>54</v>
      </c>
      <c r="J115" s="35">
        <v>0</v>
      </c>
      <c r="K115" s="35" t="s">
        <v>150</v>
      </c>
      <c r="L115" s="35" t="s">
        <v>53</v>
      </c>
      <c r="M115" s="35">
        <v>1</v>
      </c>
      <c r="N115" s="35">
        <v>1</v>
      </c>
      <c r="O115" s="35">
        <v>1</v>
      </c>
      <c r="P115" s="35"/>
      <c r="Q115" s="35"/>
      <c r="R115" s="35" t="s">
        <v>73</v>
      </c>
      <c r="S115" s="35" t="s">
        <v>73</v>
      </c>
      <c r="T115" s="36">
        <v>44901</v>
      </c>
      <c r="U115" s="36">
        <v>2958465</v>
      </c>
      <c r="V115" s="35" t="s">
        <v>282</v>
      </c>
      <c r="W115" s="35" t="s">
        <v>145</v>
      </c>
      <c r="X115" s="35"/>
      <c r="Y115" s="35" t="s">
        <v>143</v>
      </c>
      <c r="Z115" s="35">
        <v>7589154</v>
      </c>
      <c r="AA115" s="35">
        <v>118</v>
      </c>
      <c r="AB115" s="35">
        <v>59</v>
      </c>
      <c r="AC115" s="35"/>
      <c r="AE115" s="51">
        <f>M115/O115</f>
        <v>1</v>
      </c>
      <c r="AG115" s="6" t="str">
        <f>C115</f>
        <v>90MB1BJ0-C1BAY0</v>
      </c>
      <c r="AH115" s="6" t="str">
        <f>IF($D115&lt;=AH$4,"",IF(AND($D114=AH$4,$D115&gt;AH$4),$F114,AH114))</f>
        <v>59MB1BJB-MB0A02S</v>
      </c>
      <c r="AI115" s="6" t="str">
        <f>IF($D115&lt;=AI$4,"",IF(AND($D114=AI$4,$D115&gt;AI$4),$F114,AI114))</f>
        <v/>
      </c>
      <c r="AJ115" s="6" t="str">
        <f>IF($D115&lt;=AJ$4,"",IF(AND($D114=AJ$4,$D115&gt;AJ$4),$F114,AJ114))</f>
        <v/>
      </c>
      <c r="AK115" s="6" t="str">
        <f>IF($D115&lt;=AK$4,"",IF(AND($D114=AK$4,$D115&gt;AK$4),$F114,AK114))</f>
        <v/>
      </c>
      <c r="AL115" s="6" t="str">
        <f>IF($D115&lt;=AL$4,"",IF(AND($D114=AL$4,$D115&gt;AL$4),$F114,AL114))</f>
        <v/>
      </c>
      <c r="AM115" s="6" t="str">
        <f>IF($D115&lt;=AM$4,"",IF(AND($D114=AM$4,$D115&gt;AM$4),$F114,AM114))</f>
        <v/>
      </c>
      <c r="AN115" s="6" t="str">
        <f>IF($D115&lt;=AN$4,"",IF(AND($D114=AN$4,$D115&gt;AN$4),$F114,AN114))</f>
        <v/>
      </c>
      <c r="AO115" s="6" t="str">
        <f>CONCATENATE(AG115," | ",AH115," | ",AI115," | ",AJ115," | ",AK115," | ",AL115," | ",AM115," | ",AN115)</f>
        <v xml:space="preserve">90MB1BJ0-C1BAY0 | 59MB1BJB-MB0A02S |  |  |  |  |  | </v>
      </c>
      <c r="AP115" s="6">
        <f>IF(TRIM(H115)="",100,J115)</f>
        <v>100</v>
      </c>
      <c r="AQ115" s="4"/>
      <c r="AR115" s="6" t="b">
        <f>NOT(TRIM(W115)&lt;&gt;"F")</f>
        <v>1</v>
      </c>
      <c r="AS115" s="6" t="str">
        <f>$B115&amp;" | "&amp;$AO115&amp;" | "&amp;IF(TRIM(H115)="","uniq"&amp;ROW(),TRIM(H115))</f>
        <v>461E | 90MB1BJ0-C1BAY0 | 59MB1BJB-MB0A02S |  |  |  |  |  |  | uniq115</v>
      </c>
      <c r="AT115" s="63">
        <f>IF(NOT(AR115),IF(TRIM($H115)="","Assembly","Phantom Alt"),VLOOKUP(F115,ZPCS04!B:G,6,0))</f>
        <v>79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1.9999999900000001</v>
      </c>
      <c r="AX115" s="7"/>
      <c r="AY115" s="6" t="b">
        <f>SUMIF(AS:AS,AS115,AP:AP)=100</f>
        <v>1</v>
      </c>
      <c r="AZ115" s="6" t="b">
        <f>SUMIF(AS:AS,AS115,AE:AE)/COUNTIF(AS:AS,AS115)=AE115</f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>C115&amp;" | "&amp;F115</f>
        <v>90MB1BJ0-C1BAY0 | 06G011034011</v>
      </c>
      <c r="BE115" s="55" t="str">
        <f ca="1">C115&amp;" | "&amp;OFFSET($AF115,0,8-COUNTBLANK($AG115:$AN115))</f>
        <v>90MB1BJ0-C1BAY0 | 59MB1BJB-MB0A02S</v>
      </c>
      <c r="BF115" s="57">
        <f ca="1">IFERROR(VLOOKUP($BE115,$BD$5:$BF114,3,0)*$AE115,VLOOKUP($C115,Demanda!$A:$B,2,0)*$AE115)*IF(AT115="Phantom Alt",$BC115,TRUE)</f>
        <v>1000</v>
      </c>
      <c r="BG115" s="57">
        <f ca="1">BF115*(AP115/100)</f>
        <v>1000</v>
      </c>
      <c r="BH115" s="57">
        <f>SUMIF(Invoice!A:A,F115,Invoice!B:B)</f>
        <v>1000</v>
      </c>
      <c r="BI115" s="57">
        <f ca="1">SUMIF(AS:AS,AS115,BG:BG)</f>
        <v>1000</v>
      </c>
      <c r="BJ115" s="57">
        <f ca="1">MIN((BI115-SUMIF($AS$5:AS114,AS115,$BJ$5:BJ114)),MAX(0,BH115-SUMIF($F$5:F114,F115,$BJ$5:BJ114)))</f>
        <v>1000</v>
      </c>
      <c r="BK115" s="57">
        <f ca="1">(-SUMIF(AS:AS,AS115,BG:BG)+SUMIF(AS:AS,AS115,BJ:BJ))*(AP115=100)*AR115</f>
        <v>0</v>
      </c>
      <c r="BL115" s="57">
        <f ca="1">MAX(0,SUMIF(Invoice!A:A,F115,Invoice!B:B)-SUMIF(F:F,F115,BJ:BJ))*(COUNTIF(F:F,F115)=COUNTIF($F$5:F115,F115))</f>
        <v>0</v>
      </c>
    </row>
    <row r="116" spans="1:64" hidden="1">
      <c r="A116" s="43">
        <v>116</v>
      </c>
      <c r="B116" s="35" t="s">
        <v>147</v>
      </c>
      <c r="C116" s="35" t="s">
        <v>146</v>
      </c>
      <c r="D116" s="35">
        <v>2</v>
      </c>
      <c r="E116" s="35">
        <v>380</v>
      </c>
      <c r="F116" s="64" t="s">
        <v>395</v>
      </c>
      <c r="G116" s="73" t="s">
        <v>396</v>
      </c>
      <c r="H116" s="35">
        <v>38</v>
      </c>
      <c r="I116" s="35" t="s">
        <v>55</v>
      </c>
      <c r="J116" s="35">
        <v>0</v>
      </c>
      <c r="K116" s="35" t="s">
        <v>150</v>
      </c>
      <c r="L116" s="35" t="s">
        <v>53</v>
      </c>
      <c r="M116" s="35">
        <v>6</v>
      </c>
      <c r="N116" s="35"/>
      <c r="O116" s="35">
        <v>1</v>
      </c>
      <c r="P116" s="35">
        <v>2</v>
      </c>
      <c r="Q116" s="35">
        <v>2</v>
      </c>
      <c r="R116" s="35" t="s">
        <v>73</v>
      </c>
      <c r="S116" s="35" t="s">
        <v>73</v>
      </c>
      <c r="T116" s="36">
        <v>44901</v>
      </c>
      <c r="U116" s="36">
        <v>2958465</v>
      </c>
      <c r="V116" s="35" t="s">
        <v>282</v>
      </c>
      <c r="W116" s="35" t="s">
        <v>145</v>
      </c>
      <c r="X116" s="35"/>
      <c r="Y116" s="35" t="s">
        <v>143</v>
      </c>
      <c r="Z116" s="35">
        <v>7589154</v>
      </c>
      <c r="AA116" s="35">
        <v>122</v>
      </c>
      <c r="AB116" s="35">
        <v>61</v>
      </c>
      <c r="AC116" s="35"/>
      <c r="AE116" s="51">
        <f>M116/O116</f>
        <v>6</v>
      </c>
      <c r="AG116" s="6" t="str">
        <f>C116</f>
        <v>90MB1BJ0-C1BAY0</v>
      </c>
      <c r="AH116" s="6" t="str">
        <f>IF($D116&lt;=AH$4,"",IF(AND($D115=AH$4,$D116&gt;AH$4),$F115,AH115))</f>
        <v>59MB1BJB-MB0A02S</v>
      </c>
      <c r="AI116" s="6" t="str">
        <f>IF($D116&lt;=AI$4,"",IF(AND($D115=AI$4,$D116&gt;AI$4),$F115,AI115))</f>
        <v/>
      </c>
      <c r="AJ116" s="6" t="str">
        <f>IF($D116&lt;=AJ$4,"",IF(AND($D115=AJ$4,$D116&gt;AJ$4),$F115,AJ115))</f>
        <v/>
      </c>
      <c r="AK116" s="6" t="str">
        <f>IF($D116&lt;=AK$4,"",IF(AND($D115=AK$4,$D116&gt;AK$4),$F115,AK115))</f>
        <v/>
      </c>
      <c r="AL116" s="6" t="str">
        <f>IF($D116&lt;=AL$4,"",IF(AND($D115=AL$4,$D116&gt;AL$4),$F115,AL115))</f>
        <v/>
      </c>
      <c r="AM116" s="6" t="str">
        <f>IF($D116&lt;=AM$4,"",IF(AND($D115=AM$4,$D116&gt;AM$4),$F115,AM115))</f>
        <v/>
      </c>
      <c r="AN116" s="6" t="str">
        <f>IF($D116&lt;=AN$4,"",IF(AND($D115=AN$4,$D116&gt;AN$4),$F115,AN115))</f>
        <v/>
      </c>
      <c r="AO116" s="6" t="str">
        <f>CONCATENATE(AG116," | ",AH116," | ",AI116," | ",AJ116," | ",AK116," | ",AL116," | ",AM116," | ",AN116)</f>
        <v xml:space="preserve">90MB1BJ0-C1BAY0 | 59MB1BJB-MB0A02S |  |  |  |  |  | </v>
      </c>
      <c r="AP116" s="6">
        <f>IF(TRIM(H116)="",100,J116)</f>
        <v>0</v>
      </c>
      <c r="AQ116" s="4"/>
      <c r="AR116" s="6" t="b">
        <f>NOT(TRIM(W116)&lt;&gt;"F")</f>
        <v>1</v>
      </c>
      <c r="AS116" s="6" t="str">
        <f>$B116&amp;" | "&amp;$AO116&amp;" | "&amp;IF(TRIM(H116)="","uniq"&amp;ROW(),TRIM(H116))</f>
        <v>461E | 90MB1BJ0-C1BAY0 | 59MB1BJB-MB0A02S |  |  |  |  |  |  | 38</v>
      </c>
      <c r="AT116" s="63">
        <f>IF(NOT(AR116),IF(TRIM($H116)="","Assembly","Phantom Alt"),VLOOKUP(F116,ZPCS04!B:G,6,0))</f>
        <v>925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1.9999999399999999</v>
      </c>
      <c r="AX116" s="7"/>
      <c r="AY116" s="6" t="b">
        <f>SUMIF(AS:AS,AS116,AP:AP)=100</f>
        <v>1</v>
      </c>
      <c r="AZ116" s="6" t="b">
        <f>SUMIF(AS:AS,AS116,AE:AE)/COUNTIF(AS:AS,AS116)=AE116</f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>C116&amp;" | "&amp;F116</f>
        <v>90MB1BJ0-C1BAY0 | 06016-01080000</v>
      </c>
      <c r="BE116" s="55" t="str">
        <f ca="1">C116&amp;" | "&amp;OFFSET($AF116,0,8-COUNTBLANK($AG116:$AN116))</f>
        <v>90MB1BJ0-C1BAY0 | 59MB1BJB-MB0A02S</v>
      </c>
      <c r="BF116" s="57">
        <f ca="1">IFERROR(VLOOKUP($BE116,$BD$5:$BF115,3,0)*$AE116,VLOOKUP($C116,Demanda!$A:$B,2,0)*$AE116)*IF(AT116="Phantom Alt",$BC116,TRUE)</f>
        <v>6000</v>
      </c>
      <c r="BG116" s="57">
        <f ca="1">BF116*(AP116/100)</f>
        <v>0</v>
      </c>
      <c r="BH116" s="57">
        <f>SUMIF(Invoice!A:A,F116,Invoice!B:B)</f>
        <v>6000</v>
      </c>
      <c r="BI116" s="57">
        <f ca="1">SUMIF(AS:AS,AS116,BG:BG)</f>
        <v>6000</v>
      </c>
      <c r="BJ116" s="57">
        <f ca="1">MIN((BI116-SUMIF($AS$5:AS115,AS116,$BJ$5:BJ115)),MAX(0,BH116-SUMIF($F$5:F115,F116,$BJ$5:BJ115)))</f>
        <v>6000</v>
      </c>
      <c r="BK116" s="57">
        <f ca="1">(-SUMIF(AS:AS,AS116,BG:BG)+SUMIF(AS:AS,AS116,BJ:BJ))*(AP116=100)*AR116</f>
        <v>0</v>
      </c>
      <c r="BL116" s="57">
        <f ca="1">MAX(0,SUMIF(Invoice!A:A,F116,Invoice!B:B)-SUMIF(F:F,F116,BJ:BJ))*(COUNTIF(F:F,F116)=COUNTIF($F$5:F116,F116))</f>
        <v>0</v>
      </c>
    </row>
    <row r="117" spans="1:64" hidden="1">
      <c r="A117" s="43">
        <v>117</v>
      </c>
      <c r="B117" s="35" t="s">
        <v>147</v>
      </c>
      <c r="C117" s="35" t="s">
        <v>146</v>
      </c>
      <c r="D117" s="35">
        <v>2</v>
      </c>
      <c r="E117" s="35">
        <v>380</v>
      </c>
      <c r="F117" s="64" t="s">
        <v>397</v>
      </c>
      <c r="G117" s="73" t="s">
        <v>398</v>
      </c>
      <c r="H117" s="35">
        <v>38</v>
      </c>
      <c r="I117" s="35" t="s">
        <v>54</v>
      </c>
      <c r="J117" s="35">
        <v>100</v>
      </c>
      <c r="K117" s="35" t="s">
        <v>150</v>
      </c>
      <c r="L117" s="35" t="s">
        <v>53</v>
      </c>
      <c r="M117" s="35">
        <v>6</v>
      </c>
      <c r="N117" s="35">
        <v>6</v>
      </c>
      <c r="O117" s="35">
        <v>1</v>
      </c>
      <c r="P117" s="35">
        <v>2</v>
      </c>
      <c r="Q117" s="35">
        <v>1</v>
      </c>
      <c r="R117" s="35" t="s">
        <v>73</v>
      </c>
      <c r="S117" s="35" t="s">
        <v>73</v>
      </c>
      <c r="T117" s="36">
        <v>44901</v>
      </c>
      <c r="U117" s="36">
        <v>2958465</v>
      </c>
      <c r="V117" s="35" t="s">
        <v>282</v>
      </c>
      <c r="W117" s="35" t="s">
        <v>145</v>
      </c>
      <c r="X117" s="35"/>
      <c r="Y117" s="35" t="s">
        <v>143</v>
      </c>
      <c r="Z117" s="35">
        <v>7589154</v>
      </c>
      <c r="AA117" s="35">
        <v>120</v>
      </c>
      <c r="AB117" s="35">
        <v>60</v>
      </c>
      <c r="AC117" s="35"/>
      <c r="AE117" s="51">
        <f>M117/O117</f>
        <v>6</v>
      </c>
      <c r="AG117" s="6" t="str">
        <f>C117</f>
        <v>90MB1BJ0-C1BAY0</v>
      </c>
      <c r="AH117" s="6" t="str">
        <f>IF($D117&lt;=AH$4,"",IF(AND($D116=AH$4,$D117&gt;AH$4),$F116,AH116))</f>
        <v>59MB1BJB-MB0A02S</v>
      </c>
      <c r="AI117" s="6" t="str">
        <f>IF($D117&lt;=AI$4,"",IF(AND($D116=AI$4,$D117&gt;AI$4),$F116,AI116))</f>
        <v/>
      </c>
      <c r="AJ117" s="6" t="str">
        <f>IF($D117&lt;=AJ$4,"",IF(AND($D116=AJ$4,$D117&gt;AJ$4),$F116,AJ116))</f>
        <v/>
      </c>
      <c r="AK117" s="6" t="str">
        <f>IF($D117&lt;=AK$4,"",IF(AND($D116=AK$4,$D117&gt;AK$4),$F116,AK116))</f>
        <v/>
      </c>
      <c r="AL117" s="6" t="str">
        <f>IF($D117&lt;=AL$4,"",IF(AND($D116=AL$4,$D117&gt;AL$4),$F116,AL116))</f>
        <v/>
      </c>
      <c r="AM117" s="6" t="str">
        <f>IF($D117&lt;=AM$4,"",IF(AND($D116=AM$4,$D117&gt;AM$4),$F116,AM116))</f>
        <v/>
      </c>
      <c r="AN117" s="6" t="str">
        <f>IF($D117&lt;=AN$4,"",IF(AND($D116=AN$4,$D117&gt;AN$4),$F116,AN116))</f>
        <v/>
      </c>
      <c r="AO117" s="6" t="str">
        <f>CONCATENATE(AG117," | ",AH117," | ",AI117," | ",AJ117," | ",AK117," | ",AL117," | ",AM117," | ",AN117)</f>
        <v xml:space="preserve">90MB1BJ0-C1BAY0 | 59MB1BJB-MB0A02S |  |  |  |  |  | </v>
      </c>
      <c r="AP117" s="6">
        <f>IF(TRIM(H117)="",100,J117)</f>
        <v>100</v>
      </c>
      <c r="AQ117" s="4"/>
      <c r="AR117" s="6" t="b">
        <f>NOT(TRIM(W117)&lt;&gt;"F")</f>
        <v>1</v>
      </c>
      <c r="AS117" s="6" t="str">
        <f>$B117&amp;" | "&amp;$AO117&amp;" | "&amp;IF(TRIM(H117)="","uniq"&amp;ROW(),TRIM(H117))</f>
        <v>461E | 90MB1BJ0-C1BAY0 | 59MB1BJB-MB0A02S |  |  |  |  |  |  | 38</v>
      </c>
      <c r="AT117" s="63">
        <f>IF(NOT(AR117),IF(TRIM($H117)="","Assembly","Phantom Alt"),VLOOKUP(F117,ZPCS04!B:G,6,0))</f>
        <v>925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</v>
      </c>
      <c r="AX117" s="7"/>
      <c r="AY117" s="6" t="b">
        <f>SUMIF(AS:AS,AS117,AP:AP)=100</f>
        <v>1</v>
      </c>
      <c r="AZ117" s="6" t="b">
        <f>SUMIF(AS:AS,AS117,AE:AE)/COUNTIF(AS:AS,AS117)=AE117</f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>C117&amp;" | "&amp;F117</f>
        <v>90MB1BJ0-C1BAY0 | 06G016067020</v>
      </c>
      <c r="BE117" s="55" t="str">
        <f ca="1">C117&amp;" | "&amp;OFFSET($AF117,0,8-COUNTBLANK($AG117:$AN117))</f>
        <v>90MB1BJ0-C1BAY0 | 59MB1BJB-MB0A02S</v>
      </c>
      <c r="BF117" s="57">
        <f ca="1">IFERROR(VLOOKUP($BE117,$BD$5:$BF116,3,0)*$AE117,VLOOKUP($C117,Demanda!$A:$B,2,0)*$AE117)*IF(AT117="Phantom Alt",$BC117,TRUE)</f>
        <v>6000</v>
      </c>
      <c r="BG117" s="57">
        <f ca="1">BF117*(AP117/100)</f>
        <v>6000</v>
      </c>
      <c r="BH117" s="57">
        <f>SUMIF(Invoice!A:A,F117,Invoice!B:B)</f>
        <v>0</v>
      </c>
      <c r="BI117" s="57">
        <f ca="1">SUMIF(AS:AS,AS117,BG:BG)</f>
        <v>6000</v>
      </c>
      <c r="BJ117" s="57">
        <f ca="1">MIN((BI117-SUMIF($AS$5:AS116,AS117,$BJ$5:BJ116)),MAX(0,BH117-SUMIF($F$5:F116,F117,$BJ$5:BJ116)))</f>
        <v>0</v>
      </c>
      <c r="BK117" s="57">
        <f ca="1">(-SUMIF(AS:AS,AS117,BG:BG)+SUMIF(AS:AS,AS117,BJ:BJ))*(AP117=100)*AR117</f>
        <v>0</v>
      </c>
      <c r="BL117" s="57">
        <f ca="1">MAX(0,SUMIF(Invoice!A:A,F117,Invoice!B:B)-SUMIF(F:F,F117,BJ:BJ))*(COUNTIF(F:F,F117)=COUNTIF($F$5:F117,F117))</f>
        <v>0</v>
      </c>
    </row>
    <row r="118" spans="1:64" hidden="1">
      <c r="A118" s="43">
        <v>121</v>
      </c>
      <c r="B118" s="35" t="s">
        <v>147</v>
      </c>
      <c r="C118" s="35" t="s">
        <v>146</v>
      </c>
      <c r="D118" s="35">
        <v>2</v>
      </c>
      <c r="E118" s="35">
        <v>390</v>
      </c>
      <c r="F118" s="64" t="s">
        <v>405</v>
      </c>
      <c r="G118" s="73" t="s">
        <v>406</v>
      </c>
      <c r="H118" s="35">
        <v>39</v>
      </c>
      <c r="I118" s="35" t="s">
        <v>55</v>
      </c>
      <c r="J118" s="35">
        <v>0</v>
      </c>
      <c r="K118" s="35" t="s">
        <v>150</v>
      </c>
      <c r="L118" s="35" t="s">
        <v>53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73</v>
      </c>
      <c r="S118" s="35" t="s">
        <v>73</v>
      </c>
      <c r="T118" s="36">
        <v>44901</v>
      </c>
      <c r="U118" s="36">
        <v>2958465</v>
      </c>
      <c r="V118" s="35" t="s">
        <v>282</v>
      </c>
      <c r="W118" s="35" t="s">
        <v>145</v>
      </c>
      <c r="X118" s="35"/>
      <c r="Y118" s="35" t="s">
        <v>143</v>
      </c>
      <c r="Z118" s="35">
        <v>7589154</v>
      </c>
      <c r="AA118" s="35">
        <v>130</v>
      </c>
      <c r="AB118" s="35">
        <v>65</v>
      </c>
      <c r="AC118" s="35"/>
      <c r="AE118" s="51">
        <f>M118/O118</f>
        <v>1</v>
      </c>
      <c r="AG118" s="6" t="str">
        <f>C118</f>
        <v>90MB1BJ0-C1BAY0</v>
      </c>
      <c r="AH118" s="6" t="str">
        <f>IF($D118&lt;=AH$4,"",IF(AND($D117=AH$4,$D118&gt;AH$4),$F117,AH117))</f>
        <v>59MB1BJB-MB0A02S</v>
      </c>
      <c r="AI118" s="6" t="str">
        <f>IF($D118&lt;=AI$4,"",IF(AND($D117=AI$4,$D118&gt;AI$4),$F117,AI117))</f>
        <v/>
      </c>
      <c r="AJ118" s="6" t="str">
        <f>IF($D118&lt;=AJ$4,"",IF(AND($D117=AJ$4,$D118&gt;AJ$4),$F117,AJ117))</f>
        <v/>
      </c>
      <c r="AK118" s="6" t="str">
        <f>IF($D118&lt;=AK$4,"",IF(AND($D117=AK$4,$D118&gt;AK$4),$F117,AK117))</f>
        <v/>
      </c>
      <c r="AL118" s="6" t="str">
        <f>IF($D118&lt;=AL$4,"",IF(AND($D117=AL$4,$D118&gt;AL$4),$F117,AL117))</f>
        <v/>
      </c>
      <c r="AM118" s="6" t="str">
        <f>IF($D118&lt;=AM$4,"",IF(AND($D117=AM$4,$D118&gt;AM$4),$F117,AM117))</f>
        <v/>
      </c>
      <c r="AN118" s="6" t="str">
        <f>IF($D118&lt;=AN$4,"",IF(AND($D117=AN$4,$D118&gt;AN$4),$F117,AN117))</f>
        <v/>
      </c>
      <c r="AO118" s="6" t="str">
        <f>CONCATENATE(AG118," | ",AH118," | ",AI118," | ",AJ118," | ",AK118," | ",AL118," | ",AM118," | ",AN118)</f>
        <v xml:space="preserve">90MB1BJ0-C1BAY0 | 59MB1BJB-MB0A02S |  |  |  |  |  | </v>
      </c>
      <c r="AP118" s="6">
        <f>IF(TRIM(H118)="",100,J118)</f>
        <v>0</v>
      </c>
      <c r="AQ118" s="4"/>
      <c r="AR118" s="6" t="b">
        <f>NOT(TRIM(W118)&lt;&gt;"F")</f>
        <v>1</v>
      </c>
      <c r="AS118" s="6" t="str">
        <f>$B118&amp;" | "&amp;$AO118&amp;" | "&amp;IF(TRIM(H118)="","uniq"&amp;ROW(),TRIM(H118))</f>
        <v>461E | 90MB1BJ0-C1BAY0 | 59MB1BJB-MB0A02S |  |  |  |  |  |  | 39</v>
      </c>
      <c r="AT118" s="63">
        <f>IF(NOT(AR118),IF(TRIM($H118)="","Assembly","Phantom Alt"),VLOOKUP(F118,ZPCS04!B:G,6,0))</f>
        <v>811</v>
      </c>
      <c r="AU118" s="7"/>
      <c r="AV118" s="38">
        <f ca="1">IF(TRIM($W118)="F",OFFSET($A$5,MATCH($AS118,$AS$5:$AS118,0)-1,0),$A118)</f>
        <v>121</v>
      </c>
      <c r="AW118" s="38">
        <f ca="1">IFERROR(OFFSET(ZPCS04!$A$1,MATCH(F118,ZPCS04!B:B,0)-1,0),100)</f>
        <v>1.9999999900000001</v>
      </c>
      <c r="AX118" s="7"/>
      <c r="AY118" s="6" t="b">
        <f>SUMIF(AS:AS,AS118,AP:AP)=100</f>
        <v>1</v>
      </c>
      <c r="AZ118" s="6" t="b">
        <f>SUMIF(AS:AS,AS118,AE:AE)/COUNTIF(AS:AS,AS118)=AE118</f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>C118&amp;" | "&amp;F118</f>
        <v>90MB1BJ0-C1BAY0 | 06G017001910</v>
      </c>
      <c r="BE118" s="55" t="str">
        <f ca="1">C118&amp;" | "&amp;OFFSET($AF118,0,8-COUNTBLANK($AG118:$AN118))</f>
        <v>90MB1BJ0-C1BAY0 | 59MB1BJB-MB0A02S</v>
      </c>
      <c r="BF118" s="57">
        <f ca="1">IFERROR(VLOOKUP($BE118,$BD$5:$BF117,3,0)*$AE118,VLOOKUP($C118,Demanda!$A:$B,2,0)*$AE118)*IF(AT118="Phantom Alt",$BC118,TRUE)</f>
        <v>1000</v>
      </c>
      <c r="BG118" s="57">
        <f ca="1">BF118*(AP118/100)</f>
        <v>0</v>
      </c>
      <c r="BH118" s="57">
        <f>SUMIF(Invoice!A:A,F118,Invoice!B:B)</f>
        <v>1000</v>
      </c>
      <c r="BI118" s="57">
        <f ca="1">SUMIF(AS:AS,AS118,BG:BG)</f>
        <v>1000</v>
      </c>
      <c r="BJ118" s="57">
        <f ca="1">MIN((BI118-SUMIF($AS$5:AS117,AS118,$BJ$5:BJ117)),MAX(0,BH118-SUMIF($F$5:F117,F118,$BJ$5:BJ117)))</f>
        <v>1000</v>
      </c>
      <c r="BK118" s="57">
        <f ca="1">(-SUMIF(AS:AS,AS118,BG:BG)+SUMIF(AS:AS,AS118,BJ:BJ))*(AP118=100)*AR118</f>
        <v>0</v>
      </c>
      <c r="BL118" s="57">
        <f ca="1">MAX(0,SUMIF(Invoice!A:A,F118,Invoice!B:B)-SUMIF(F:F,F118,BJ:BJ))*(COUNTIF(F:F,F118)=COUNTIF($F$5:F118,F118))</f>
        <v>0</v>
      </c>
    </row>
    <row r="119" spans="1:64" hidden="1">
      <c r="A119" s="43">
        <v>118</v>
      </c>
      <c r="B119" s="35" t="s">
        <v>147</v>
      </c>
      <c r="C119" s="35" t="s">
        <v>146</v>
      </c>
      <c r="D119" s="35">
        <v>2</v>
      </c>
      <c r="E119" s="35">
        <v>390</v>
      </c>
      <c r="F119" s="64" t="s">
        <v>399</v>
      </c>
      <c r="G119" s="73" t="s">
        <v>400</v>
      </c>
      <c r="H119" s="35">
        <v>39</v>
      </c>
      <c r="I119" s="35" t="s">
        <v>55</v>
      </c>
      <c r="J119" s="35">
        <v>0</v>
      </c>
      <c r="K119" s="35" t="s">
        <v>150</v>
      </c>
      <c r="L119" s="35" t="s">
        <v>53</v>
      </c>
      <c r="M119" s="35">
        <v>1</v>
      </c>
      <c r="N119" s="35"/>
      <c r="O119" s="35">
        <v>1</v>
      </c>
      <c r="P119" s="35">
        <v>2</v>
      </c>
      <c r="Q119" s="35">
        <v>2</v>
      </c>
      <c r="R119" s="35" t="s">
        <v>73</v>
      </c>
      <c r="S119" s="35" t="s">
        <v>73</v>
      </c>
      <c r="T119" s="36">
        <v>44901</v>
      </c>
      <c r="U119" s="36">
        <v>2958465</v>
      </c>
      <c r="V119" s="35" t="s">
        <v>282</v>
      </c>
      <c r="W119" s="35" t="s">
        <v>145</v>
      </c>
      <c r="X119" s="35"/>
      <c r="Y119" s="35" t="s">
        <v>143</v>
      </c>
      <c r="Z119" s="35">
        <v>7589154</v>
      </c>
      <c r="AA119" s="35">
        <v>126</v>
      </c>
      <c r="AB119" s="35">
        <v>63</v>
      </c>
      <c r="AC119" s="35"/>
      <c r="AE119" s="51">
        <f>M119/O119</f>
        <v>1</v>
      </c>
      <c r="AG119" s="6" t="str">
        <f>C119</f>
        <v>90MB1BJ0-C1BAY0</v>
      </c>
      <c r="AH119" s="6" t="str">
        <f>IF($D119&lt;=AH$4,"",IF(AND($D118=AH$4,$D119&gt;AH$4),$F118,AH118))</f>
        <v>59MB1BJB-MB0A02S</v>
      </c>
      <c r="AI119" s="6" t="str">
        <f>IF($D119&lt;=AI$4,"",IF(AND($D118=AI$4,$D119&gt;AI$4),$F118,AI118))</f>
        <v/>
      </c>
      <c r="AJ119" s="6" t="str">
        <f>IF($D119&lt;=AJ$4,"",IF(AND($D118=AJ$4,$D119&gt;AJ$4),$F118,AJ118))</f>
        <v/>
      </c>
      <c r="AK119" s="6" t="str">
        <f>IF($D119&lt;=AK$4,"",IF(AND($D118=AK$4,$D119&gt;AK$4),$F118,AK118))</f>
        <v/>
      </c>
      <c r="AL119" s="6" t="str">
        <f>IF($D119&lt;=AL$4,"",IF(AND($D118=AL$4,$D119&gt;AL$4),$F118,AL118))</f>
        <v/>
      </c>
      <c r="AM119" s="6" t="str">
        <f>IF($D119&lt;=AM$4,"",IF(AND($D118=AM$4,$D119&gt;AM$4),$F118,AM118))</f>
        <v/>
      </c>
      <c r="AN119" s="6" t="str">
        <f>IF($D119&lt;=AN$4,"",IF(AND($D118=AN$4,$D119&gt;AN$4),$F118,AN118))</f>
        <v/>
      </c>
      <c r="AO119" s="6" t="str">
        <f>CONCATENATE(AG119," | ",AH119," | ",AI119," | ",AJ119," | ",AK119," | ",AL119," | ",AM119," | ",AN119)</f>
        <v xml:space="preserve">90MB1BJ0-C1BAY0 | 59MB1BJB-MB0A02S |  |  |  |  |  | </v>
      </c>
      <c r="AP119" s="6">
        <f>IF(TRIM(H119)="",100,J119)</f>
        <v>0</v>
      </c>
      <c r="AQ119" s="4"/>
      <c r="AR119" s="6" t="b">
        <f>NOT(TRIM(W119)&lt;&gt;"F")</f>
        <v>1</v>
      </c>
      <c r="AS119" s="6" t="str">
        <f>$B119&amp;" | "&amp;$AO119&amp;" | "&amp;IF(TRIM(H119)="","uniq"&amp;ROW(),TRIM(H119))</f>
        <v>461E | 90MB1BJ0-C1BAY0 | 59MB1BJB-MB0A02S |  |  |  |  |  |  | 39</v>
      </c>
      <c r="AT119" s="63">
        <f>IF(NOT(AR119),IF(TRIM($H119)="","Assembly","Phantom Alt"),VLOOKUP(F119,ZPCS04!B:G,6,0))</f>
        <v>811</v>
      </c>
      <c r="AU119" s="7"/>
      <c r="AV119" s="38">
        <f ca="1">IF(TRIM($W119)="F",OFFSET($A$5,MATCH($AS119,$AS$5:$AS119,0)-1,0),$A119)</f>
        <v>121</v>
      </c>
      <c r="AW119" s="38">
        <f ca="1">IFERROR(OFFSET(ZPCS04!$A$1,MATCH(F119,ZPCS04!B:B,0)-1,0),100)</f>
        <v>2</v>
      </c>
      <c r="AX119" s="7"/>
      <c r="AY119" s="6" t="b">
        <f>SUMIF(AS:AS,AS119,AP:AP)=100</f>
        <v>1</v>
      </c>
      <c r="AZ119" s="6" t="b">
        <f>SUMIF(AS:AS,AS119,AE:AE)/COUNTIF(AS:AS,AS119)=AE119</f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>C119&amp;" | "&amp;F119</f>
        <v>90MB1BJ0-C1BAY0 | 06G017001200</v>
      </c>
      <c r="BE119" s="55" t="str">
        <f ca="1">C119&amp;" | "&amp;OFFSET($AF119,0,8-COUNTBLANK($AG119:$AN119))</f>
        <v>90MB1BJ0-C1BAY0 | 59MB1BJB-MB0A02S</v>
      </c>
      <c r="BF119" s="57">
        <f ca="1">IFERROR(VLOOKUP($BE119,$BD$5:$BF118,3,0)*$AE119,VLOOKUP($C119,Demanda!$A:$B,2,0)*$AE119)*IF(AT119="Phantom Alt",$BC119,TRUE)</f>
        <v>1000</v>
      </c>
      <c r="BG119" s="57">
        <f ca="1">BF119*(AP119/100)</f>
        <v>0</v>
      </c>
      <c r="BH119" s="57">
        <f>SUMIF(Invoice!A:A,F119,Invoice!B:B)</f>
        <v>0</v>
      </c>
      <c r="BI119" s="57">
        <f ca="1">SUMIF(AS:AS,AS119,BG:BG)</f>
        <v>1000</v>
      </c>
      <c r="BJ119" s="57">
        <f ca="1">MIN((BI119-SUMIF($AS$5:AS118,AS119,$BJ$5:BJ118)),MAX(0,BH119-SUMIF($F$5:F118,F119,$BJ$5:BJ118)))</f>
        <v>0</v>
      </c>
      <c r="BK119" s="57">
        <f ca="1">(-SUMIF(AS:AS,AS119,BG:BG)+SUMIF(AS:AS,AS119,BJ:BJ))*(AP119=100)*AR119</f>
        <v>0</v>
      </c>
      <c r="BL119" s="57">
        <f ca="1">MAX(0,SUMIF(Invoice!A:A,F119,Invoice!B:B)-SUMIF(F:F,F119,BJ:BJ))*(COUNTIF(F:F,F119)=COUNTIF($F$5:F119,F119))</f>
        <v>0</v>
      </c>
    </row>
    <row r="120" spans="1:64" hidden="1">
      <c r="A120" s="43">
        <v>119</v>
      </c>
      <c r="B120" s="35" t="s">
        <v>147</v>
      </c>
      <c r="C120" s="35" t="s">
        <v>146</v>
      </c>
      <c r="D120" s="35">
        <v>2</v>
      </c>
      <c r="E120" s="35">
        <v>390</v>
      </c>
      <c r="F120" s="64" t="s">
        <v>401</v>
      </c>
      <c r="G120" s="73" t="s">
        <v>402</v>
      </c>
      <c r="H120" s="35">
        <v>39</v>
      </c>
      <c r="I120" s="35" t="s">
        <v>54</v>
      </c>
      <c r="J120" s="35">
        <v>100</v>
      </c>
      <c r="K120" s="35" t="s">
        <v>150</v>
      </c>
      <c r="L120" s="35" t="s">
        <v>53</v>
      </c>
      <c r="M120" s="35">
        <v>1</v>
      </c>
      <c r="N120" s="35">
        <v>1</v>
      </c>
      <c r="O120" s="35">
        <v>1</v>
      </c>
      <c r="P120" s="35">
        <v>2</v>
      </c>
      <c r="Q120" s="35">
        <v>1</v>
      </c>
      <c r="R120" s="35" t="s">
        <v>73</v>
      </c>
      <c r="S120" s="35" t="s">
        <v>73</v>
      </c>
      <c r="T120" s="36">
        <v>44901</v>
      </c>
      <c r="U120" s="36">
        <v>2958465</v>
      </c>
      <c r="V120" s="35" t="s">
        <v>282</v>
      </c>
      <c r="W120" s="35" t="s">
        <v>145</v>
      </c>
      <c r="X120" s="35"/>
      <c r="Y120" s="35" t="s">
        <v>143</v>
      </c>
      <c r="Z120" s="35">
        <v>7589154</v>
      </c>
      <c r="AA120" s="35">
        <v>124</v>
      </c>
      <c r="AB120" s="35">
        <v>62</v>
      </c>
      <c r="AC120" s="35"/>
      <c r="AE120" s="51">
        <f>M120/O120</f>
        <v>1</v>
      </c>
      <c r="AG120" s="6" t="str">
        <f>C120</f>
        <v>90MB1BJ0-C1BAY0</v>
      </c>
      <c r="AH120" s="6" t="str">
        <f>IF($D120&lt;=AH$4,"",IF(AND($D119=AH$4,$D120&gt;AH$4),$F119,AH119))</f>
        <v>59MB1BJB-MB0A02S</v>
      </c>
      <c r="AI120" s="6" t="str">
        <f>IF($D120&lt;=AI$4,"",IF(AND($D119=AI$4,$D120&gt;AI$4),$F119,AI119))</f>
        <v/>
      </c>
      <c r="AJ120" s="6" t="str">
        <f>IF($D120&lt;=AJ$4,"",IF(AND($D119=AJ$4,$D120&gt;AJ$4),$F119,AJ119))</f>
        <v/>
      </c>
      <c r="AK120" s="6" t="str">
        <f>IF($D120&lt;=AK$4,"",IF(AND($D119=AK$4,$D120&gt;AK$4),$F119,AK119))</f>
        <v/>
      </c>
      <c r="AL120" s="6" t="str">
        <f>IF($D120&lt;=AL$4,"",IF(AND($D119=AL$4,$D120&gt;AL$4),$F119,AL119))</f>
        <v/>
      </c>
      <c r="AM120" s="6" t="str">
        <f>IF($D120&lt;=AM$4,"",IF(AND($D119=AM$4,$D120&gt;AM$4),$F119,AM119))</f>
        <v/>
      </c>
      <c r="AN120" s="6" t="str">
        <f>IF($D120&lt;=AN$4,"",IF(AND($D119=AN$4,$D120&gt;AN$4),$F119,AN119))</f>
        <v/>
      </c>
      <c r="AO120" s="6" t="str">
        <f>CONCATENATE(AG120," | ",AH120," | ",AI120," | ",AJ120," | ",AK120," | ",AL120," | ",AM120," | ",AN120)</f>
        <v xml:space="preserve">90MB1BJ0-C1BAY0 | 59MB1BJB-MB0A02S |  |  |  |  |  | </v>
      </c>
      <c r="AP120" s="6">
        <f>IF(TRIM(H120)="",100,J120)</f>
        <v>100</v>
      </c>
      <c r="AQ120" s="4"/>
      <c r="AR120" s="6" t="b">
        <f>NOT(TRIM(W120)&lt;&gt;"F")</f>
        <v>1</v>
      </c>
      <c r="AS120" s="6" t="str">
        <f>$B120&amp;" | "&amp;$AO120&amp;" | "&amp;IF(TRIM(H120)="","uniq"&amp;ROW(),TRIM(H120))</f>
        <v>461E | 90MB1BJ0-C1BAY0 | 59MB1BJB-MB0A02S |  |  |  |  |  |  | 39</v>
      </c>
      <c r="AT120" s="63">
        <f>IF(NOT(AR120),IF(TRIM($H120)="","Assembly","Phantom Alt"),VLOOKUP(F120,ZPCS04!B:G,6,0))</f>
        <v>811</v>
      </c>
      <c r="AU120" s="7"/>
      <c r="AV120" s="38">
        <f ca="1">IF(TRIM($W120)="F",OFFSET($A$5,MATCH($AS120,$AS$5:$AS120,0)-1,0),$A120)</f>
        <v>121</v>
      </c>
      <c r="AW120" s="38">
        <f ca="1">IFERROR(OFFSET(ZPCS04!$A$1,MATCH(F120,ZPCS04!B:B,0)-1,0),100)</f>
        <v>2</v>
      </c>
      <c r="AX120" s="7"/>
      <c r="AY120" s="6" t="b">
        <f>SUMIF(AS:AS,AS120,AP:AP)=100</f>
        <v>1</v>
      </c>
      <c r="AZ120" s="6" t="b">
        <f>SUMIF(AS:AS,AS120,AE:AE)/COUNTIF(AS:AS,AS120)=AE120</f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>C120&amp;" | "&amp;F120</f>
        <v>90MB1BJ0-C1BAY0 | 06G017001711</v>
      </c>
      <c r="BE120" s="55" t="str">
        <f ca="1">C120&amp;" | "&amp;OFFSET($AF120,0,8-COUNTBLANK($AG120:$AN120))</f>
        <v>90MB1BJ0-C1BAY0 | 59MB1BJB-MB0A02S</v>
      </c>
      <c r="BF120" s="57">
        <f ca="1">IFERROR(VLOOKUP($BE120,$BD$5:$BF119,3,0)*$AE120,VLOOKUP($C120,Demanda!$A:$B,2,0)*$AE120)*IF(AT120="Phantom Alt",$BC120,TRUE)</f>
        <v>1000</v>
      </c>
      <c r="BG120" s="57">
        <f ca="1">BF120*(AP120/100)</f>
        <v>1000</v>
      </c>
      <c r="BH120" s="57">
        <f>SUMIF(Invoice!A:A,F120,Invoice!B:B)</f>
        <v>0</v>
      </c>
      <c r="BI120" s="57">
        <f ca="1">SUMIF(AS:AS,AS120,BG:BG)</f>
        <v>1000</v>
      </c>
      <c r="BJ120" s="57">
        <f ca="1">MIN((BI120-SUMIF($AS$5:AS119,AS120,$BJ$5:BJ119)),MAX(0,BH120-SUMIF($F$5:F119,F120,$BJ$5:BJ119)))</f>
        <v>0</v>
      </c>
      <c r="BK120" s="57">
        <f ca="1">(-SUMIF(AS:AS,AS120,BG:BG)+SUMIF(AS:AS,AS120,BJ:BJ))*(AP120=100)*AR120</f>
        <v>0</v>
      </c>
      <c r="BL120" s="57">
        <f ca="1">MAX(0,SUMIF(Invoice!A:A,F120,Invoice!B:B)-SUMIF(F:F,F120,BJ:BJ))*(COUNTIF(F:F,F120)=COUNTIF($F$5:F120,F120))</f>
        <v>0</v>
      </c>
    </row>
    <row r="121" spans="1:64" hidden="1">
      <c r="A121" s="43">
        <v>120</v>
      </c>
      <c r="B121" s="35" t="s">
        <v>147</v>
      </c>
      <c r="C121" s="35" t="s">
        <v>146</v>
      </c>
      <c r="D121" s="35">
        <v>2</v>
      </c>
      <c r="E121" s="35">
        <v>390</v>
      </c>
      <c r="F121" s="64" t="s">
        <v>403</v>
      </c>
      <c r="G121" s="73" t="s">
        <v>404</v>
      </c>
      <c r="H121" s="35">
        <v>39</v>
      </c>
      <c r="I121" s="35" t="s">
        <v>55</v>
      </c>
      <c r="J121" s="35">
        <v>0</v>
      </c>
      <c r="K121" s="35" t="s">
        <v>150</v>
      </c>
      <c r="L121" s="35" t="s">
        <v>53</v>
      </c>
      <c r="M121" s="35">
        <v>1</v>
      </c>
      <c r="N121" s="35"/>
      <c r="O121" s="35">
        <v>1</v>
      </c>
      <c r="P121" s="35">
        <v>2</v>
      </c>
      <c r="Q121" s="35">
        <v>3</v>
      </c>
      <c r="R121" s="35" t="s">
        <v>73</v>
      </c>
      <c r="S121" s="35" t="s">
        <v>73</v>
      </c>
      <c r="T121" s="36">
        <v>44901</v>
      </c>
      <c r="U121" s="36">
        <v>2958465</v>
      </c>
      <c r="V121" s="35" t="s">
        <v>282</v>
      </c>
      <c r="W121" s="35" t="s">
        <v>145</v>
      </c>
      <c r="X121" s="35"/>
      <c r="Y121" s="35" t="s">
        <v>143</v>
      </c>
      <c r="Z121" s="35">
        <v>7589154</v>
      </c>
      <c r="AA121" s="35">
        <v>128</v>
      </c>
      <c r="AB121" s="35">
        <v>64</v>
      </c>
      <c r="AC121" s="35"/>
      <c r="AE121" s="51">
        <f>M121/O121</f>
        <v>1</v>
      </c>
      <c r="AG121" s="6" t="str">
        <f>C121</f>
        <v>90MB1BJ0-C1BAY0</v>
      </c>
      <c r="AH121" s="6" t="str">
        <f>IF($D121&lt;=AH$4,"",IF(AND($D120=AH$4,$D121&gt;AH$4),$F120,AH120))</f>
        <v>59MB1BJB-MB0A02S</v>
      </c>
      <c r="AI121" s="6" t="str">
        <f>IF($D121&lt;=AI$4,"",IF(AND($D120=AI$4,$D121&gt;AI$4),$F120,AI120))</f>
        <v/>
      </c>
      <c r="AJ121" s="6" t="str">
        <f>IF($D121&lt;=AJ$4,"",IF(AND($D120=AJ$4,$D121&gt;AJ$4),$F120,AJ120))</f>
        <v/>
      </c>
      <c r="AK121" s="6" t="str">
        <f>IF($D121&lt;=AK$4,"",IF(AND($D120=AK$4,$D121&gt;AK$4),$F120,AK120))</f>
        <v/>
      </c>
      <c r="AL121" s="6" t="str">
        <f>IF($D121&lt;=AL$4,"",IF(AND($D120=AL$4,$D121&gt;AL$4),$F120,AL120))</f>
        <v/>
      </c>
      <c r="AM121" s="6" t="str">
        <f>IF($D121&lt;=AM$4,"",IF(AND($D120=AM$4,$D121&gt;AM$4),$F120,AM120))</f>
        <v/>
      </c>
      <c r="AN121" s="6" t="str">
        <f>IF($D121&lt;=AN$4,"",IF(AND($D120=AN$4,$D121&gt;AN$4),$F120,AN120))</f>
        <v/>
      </c>
      <c r="AO121" s="6" t="str">
        <f>CONCATENATE(AG121," | ",AH121," | ",AI121," | ",AJ121," | ",AK121," | ",AL121," | ",AM121," | ",AN121)</f>
        <v xml:space="preserve">90MB1BJ0-C1BAY0 | 59MB1BJB-MB0A02S |  |  |  |  |  | </v>
      </c>
      <c r="AP121" s="6">
        <f>IF(TRIM(H121)="",100,J121)</f>
        <v>0</v>
      </c>
      <c r="AQ121" s="4"/>
      <c r="AR121" s="6" t="b">
        <f>NOT(TRIM(W121)&lt;&gt;"F")</f>
        <v>1</v>
      </c>
      <c r="AS121" s="6" t="str">
        <f>$B121&amp;" | "&amp;$AO121&amp;" | "&amp;IF(TRIM(H121)="","uniq"&amp;ROW(),TRIM(H121))</f>
        <v>461E | 90MB1BJ0-C1BAY0 | 59MB1BJB-MB0A02S |  |  |  |  |  |  | 39</v>
      </c>
      <c r="AT121" s="63">
        <f>IF(NOT(AR121),IF(TRIM($H121)="","Assembly","Phantom Alt"),VLOOKUP(F121,ZPCS04!B:G,6,0))</f>
        <v>811</v>
      </c>
      <c r="AU121" s="7"/>
      <c r="AV121" s="38">
        <f ca="1">IF(TRIM($W121)="F",OFFSET($A$5,MATCH($AS121,$AS$5:$AS121,0)-1,0),$A121)</f>
        <v>121</v>
      </c>
      <c r="AW121" s="38">
        <f ca="1">IFERROR(OFFSET(ZPCS04!$A$1,MATCH(F121,ZPCS04!B:B,0)-1,0),100)</f>
        <v>2</v>
      </c>
      <c r="AX121" s="7"/>
      <c r="AY121" s="6" t="b">
        <f>SUMIF(AS:AS,AS121,AP:AP)=100</f>
        <v>1</v>
      </c>
      <c r="AZ121" s="6" t="b">
        <f>SUMIF(AS:AS,AS121,AE:AE)/COUNTIF(AS:AS,AS121)=AE121</f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>C121&amp;" | "&amp;F121</f>
        <v>90MB1BJ0-C1BAY0 | 06G017001811</v>
      </c>
      <c r="BE121" s="55" t="str">
        <f ca="1">C121&amp;" | "&amp;OFFSET($AF121,0,8-COUNTBLANK($AG121:$AN121))</f>
        <v>90MB1BJ0-C1BAY0 | 59MB1BJB-MB0A02S</v>
      </c>
      <c r="BF121" s="57">
        <f ca="1">IFERROR(VLOOKUP($BE121,$BD$5:$BF120,3,0)*$AE121,VLOOKUP($C121,Demanda!$A:$B,2,0)*$AE121)*IF(AT121="Phantom Alt",$BC121,TRUE)</f>
        <v>1000</v>
      </c>
      <c r="BG121" s="57">
        <f ca="1">BF121*(AP121/100)</f>
        <v>0</v>
      </c>
      <c r="BH121" s="57">
        <f>SUMIF(Invoice!A:A,F121,Invoice!B:B)</f>
        <v>0</v>
      </c>
      <c r="BI121" s="57">
        <f ca="1">SUMIF(AS:AS,AS121,BG:BG)</f>
        <v>1000</v>
      </c>
      <c r="BJ121" s="57">
        <f ca="1">MIN((BI121-SUMIF($AS$5:AS120,AS121,$BJ$5:BJ120)),MAX(0,BH121-SUMIF($F$5:F120,F121,$BJ$5:BJ120)))</f>
        <v>0</v>
      </c>
      <c r="BK121" s="57">
        <f ca="1">(-SUMIF(AS:AS,AS121,BG:BG)+SUMIF(AS:AS,AS121,BJ:BJ))*(AP121=100)*AR121</f>
        <v>0</v>
      </c>
      <c r="BL121" s="57">
        <f ca="1">MAX(0,SUMIF(Invoice!A:A,F121,Invoice!B:B)-SUMIF(F:F,F121,BJ:BJ))*(COUNTIF(F:F,F121)=COUNTIF($F$5:F121,F121))</f>
        <v>0</v>
      </c>
    </row>
    <row r="122" spans="1:64" hidden="1">
      <c r="A122" s="43">
        <v>122</v>
      </c>
      <c r="B122" s="35" t="s">
        <v>147</v>
      </c>
      <c r="C122" s="35" t="s">
        <v>146</v>
      </c>
      <c r="D122" s="35">
        <v>2</v>
      </c>
      <c r="E122" s="35">
        <v>400</v>
      </c>
      <c r="F122" s="64" t="s">
        <v>407</v>
      </c>
      <c r="G122" s="73" t="s">
        <v>408</v>
      </c>
      <c r="H122" s="35"/>
      <c r="I122" s="35" t="s">
        <v>54</v>
      </c>
      <c r="J122" s="35">
        <v>0</v>
      </c>
      <c r="K122" s="35" t="s">
        <v>409</v>
      </c>
      <c r="L122" s="35" t="s">
        <v>53</v>
      </c>
      <c r="M122" s="35">
        <v>1</v>
      </c>
      <c r="N122" s="35">
        <v>1</v>
      </c>
      <c r="O122" s="35">
        <v>1</v>
      </c>
      <c r="P122" s="35"/>
      <c r="Q122" s="35"/>
      <c r="R122" s="35" t="s">
        <v>122</v>
      </c>
      <c r="S122" s="35" t="s">
        <v>122</v>
      </c>
      <c r="T122" s="36">
        <v>44901</v>
      </c>
      <c r="U122" s="36">
        <v>2958465</v>
      </c>
      <c r="V122" s="35" t="s">
        <v>282</v>
      </c>
      <c r="W122" s="35" t="s">
        <v>145</v>
      </c>
      <c r="X122" s="35"/>
      <c r="Y122" s="35" t="s">
        <v>143</v>
      </c>
      <c r="Z122" s="35">
        <v>7589154</v>
      </c>
      <c r="AA122" s="35">
        <v>132</v>
      </c>
      <c r="AB122" s="35">
        <v>66</v>
      </c>
      <c r="AC122" s="35"/>
      <c r="AE122" s="51">
        <f>M122/O122</f>
        <v>1</v>
      </c>
      <c r="AG122" s="6" t="str">
        <f>C122</f>
        <v>90MB1BJ0-C1BAY0</v>
      </c>
      <c r="AH122" s="6" t="str">
        <f>IF($D122&lt;=AH$4,"",IF(AND($D121=AH$4,$D122&gt;AH$4),$F121,AH121))</f>
        <v>59MB1BJB-MB0A02S</v>
      </c>
      <c r="AI122" s="6" t="str">
        <f>IF($D122&lt;=AI$4,"",IF(AND($D121=AI$4,$D122&gt;AI$4),$F121,AI121))</f>
        <v/>
      </c>
      <c r="AJ122" s="6" t="str">
        <f>IF($D122&lt;=AJ$4,"",IF(AND($D121=AJ$4,$D122&gt;AJ$4),$F121,AJ121))</f>
        <v/>
      </c>
      <c r="AK122" s="6" t="str">
        <f>IF($D122&lt;=AK$4,"",IF(AND($D121=AK$4,$D122&gt;AK$4),$F121,AK121))</f>
        <v/>
      </c>
      <c r="AL122" s="6" t="str">
        <f>IF($D122&lt;=AL$4,"",IF(AND($D121=AL$4,$D122&gt;AL$4),$F121,AL121))</f>
        <v/>
      </c>
      <c r="AM122" s="6" t="str">
        <f>IF($D122&lt;=AM$4,"",IF(AND($D121=AM$4,$D122&gt;AM$4),$F121,AM121))</f>
        <v/>
      </c>
      <c r="AN122" s="6" t="str">
        <f>IF($D122&lt;=AN$4,"",IF(AND($D121=AN$4,$D122&gt;AN$4),$F121,AN121))</f>
        <v/>
      </c>
      <c r="AO122" s="6" t="str">
        <f>CONCATENATE(AG122," | ",AH122," | ",AI122," | ",AJ122," | ",AK122," | ",AL122," | ",AM122," | ",AN122)</f>
        <v xml:space="preserve">90MB1BJ0-C1BAY0 | 59MB1BJB-MB0A02S |  |  |  |  |  | </v>
      </c>
      <c r="AP122" s="6">
        <f>IF(TRIM(H122)="",100,J122)</f>
        <v>100</v>
      </c>
      <c r="AQ122" s="4"/>
      <c r="AR122" s="6" t="b">
        <f>NOT(TRIM(W122)&lt;&gt;"F")</f>
        <v>1</v>
      </c>
      <c r="AS122" s="6" t="str">
        <f>$B122&amp;" | "&amp;$AO122&amp;" | "&amp;IF(TRIM(H122)="","uniq"&amp;ROW(),TRIM(H122))</f>
        <v>461E | 90MB1BJ0-C1BAY0 | 59MB1BJB-MB0A02S |  |  |  |  |  |  | uniq122</v>
      </c>
      <c r="AT122" s="63">
        <f>IF(NOT(AR122),IF(TRIM($H122)="","Assembly","Phantom Alt"),VLOOKUP(F122,ZPCS04!B:G,6,0))</f>
        <v>80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1.9999999900000001</v>
      </c>
      <c r="AX122" s="7"/>
      <c r="AY122" s="6" t="b">
        <f>SUMIF(AS:AS,AS122,AP:AP)=100</f>
        <v>1</v>
      </c>
      <c r="AZ122" s="6" t="b">
        <f>SUMIF(AS:AS,AS122,AE:AE)/COUNTIF(AS:AS,AS122)=AE122</f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>C122&amp;" | "&amp;F122</f>
        <v>90MB1BJ0-C1BAY0 | 06G030150010</v>
      </c>
      <c r="BE122" s="55" t="str">
        <f ca="1">C122&amp;" | "&amp;OFFSET($AF122,0,8-COUNTBLANK($AG122:$AN122))</f>
        <v>90MB1BJ0-C1BAY0 | 59MB1BJB-MB0A02S</v>
      </c>
      <c r="BF122" s="57">
        <f ca="1">IFERROR(VLOOKUP($BE122,$BD$5:$BF121,3,0)*$AE122,VLOOKUP($C122,Demanda!$A:$B,2,0)*$AE122)*IF(AT122="Phantom Alt",$BC122,TRUE)</f>
        <v>1000</v>
      </c>
      <c r="BG122" s="57">
        <f ca="1">BF122*(AP122/100)</f>
        <v>1000</v>
      </c>
      <c r="BH122" s="57">
        <f>SUMIF(Invoice!A:A,F122,Invoice!B:B)</f>
        <v>1000</v>
      </c>
      <c r="BI122" s="57">
        <f ca="1">SUMIF(AS:AS,AS122,BG:BG)</f>
        <v>1000</v>
      </c>
      <c r="BJ122" s="57">
        <f ca="1">MIN((BI122-SUMIF($AS$5:AS121,AS122,$BJ$5:BJ121)),MAX(0,BH122-SUMIF($F$5:F121,F122,$BJ$5:BJ121)))</f>
        <v>1000</v>
      </c>
      <c r="BK122" s="57">
        <f ca="1">(-SUMIF(AS:AS,AS122,BG:BG)+SUMIF(AS:AS,AS122,BJ:BJ))*(AP122=100)*AR122</f>
        <v>0</v>
      </c>
      <c r="BL122" s="57">
        <f ca="1">MAX(0,SUMIF(Invoice!A:A,F122,Invoice!B:B)-SUMIF(F:F,F122,BJ:BJ))*(COUNTIF(F:F,F122)=COUNTIF($F$5:F122,F122))</f>
        <v>0</v>
      </c>
    </row>
    <row r="123" spans="1:64" hidden="1">
      <c r="A123" s="43">
        <v>123</v>
      </c>
      <c r="B123" s="35" t="s">
        <v>147</v>
      </c>
      <c r="C123" s="35" t="s">
        <v>146</v>
      </c>
      <c r="D123" s="35">
        <v>2</v>
      </c>
      <c r="E123" s="35">
        <v>410</v>
      </c>
      <c r="F123" s="64" t="s">
        <v>410</v>
      </c>
      <c r="G123" s="73" t="s">
        <v>411</v>
      </c>
      <c r="H123" s="35"/>
      <c r="I123" s="35" t="s">
        <v>54</v>
      </c>
      <c r="J123" s="35">
        <v>0</v>
      </c>
      <c r="K123" s="35" t="s">
        <v>150</v>
      </c>
      <c r="L123" s="35" t="s">
        <v>53</v>
      </c>
      <c r="M123" s="35">
        <v>1</v>
      </c>
      <c r="N123" s="35">
        <v>1</v>
      </c>
      <c r="O123" s="35">
        <v>1</v>
      </c>
      <c r="P123" s="35"/>
      <c r="Q123" s="35"/>
      <c r="R123" s="35" t="s">
        <v>73</v>
      </c>
      <c r="S123" s="35" t="s">
        <v>73</v>
      </c>
      <c r="T123" s="36">
        <v>44901</v>
      </c>
      <c r="U123" s="36">
        <v>2958465</v>
      </c>
      <c r="V123" s="35" t="s">
        <v>282</v>
      </c>
      <c r="W123" s="35" t="s">
        <v>145</v>
      </c>
      <c r="X123" s="35"/>
      <c r="Y123" s="35" t="s">
        <v>143</v>
      </c>
      <c r="Z123" s="35">
        <v>7589154</v>
      </c>
      <c r="AA123" s="35">
        <v>134</v>
      </c>
      <c r="AB123" s="35">
        <v>67</v>
      </c>
      <c r="AC123" s="35"/>
      <c r="AE123" s="51">
        <f>M123/O123</f>
        <v>1</v>
      </c>
      <c r="AG123" s="6" t="str">
        <f>C123</f>
        <v>90MB1BJ0-C1BAY0</v>
      </c>
      <c r="AH123" s="6" t="str">
        <f>IF($D123&lt;=AH$4,"",IF(AND($D122=AH$4,$D123&gt;AH$4),$F122,AH122))</f>
        <v>59MB1BJB-MB0A02S</v>
      </c>
      <c r="AI123" s="6" t="str">
        <f>IF($D123&lt;=AI$4,"",IF(AND($D122=AI$4,$D123&gt;AI$4),$F122,AI122))</f>
        <v/>
      </c>
      <c r="AJ123" s="6" t="str">
        <f>IF($D123&lt;=AJ$4,"",IF(AND($D122=AJ$4,$D123&gt;AJ$4),$F122,AJ122))</f>
        <v/>
      </c>
      <c r="AK123" s="6" t="str">
        <f>IF($D123&lt;=AK$4,"",IF(AND($D122=AK$4,$D123&gt;AK$4),$F122,AK122))</f>
        <v/>
      </c>
      <c r="AL123" s="6" t="str">
        <f>IF($D123&lt;=AL$4,"",IF(AND($D122=AL$4,$D123&gt;AL$4),$F122,AL122))</f>
        <v/>
      </c>
      <c r="AM123" s="6" t="str">
        <f>IF($D123&lt;=AM$4,"",IF(AND($D122=AM$4,$D123&gt;AM$4),$F122,AM122))</f>
        <v/>
      </c>
      <c r="AN123" s="6" t="str">
        <f>IF($D123&lt;=AN$4,"",IF(AND($D122=AN$4,$D123&gt;AN$4),$F122,AN122))</f>
        <v/>
      </c>
      <c r="AO123" s="6" t="str">
        <f>CONCATENATE(AG123," | ",AH123," | ",AI123," | ",AJ123," | ",AK123," | ",AL123," | ",AM123," | ",AN123)</f>
        <v xml:space="preserve">90MB1BJ0-C1BAY0 | 59MB1BJB-MB0A02S |  |  |  |  |  | </v>
      </c>
      <c r="AP123" s="6">
        <f>IF(TRIM(H123)="",100,J123)</f>
        <v>100</v>
      </c>
      <c r="AQ123" s="4"/>
      <c r="AR123" s="6" t="b">
        <f>NOT(TRIM(W123)&lt;&gt;"F")</f>
        <v>1</v>
      </c>
      <c r="AS123" s="6" t="str">
        <f>$B123&amp;" | "&amp;$AO123&amp;" | "&amp;IF(TRIM(H123)="","uniq"&amp;ROW(),TRIM(H123))</f>
        <v>461E | 90MB1BJ0-C1BAY0 | 59MB1BJB-MB0A02S |  |  |  |  |  |  | uniq123</v>
      </c>
      <c r="AT123" s="63">
        <f>IF(NOT(AR123),IF(TRIM($H123)="","Assembly","Phantom Alt"),VLOOKUP(F123,ZPCS04!B:G,6,0))</f>
        <v>81</v>
      </c>
      <c r="AU123" s="7"/>
      <c r="AV123" s="38">
        <f ca="1">IF(TRIM($W123)="F",OFFSET($A$5,MATCH($AS123,$AS$5:$AS123,0)-1,0),$A123)</f>
        <v>123</v>
      </c>
      <c r="AW123" s="38">
        <f ca="1">IFERROR(OFFSET(ZPCS04!$A$1,MATCH(F123,ZPCS04!B:B,0)-1,0),100)</f>
        <v>1.9999999900000001</v>
      </c>
      <c r="AX123" s="7"/>
      <c r="AY123" s="6" t="b">
        <f>SUMIF(AS:AS,AS123,AP:AP)=100</f>
        <v>1</v>
      </c>
      <c r="AZ123" s="6" t="b">
        <f>SUMIF(AS:AS,AS123,AE:AE)/COUNTIF(AS:AS,AS123)=AE123</f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>C123&amp;" | "&amp;F123</f>
        <v>90MB1BJ0-C1BAY0 | 06G114035010</v>
      </c>
      <c r="BE123" s="55" t="str">
        <f ca="1">C123&amp;" | "&amp;OFFSET($AF123,0,8-COUNTBLANK($AG123:$AN123))</f>
        <v>90MB1BJ0-C1BAY0 | 59MB1BJB-MB0A02S</v>
      </c>
      <c r="BF123" s="57">
        <f ca="1">IFERROR(VLOOKUP($BE123,$BD$5:$BF122,3,0)*$AE123,VLOOKUP($C123,Demanda!$A:$B,2,0)*$AE123)*IF(AT123="Phantom Alt",$BC123,TRUE)</f>
        <v>1000</v>
      </c>
      <c r="BG123" s="57">
        <f ca="1">BF123*(AP123/100)</f>
        <v>1000</v>
      </c>
      <c r="BH123" s="57">
        <f>SUMIF(Invoice!A:A,F123,Invoice!B:B)</f>
        <v>1000</v>
      </c>
      <c r="BI123" s="57">
        <f ca="1">SUMIF(AS:AS,AS123,BG:BG)</f>
        <v>1000</v>
      </c>
      <c r="BJ123" s="57">
        <f ca="1">MIN((BI123-SUMIF($AS$5:AS122,AS123,$BJ$5:BJ122)),MAX(0,BH123-SUMIF($F$5:F122,F123,$BJ$5:BJ122)))</f>
        <v>1000</v>
      </c>
      <c r="BK123" s="57">
        <f ca="1">(-SUMIF(AS:AS,AS123,BG:BG)+SUMIF(AS:AS,AS123,BJ:BJ))*(AP123=100)*AR123</f>
        <v>0</v>
      </c>
      <c r="BL123" s="57">
        <f ca="1">MAX(0,SUMIF(Invoice!A:A,F123,Invoice!B:B)-SUMIF(F:F,F123,BJ:BJ))*(COUNTIF(F:F,F123)=COUNTIF($F$5:F123,F123))</f>
        <v>0</v>
      </c>
    </row>
    <row r="124" spans="1:64" hidden="1">
      <c r="A124" s="43">
        <v>128</v>
      </c>
      <c r="B124" s="35" t="s">
        <v>147</v>
      </c>
      <c r="C124" s="35" t="s">
        <v>146</v>
      </c>
      <c r="D124" s="35">
        <v>2</v>
      </c>
      <c r="E124" s="35">
        <v>420</v>
      </c>
      <c r="F124" s="64" t="s">
        <v>421</v>
      </c>
      <c r="G124" s="73" t="s">
        <v>422</v>
      </c>
      <c r="H124" s="35">
        <v>42</v>
      </c>
      <c r="I124" s="35" t="s">
        <v>55</v>
      </c>
      <c r="J124" s="35">
        <v>0</v>
      </c>
      <c r="K124" s="35" t="s">
        <v>414</v>
      </c>
      <c r="L124" s="35" t="s">
        <v>53</v>
      </c>
      <c r="M124" s="35">
        <v>1</v>
      </c>
      <c r="N124" s="35"/>
      <c r="O124" s="35">
        <v>1</v>
      </c>
      <c r="P124" s="35">
        <v>2</v>
      </c>
      <c r="Q124" s="35">
        <v>5</v>
      </c>
      <c r="R124" s="35" t="s">
        <v>122</v>
      </c>
      <c r="S124" s="35" t="s">
        <v>122</v>
      </c>
      <c r="T124" s="36">
        <v>44901</v>
      </c>
      <c r="U124" s="36">
        <v>2958465</v>
      </c>
      <c r="V124" s="35" t="s">
        <v>282</v>
      </c>
      <c r="W124" s="35" t="s">
        <v>145</v>
      </c>
      <c r="X124" s="35"/>
      <c r="Y124" s="35" t="s">
        <v>143</v>
      </c>
      <c r="Z124" s="35">
        <v>7589154</v>
      </c>
      <c r="AA124" s="35">
        <v>144</v>
      </c>
      <c r="AB124" s="35">
        <v>72</v>
      </c>
      <c r="AC124" s="35"/>
      <c r="AE124" s="51">
        <f>M124/O124</f>
        <v>1</v>
      </c>
      <c r="AG124" s="6" t="str">
        <f>C124</f>
        <v>90MB1BJ0-C1BAY0</v>
      </c>
      <c r="AH124" s="6" t="str">
        <f>IF($D124&lt;=AH$4,"",IF(AND($D123=AH$4,$D124&gt;AH$4),$F123,AH123))</f>
        <v>59MB1BJB-MB0A02S</v>
      </c>
      <c r="AI124" s="6" t="str">
        <f>IF($D124&lt;=AI$4,"",IF(AND($D123=AI$4,$D124&gt;AI$4),$F123,AI123))</f>
        <v/>
      </c>
      <c r="AJ124" s="6" t="str">
        <f>IF($D124&lt;=AJ$4,"",IF(AND($D123=AJ$4,$D124&gt;AJ$4),$F123,AJ123))</f>
        <v/>
      </c>
      <c r="AK124" s="6" t="str">
        <f>IF($D124&lt;=AK$4,"",IF(AND($D123=AK$4,$D124&gt;AK$4),$F123,AK123))</f>
        <v/>
      </c>
      <c r="AL124" s="6" t="str">
        <f>IF($D124&lt;=AL$4,"",IF(AND($D123=AL$4,$D124&gt;AL$4),$F123,AL123))</f>
        <v/>
      </c>
      <c r="AM124" s="6" t="str">
        <f>IF($D124&lt;=AM$4,"",IF(AND($D123=AM$4,$D124&gt;AM$4),$F123,AM123))</f>
        <v/>
      </c>
      <c r="AN124" s="6" t="str">
        <f>IF($D124&lt;=AN$4,"",IF(AND($D123=AN$4,$D124&gt;AN$4),$F123,AN123))</f>
        <v/>
      </c>
      <c r="AO124" s="6" t="str">
        <f>CONCATENATE(AG124," | ",AH124," | ",AI124," | ",AJ124," | ",AK124," | ",AL124," | ",AM124," | ",AN124)</f>
        <v xml:space="preserve">90MB1BJ0-C1BAY0 | 59MB1BJB-MB0A02S |  |  |  |  |  | </v>
      </c>
      <c r="AP124" s="6">
        <f>IF(TRIM(H124)="",100,J124)</f>
        <v>0</v>
      </c>
      <c r="AQ124" s="4"/>
      <c r="AR124" s="6" t="b">
        <f>NOT(TRIM(W124)&lt;&gt;"F")</f>
        <v>1</v>
      </c>
      <c r="AS124" s="6" t="str">
        <f>$B124&amp;" | "&amp;$AO124&amp;" | "&amp;IF(TRIM(H124)="","uniq"&amp;ROW(),TRIM(H124))</f>
        <v>461E | 90MB1BJ0-C1BAY0 | 59MB1BJB-MB0A02S |  |  |  |  |  |  | 42</v>
      </c>
      <c r="AT124" s="63">
        <f>IF(NOT(AR124),IF(TRIM($H124)="","Assembly","Phantom Alt"),VLOOKUP(F124,ZPCS04!B:G,6,0))</f>
        <v>297</v>
      </c>
      <c r="AU124" s="7"/>
      <c r="AV124" s="38">
        <f ca="1">IF(TRIM($W124)="F",OFFSET($A$5,MATCH($AS124,$AS$5:$AS124,0)-1,0),$A124)</f>
        <v>128</v>
      </c>
      <c r="AW124" s="38">
        <f ca="1">IFERROR(OFFSET(ZPCS04!$A$1,MATCH(F124,ZPCS04!B:B,0)-1,0),100)</f>
        <v>1.9999999900000001</v>
      </c>
      <c r="AX124" s="7"/>
      <c r="AY124" s="6" t="b">
        <f>SUMIF(AS:AS,AS124,AP:AP)=100</f>
        <v>1</v>
      </c>
      <c r="AZ124" s="6" t="b">
        <f>SUMIF(AS:AS,AS124,AE:AE)/COUNTIF(AS:AS,AS124)=AE124</f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>C124&amp;" | "&amp;F124</f>
        <v>90MB1BJ0-C1BAY0 | 07G005000B12</v>
      </c>
      <c r="BE124" s="55" t="str">
        <f ca="1">C124&amp;" | "&amp;OFFSET($AF124,0,8-COUNTBLANK($AG124:$AN124))</f>
        <v>90MB1BJ0-C1BAY0 | 59MB1BJB-MB0A02S</v>
      </c>
      <c r="BF124" s="57">
        <f ca="1">IFERROR(VLOOKUP($BE124,$BD$5:$BF123,3,0)*$AE124,VLOOKUP($C124,Demanda!$A:$B,2,0)*$AE124)*IF(AT124="Phantom Alt",$BC124,TRUE)</f>
        <v>1000</v>
      </c>
      <c r="BG124" s="57">
        <f ca="1">BF124*(AP124/100)</f>
        <v>0</v>
      </c>
      <c r="BH124" s="57">
        <f>SUMIF(Invoice!A:A,F124,Invoice!B:B)</f>
        <v>1000</v>
      </c>
      <c r="BI124" s="57">
        <f ca="1">SUMIF(AS:AS,AS124,BG:BG)</f>
        <v>1000</v>
      </c>
      <c r="BJ124" s="57">
        <f ca="1">MIN((BI124-SUMIF($AS$5:AS123,AS124,$BJ$5:BJ123)),MAX(0,BH124-SUMIF($F$5:F123,F124,$BJ$5:BJ123)))</f>
        <v>1000</v>
      </c>
      <c r="BK124" s="57">
        <f ca="1">(-SUMIF(AS:AS,AS124,BG:BG)+SUMIF(AS:AS,AS124,BJ:BJ))*(AP124=100)*AR124</f>
        <v>0</v>
      </c>
      <c r="BL124" s="57">
        <f ca="1">MAX(0,SUMIF(Invoice!A:A,F124,Invoice!B:B)-SUMIF(F:F,F124,BJ:BJ))*(COUNTIF(F:F,F124)=COUNTIF($F$5:F124,F124))</f>
        <v>0</v>
      </c>
    </row>
    <row r="125" spans="1:64" hidden="1">
      <c r="A125" s="43">
        <v>124</v>
      </c>
      <c r="B125" s="35" t="s">
        <v>147</v>
      </c>
      <c r="C125" s="35" t="s">
        <v>146</v>
      </c>
      <c r="D125" s="35">
        <v>2</v>
      </c>
      <c r="E125" s="35">
        <v>420</v>
      </c>
      <c r="F125" s="64" t="s">
        <v>412</v>
      </c>
      <c r="G125" s="73" t="s">
        <v>413</v>
      </c>
      <c r="H125" s="35">
        <v>42</v>
      </c>
      <c r="I125" s="35" t="s">
        <v>55</v>
      </c>
      <c r="J125" s="35">
        <v>0</v>
      </c>
      <c r="K125" s="35" t="s">
        <v>414</v>
      </c>
      <c r="L125" s="35" t="s">
        <v>53</v>
      </c>
      <c r="M125" s="35">
        <v>1</v>
      </c>
      <c r="N125" s="35"/>
      <c r="O125" s="35">
        <v>1</v>
      </c>
      <c r="P125" s="35">
        <v>2</v>
      </c>
      <c r="Q125" s="35">
        <v>2</v>
      </c>
      <c r="R125" s="35" t="s">
        <v>122</v>
      </c>
      <c r="S125" s="35" t="s">
        <v>122</v>
      </c>
      <c r="T125" s="36">
        <v>44901</v>
      </c>
      <c r="U125" s="36">
        <v>2958465</v>
      </c>
      <c r="V125" s="35" t="s">
        <v>282</v>
      </c>
      <c r="W125" s="35" t="s">
        <v>145</v>
      </c>
      <c r="X125" s="35"/>
      <c r="Y125" s="35" t="s">
        <v>143</v>
      </c>
      <c r="Z125" s="35">
        <v>7589154</v>
      </c>
      <c r="AA125" s="35">
        <v>138</v>
      </c>
      <c r="AB125" s="35">
        <v>69</v>
      </c>
      <c r="AC125" s="35"/>
      <c r="AE125" s="51">
        <f>M125/O125</f>
        <v>1</v>
      </c>
      <c r="AG125" s="6" t="str">
        <f>C125</f>
        <v>90MB1BJ0-C1BAY0</v>
      </c>
      <c r="AH125" s="6" t="str">
        <f>IF($D125&lt;=AH$4,"",IF(AND($D124=AH$4,$D125&gt;AH$4),$F124,AH124))</f>
        <v>59MB1BJB-MB0A02S</v>
      </c>
      <c r="AI125" s="6" t="str">
        <f>IF($D125&lt;=AI$4,"",IF(AND($D124=AI$4,$D125&gt;AI$4),$F124,AI124))</f>
        <v/>
      </c>
      <c r="AJ125" s="6" t="str">
        <f>IF($D125&lt;=AJ$4,"",IF(AND($D124=AJ$4,$D125&gt;AJ$4),$F124,AJ124))</f>
        <v/>
      </c>
      <c r="AK125" s="6" t="str">
        <f>IF($D125&lt;=AK$4,"",IF(AND($D124=AK$4,$D125&gt;AK$4),$F124,AK124))</f>
        <v/>
      </c>
      <c r="AL125" s="6" t="str">
        <f>IF($D125&lt;=AL$4,"",IF(AND($D124=AL$4,$D125&gt;AL$4),$F124,AL124))</f>
        <v/>
      </c>
      <c r="AM125" s="6" t="str">
        <f>IF($D125&lt;=AM$4,"",IF(AND($D124=AM$4,$D125&gt;AM$4),$F124,AM124))</f>
        <v/>
      </c>
      <c r="AN125" s="6" t="str">
        <f>IF($D125&lt;=AN$4,"",IF(AND($D124=AN$4,$D125&gt;AN$4),$F124,AN124))</f>
        <v/>
      </c>
      <c r="AO125" s="6" t="str">
        <f>CONCATENATE(AG125," | ",AH125," | ",AI125," | ",AJ125," | ",AK125," | ",AL125," | ",AM125," | ",AN125)</f>
        <v xml:space="preserve">90MB1BJ0-C1BAY0 | 59MB1BJB-MB0A02S |  |  |  |  |  | </v>
      </c>
      <c r="AP125" s="6">
        <f>IF(TRIM(H125)="",100,J125)</f>
        <v>0</v>
      </c>
      <c r="AQ125" s="4"/>
      <c r="AR125" s="6" t="b">
        <f>NOT(TRIM(W125)&lt;&gt;"F")</f>
        <v>1</v>
      </c>
      <c r="AS125" s="6" t="str">
        <f>$B125&amp;" | "&amp;$AO125&amp;" | "&amp;IF(TRIM(H125)="","uniq"&amp;ROW(),TRIM(H125))</f>
        <v>461E | 90MB1BJ0-C1BAY0 | 59MB1BJB-MB0A02S |  |  |  |  |  |  | 42</v>
      </c>
      <c r="AT125" s="63">
        <f>IF(NOT(AR125),IF(TRIM($H125)="","Assembly","Phantom Alt"),VLOOKUP(F125,ZPCS04!B:G,6,0))</f>
        <v>297</v>
      </c>
      <c r="AU125" s="7"/>
      <c r="AV125" s="38">
        <f ca="1">IF(TRIM($W125)="F",OFFSET($A$5,MATCH($AS125,$AS$5:$AS125,0)-1,0),$A125)</f>
        <v>128</v>
      </c>
      <c r="AW125" s="38">
        <f ca="1">IFERROR(OFFSET(ZPCS04!$A$1,MATCH(F125,ZPCS04!B:B,0)-1,0),100)</f>
        <v>2</v>
      </c>
      <c r="AX125" s="7"/>
      <c r="AY125" s="6" t="b">
        <f>SUMIF(AS:AS,AS125,AP:AP)=100</f>
        <v>1</v>
      </c>
      <c r="AZ125" s="6" t="b">
        <f>SUMIF(AS:AS,AS125,AE:AE)/COUNTIF(AS:AS,AS125)=AE125</f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>C125&amp;" | "&amp;F125</f>
        <v>90MB1BJ0-C1BAY0 | 07005-00271100</v>
      </c>
      <c r="BE125" s="55" t="str">
        <f ca="1">C125&amp;" | "&amp;OFFSET($AF125,0,8-COUNTBLANK($AG125:$AN125))</f>
        <v>90MB1BJ0-C1BAY0 | 59MB1BJB-MB0A02S</v>
      </c>
      <c r="BF125" s="57">
        <f ca="1">IFERROR(VLOOKUP($BE125,$BD$5:$BF124,3,0)*$AE125,VLOOKUP($C125,Demanda!$A:$B,2,0)*$AE125)*IF(AT125="Phantom Alt",$BC125,TRUE)</f>
        <v>1000</v>
      </c>
      <c r="BG125" s="57">
        <f ca="1">BF125*(AP125/100)</f>
        <v>0</v>
      </c>
      <c r="BH125" s="57">
        <f>SUMIF(Invoice!A:A,F125,Invoice!B:B)</f>
        <v>0</v>
      </c>
      <c r="BI125" s="57">
        <f ca="1">SUMIF(AS:AS,AS125,BG:BG)</f>
        <v>1000</v>
      </c>
      <c r="BJ125" s="57">
        <f ca="1">MIN((BI125-SUMIF($AS$5:AS124,AS125,$BJ$5:BJ124)),MAX(0,BH125-SUMIF($F$5:F124,F125,$BJ$5:BJ124)))</f>
        <v>0</v>
      </c>
      <c r="BK125" s="57">
        <f ca="1">(-SUMIF(AS:AS,AS125,BG:BG)+SUMIF(AS:AS,AS125,BJ:BJ))*(AP125=100)*AR125</f>
        <v>0</v>
      </c>
      <c r="BL125" s="57">
        <f ca="1">MAX(0,SUMIF(Invoice!A:A,F125,Invoice!B:B)-SUMIF(F:F,F125,BJ:BJ))*(COUNTIF(F:F,F125)=COUNTIF($F$5:F125,F125))</f>
        <v>0</v>
      </c>
    </row>
    <row r="126" spans="1:64" hidden="1">
      <c r="A126" s="43">
        <v>125</v>
      </c>
      <c r="B126" s="35" t="s">
        <v>147</v>
      </c>
      <c r="C126" s="35" t="s">
        <v>146</v>
      </c>
      <c r="D126" s="35">
        <v>2</v>
      </c>
      <c r="E126" s="35">
        <v>420</v>
      </c>
      <c r="F126" s="64" t="s">
        <v>415</v>
      </c>
      <c r="G126" s="73" t="s">
        <v>416</v>
      </c>
      <c r="H126" s="35">
        <v>42</v>
      </c>
      <c r="I126" s="35" t="s">
        <v>54</v>
      </c>
      <c r="J126" s="35">
        <v>100</v>
      </c>
      <c r="K126" s="35" t="s">
        <v>150</v>
      </c>
      <c r="L126" s="35" t="s">
        <v>53</v>
      </c>
      <c r="M126" s="35">
        <v>1</v>
      </c>
      <c r="N126" s="35">
        <v>1</v>
      </c>
      <c r="O126" s="35">
        <v>1</v>
      </c>
      <c r="P126" s="35">
        <v>2</v>
      </c>
      <c r="Q126" s="35">
        <v>1</v>
      </c>
      <c r="R126" s="35" t="s">
        <v>73</v>
      </c>
      <c r="S126" s="35" t="s">
        <v>73</v>
      </c>
      <c r="T126" s="36">
        <v>44901</v>
      </c>
      <c r="U126" s="36">
        <v>2958465</v>
      </c>
      <c r="V126" s="35" t="s">
        <v>282</v>
      </c>
      <c r="W126" s="35" t="s">
        <v>145</v>
      </c>
      <c r="X126" s="35"/>
      <c r="Y126" s="35" t="s">
        <v>143</v>
      </c>
      <c r="Z126" s="35">
        <v>7589154</v>
      </c>
      <c r="AA126" s="35">
        <v>136</v>
      </c>
      <c r="AB126" s="35">
        <v>68</v>
      </c>
      <c r="AC126" s="35"/>
      <c r="AE126" s="51">
        <f>M126/O126</f>
        <v>1</v>
      </c>
      <c r="AG126" s="6" t="str">
        <f>C126</f>
        <v>90MB1BJ0-C1BAY0</v>
      </c>
      <c r="AH126" s="6" t="str">
        <f>IF($D126&lt;=AH$4,"",IF(AND($D125=AH$4,$D126&gt;AH$4),$F125,AH125))</f>
        <v>59MB1BJB-MB0A02S</v>
      </c>
      <c r="AI126" s="6" t="str">
        <f>IF($D126&lt;=AI$4,"",IF(AND($D125=AI$4,$D126&gt;AI$4),$F125,AI125))</f>
        <v/>
      </c>
      <c r="AJ126" s="6" t="str">
        <f>IF($D126&lt;=AJ$4,"",IF(AND($D125=AJ$4,$D126&gt;AJ$4),$F125,AJ125))</f>
        <v/>
      </c>
      <c r="AK126" s="6" t="str">
        <f>IF($D126&lt;=AK$4,"",IF(AND($D125=AK$4,$D126&gt;AK$4),$F125,AK125))</f>
        <v/>
      </c>
      <c r="AL126" s="6" t="str">
        <f>IF($D126&lt;=AL$4,"",IF(AND($D125=AL$4,$D126&gt;AL$4),$F125,AL125))</f>
        <v/>
      </c>
      <c r="AM126" s="6" t="str">
        <f>IF($D126&lt;=AM$4,"",IF(AND($D125=AM$4,$D126&gt;AM$4),$F125,AM125))</f>
        <v/>
      </c>
      <c r="AN126" s="6" t="str">
        <f>IF($D126&lt;=AN$4,"",IF(AND($D125=AN$4,$D126&gt;AN$4),$F125,AN125))</f>
        <v/>
      </c>
      <c r="AO126" s="6" t="str">
        <f>CONCATENATE(AG126," | ",AH126," | ",AI126," | ",AJ126," | ",AK126," | ",AL126," | ",AM126," | ",AN126)</f>
        <v xml:space="preserve">90MB1BJ0-C1BAY0 | 59MB1BJB-MB0A02S |  |  |  |  |  | </v>
      </c>
      <c r="AP126" s="6">
        <f>IF(TRIM(H126)="",100,J126)</f>
        <v>100</v>
      </c>
      <c r="AQ126" s="4"/>
      <c r="AR126" s="6" t="b">
        <f>NOT(TRIM(W126)&lt;&gt;"F")</f>
        <v>1</v>
      </c>
      <c r="AS126" s="6" t="str">
        <f>$B126&amp;" | "&amp;$AO126&amp;" | "&amp;IF(TRIM(H126)="","uniq"&amp;ROW(),TRIM(H126))</f>
        <v>461E | 90MB1BJ0-C1BAY0 | 59MB1BJB-MB0A02S |  |  |  |  |  |  | 42</v>
      </c>
      <c r="AT126" s="63">
        <f>IF(NOT(AR126),IF(TRIM($H126)="","Assembly","Phantom Alt"),VLOOKUP(F126,ZPCS04!B:G,6,0))</f>
        <v>297</v>
      </c>
      <c r="AU126" s="7"/>
      <c r="AV126" s="38">
        <f ca="1">IF(TRIM($W126)="F",OFFSET($A$5,MATCH($AS126,$AS$5:$AS126,0)-1,0),$A126)</f>
        <v>128</v>
      </c>
      <c r="AW126" s="38">
        <f ca="1">IFERROR(OFFSET(ZPCS04!$A$1,MATCH(F126,ZPCS04!B:B,0)-1,0),100)</f>
        <v>2</v>
      </c>
      <c r="AX126" s="7"/>
      <c r="AY126" s="6" t="b">
        <f>SUMIF(AS:AS,AS126,AP:AP)=100</f>
        <v>1</v>
      </c>
      <c r="AZ126" s="6" t="b">
        <f>SUMIF(AS:AS,AS126,AE:AE)/COUNTIF(AS:AS,AS126)=AE126</f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>C126&amp;" | "&amp;F126</f>
        <v>90MB1BJ0-C1BAY0 | 07005-00271300</v>
      </c>
      <c r="BE126" s="55" t="str">
        <f ca="1">C126&amp;" | "&amp;OFFSET($AF126,0,8-COUNTBLANK($AG126:$AN126))</f>
        <v>90MB1BJ0-C1BAY0 | 59MB1BJB-MB0A02S</v>
      </c>
      <c r="BF126" s="57">
        <f ca="1">IFERROR(VLOOKUP($BE126,$BD$5:$BF125,3,0)*$AE126,VLOOKUP($C126,Demanda!$A:$B,2,0)*$AE126)*IF(AT126="Phantom Alt",$BC126,TRUE)</f>
        <v>1000</v>
      </c>
      <c r="BG126" s="57">
        <f ca="1">BF126*(AP126/100)</f>
        <v>1000</v>
      </c>
      <c r="BH126" s="57">
        <f>SUMIF(Invoice!A:A,F126,Invoice!B:B)</f>
        <v>0</v>
      </c>
      <c r="BI126" s="57">
        <f ca="1">SUMIF(AS:AS,AS126,BG:BG)</f>
        <v>1000</v>
      </c>
      <c r="BJ126" s="57">
        <f ca="1">MIN((BI126-SUMIF($AS$5:AS125,AS126,$BJ$5:BJ125)),MAX(0,BH126-SUMIF($F$5:F125,F126,$BJ$5:BJ125)))</f>
        <v>0</v>
      </c>
      <c r="BK126" s="57">
        <f ca="1">(-SUMIF(AS:AS,AS126,BG:BG)+SUMIF(AS:AS,AS126,BJ:BJ))*(AP126=100)*AR126</f>
        <v>0</v>
      </c>
      <c r="BL126" s="57">
        <f ca="1">MAX(0,SUMIF(Invoice!A:A,F126,Invoice!B:B)-SUMIF(F:F,F126,BJ:BJ))*(COUNTIF(F:F,F126)=COUNTIF($F$5:F126,F126))</f>
        <v>0</v>
      </c>
    </row>
    <row r="127" spans="1:64" hidden="1">
      <c r="A127" s="43">
        <v>126</v>
      </c>
      <c r="B127" s="35" t="s">
        <v>147</v>
      </c>
      <c r="C127" s="35" t="s">
        <v>146</v>
      </c>
      <c r="D127" s="35">
        <v>2</v>
      </c>
      <c r="E127" s="35">
        <v>420</v>
      </c>
      <c r="F127" s="64" t="s">
        <v>417</v>
      </c>
      <c r="G127" s="73" t="s">
        <v>418</v>
      </c>
      <c r="H127" s="35">
        <v>42</v>
      </c>
      <c r="I127" s="35" t="s">
        <v>55</v>
      </c>
      <c r="J127" s="35">
        <v>0</v>
      </c>
      <c r="K127" s="35" t="s">
        <v>150</v>
      </c>
      <c r="L127" s="35" t="s">
        <v>53</v>
      </c>
      <c r="M127" s="35">
        <v>1</v>
      </c>
      <c r="N127" s="35"/>
      <c r="O127" s="35">
        <v>1</v>
      </c>
      <c r="P127" s="35">
        <v>2</v>
      </c>
      <c r="Q127" s="35">
        <v>4</v>
      </c>
      <c r="R127" s="35" t="s">
        <v>73</v>
      </c>
      <c r="S127" s="35" t="s">
        <v>73</v>
      </c>
      <c r="T127" s="36">
        <v>44901</v>
      </c>
      <c r="U127" s="36">
        <v>2958465</v>
      </c>
      <c r="V127" s="35" t="s">
        <v>282</v>
      </c>
      <c r="W127" s="35" t="s">
        <v>145</v>
      </c>
      <c r="X127" s="35"/>
      <c r="Y127" s="35" t="s">
        <v>143</v>
      </c>
      <c r="Z127" s="35">
        <v>7589154</v>
      </c>
      <c r="AA127" s="35">
        <v>142</v>
      </c>
      <c r="AB127" s="35">
        <v>71</v>
      </c>
      <c r="AC127" s="35"/>
      <c r="AE127" s="51">
        <f>M127/O127</f>
        <v>1</v>
      </c>
      <c r="AG127" s="6" t="str">
        <f>C127</f>
        <v>90MB1BJ0-C1BAY0</v>
      </c>
      <c r="AH127" s="6" t="str">
        <f>IF($D127&lt;=AH$4,"",IF(AND($D126=AH$4,$D127&gt;AH$4),$F126,AH126))</f>
        <v>59MB1BJB-MB0A02S</v>
      </c>
      <c r="AI127" s="6" t="str">
        <f>IF($D127&lt;=AI$4,"",IF(AND($D126=AI$4,$D127&gt;AI$4),$F126,AI126))</f>
        <v/>
      </c>
      <c r="AJ127" s="6" t="str">
        <f>IF($D127&lt;=AJ$4,"",IF(AND($D126=AJ$4,$D127&gt;AJ$4),$F126,AJ126))</f>
        <v/>
      </c>
      <c r="AK127" s="6" t="str">
        <f>IF($D127&lt;=AK$4,"",IF(AND($D126=AK$4,$D127&gt;AK$4),$F126,AK126))</f>
        <v/>
      </c>
      <c r="AL127" s="6" t="str">
        <f>IF($D127&lt;=AL$4,"",IF(AND($D126=AL$4,$D127&gt;AL$4),$F126,AL126))</f>
        <v/>
      </c>
      <c r="AM127" s="6" t="str">
        <f>IF($D127&lt;=AM$4,"",IF(AND($D126=AM$4,$D127&gt;AM$4),$F126,AM126))</f>
        <v/>
      </c>
      <c r="AN127" s="6" t="str">
        <f>IF($D127&lt;=AN$4,"",IF(AND($D126=AN$4,$D127&gt;AN$4),$F126,AN126))</f>
        <v/>
      </c>
      <c r="AO127" s="6" t="str">
        <f>CONCATENATE(AG127," | ",AH127," | ",AI127," | ",AJ127," | ",AK127," | ",AL127," | ",AM127," | ",AN127)</f>
        <v xml:space="preserve">90MB1BJ0-C1BAY0 | 59MB1BJB-MB0A02S |  |  |  |  |  | </v>
      </c>
      <c r="AP127" s="6">
        <f>IF(TRIM(H127)="",100,J127)</f>
        <v>0</v>
      </c>
      <c r="AQ127" s="4"/>
      <c r="AR127" s="6" t="b">
        <f>NOT(TRIM(W127)&lt;&gt;"F")</f>
        <v>1</v>
      </c>
      <c r="AS127" s="6" t="str">
        <f>$B127&amp;" | "&amp;$AO127&amp;" | "&amp;IF(TRIM(H127)="","uniq"&amp;ROW(),TRIM(H127))</f>
        <v>461E | 90MB1BJ0-C1BAY0 | 59MB1BJB-MB0A02S |  |  |  |  |  |  | 42</v>
      </c>
      <c r="AT127" s="63">
        <f>IF(NOT(AR127),IF(TRIM($H127)="","Assembly","Phantom Alt"),VLOOKUP(F127,ZPCS04!B:G,6,0))</f>
        <v>297</v>
      </c>
      <c r="AU127" s="7"/>
      <c r="AV127" s="38">
        <f ca="1">IF(TRIM($W127)="F",OFFSET($A$5,MATCH($AS127,$AS$5:$AS127,0)-1,0),$A127)</f>
        <v>128</v>
      </c>
      <c r="AW127" s="38">
        <f ca="1">IFERROR(OFFSET(ZPCS04!$A$1,MATCH(F127,ZPCS04!B:B,0)-1,0),100)</f>
        <v>2</v>
      </c>
      <c r="AX127" s="7"/>
      <c r="AY127" s="6" t="b">
        <f>SUMIF(AS:AS,AS127,AP:AP)=100</f>
        <v>1</v>
      </c>
      <c r="AZ127" s="6" t="b">
        <f>SUMIF(AS:AS,AS127,AE:AE)/COUNTIF(AS:AS,AS127)=AE127</f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>C127&amp;" | "&amp;F127</f>
        <v>90MB1BJ0-C1BAY0 | 07005-00272000</v>
      </c>
      <c r="BE127" s="55" t="str">
        <f ca="1">C127&amp;" | "&amp;OFFSET($AF127,0,8-COUNTBLANK($AG127:$AN127))</f>
        <v>90MB1BJ0-C1BAY0 | 59MB1BJB-MB0A02S</v>
      </c>
      <c r="BF127" s="57">
        <f ca="1">IFERROR(VLOOKUP($BE127,$BD$5:$BF126,3,0)*$AE127,VLOOKUP($C127,Demanda!$A:$B,2,0)*$AE127)*IF(AT127="Phantom Alt",$BC127,TRUE)</f>
        <v>1000</v>
      </c>
      <c r="BG127" s="57">
        <f ca="1">BF127*(AP127/100)</f>
        <v>0</v>
      </c>
      <c r="BH127" s="57">
        <f>SUMIF(Invoice!A:A,F127,Invoice!B:B)</f>
        <v>0</v>
      </c>
      <c r="BI127" s="57">
        <f ca="1">SUMIF(AS:AS,AS127,BG:BG)</f>
        <v>1000</v>
      </c>
      <c r="BJ127" s="57">
        <f ca="1">MIN((BI127-SUMIF($AS$5:AS126,AS127,$BJ$5:BJ126)),MAX(0,BH127-SUMIF($F$5:F126,F127,$BJ$5:BJ126)))</f>
        <v>0</v>
      </c>
      <c r="BK127" s="57">
        <f ca="1">(-SUMIF(AS:AS,AS127,BG:BG)+SUMIF(AS:AS,AS127,BJ:BJ))*(AP127=100)*AR127</f>
        <v>0</v>
      </c>
      <c r="BL127" s="57">
        <f ca="1">MAX(0,SUMIF(Invoice!A:A,F127,Invoice!B:B)-SUMIF(F:F,F127,BJ:BJ))*(COUNTIF(F:F,F127)=COUNTIF($F$5:F127,F127))</f>
        <v>0</v>
      </c>
    </row>
    <row r="128" spans="1:64" hidden="1">
      <c r="A128" s="43">
        <v>127</v>
      </c>
      <c r="B128" s="35" t="s">
        <v>147</v>
      </c>
      <c r="C128" s="35" t="s">
        <v>146</v>
      </c>
      <c r="D128" s="35">
        <v>2</v>
      </c>
      <c r="E128" s="35">
        <v>420</v>
      </c>
      <c r="F128" s="64" t="s">
        <v>419</v>
      </c>
      <c r="G128" s="73" t="s">
        <v>420</v>
      </c>
      <c r="H128" s="35">
        <v>42</v>
      </c>
      <c r="I128" s="35" t="s">
        <v>55</v>
      </c>
      <c r="J128" s="35">
        <v>0</v>
      </c>
      <c r="K128" s="35" t="s">
        <v>150</v>
      </c>
      <c r="L128" s="35" t="s">
        <v>53</v>
      </c>
      <c r="M128" s="35">
        <v>1</v>
      </c>
      <c r="N128" s="35"/>
      <c r="O128" s="35">
        <v>1</v>
      </c>
      <c r="P128" s="35">
        <v>2</v>
      </c>
      <c r="Q128" s="35">
        <v>3</v>
      </c>
      <c r="R128" s="35" t="s">
        <v>73</v>
      </c>
      <c r="S128" s="35" t="s">
        <v>73</v>
      </c>
      <c r="T128" s="36">
        <v>44901</v>
      </c>
      <c r="U128" s="36">
        <v>2958465</v>
      </c>
      <c r="V128" s="35" t="s">
        <v>282</v>
      </c>
      <c r="W128" s="35" t="s">
        <v>145</v>
      </c>
      <c r="X128" s="35"/>
      <c r="Y128" s="35" t="s">
        <v>143</v>
      </c>
      <c r="Z128" s="35">
        <v>7589154</v>
      </c>
      <c r="AA128" s="35">
        <v>140</v>
      </c>
      <c r="AB128" s="35">
        <v>70</v>
      </c>
      <c r="AC128" s="35"/>
      <c r="AE128" s="51">
        <f>M128/O128</f>
        <v>1</v>
      </c>
      <c r="AG128" s="6" t="str">
        <f>C128</f>
        <v>90MB1BJ0-C1BAY0</v>
      </c>
      <c r="AH128" s="6" t="str">
        <f>IF($D128&lt;=AH$4,"",IF(AND($D127=AH$4,$D128&gt;AH$4),$F127,AH127))</f>
        <v>59MB1BJB-MB0A02S</v>
      </c>
      <c r="AI128" s="6" t="str">
        <f>IF($D128&lt;=AI$4,"",IF(AND($D127=AI$4,$D128&gt;AI$4),$F127,AI127))</f>
        <v/>
      </c>
      <c r="AJ128" s="6" t="str">
        <f>IF($D128&lt;=AJ$4,"",IF(AND($D127=AJ$4,$D128&gt;AJ$4),$F127,AJ127))</f>
        <v/>
      </c>
      <c r="AK128" s="6" t="str">
        <f>IF($D128&lt;=AK$4,"",IF(AND($D127=AK$4,$D128&gt;AK$4),$F127,AK127))</f>
        <v/>
      </c>
      <c r="AL128" s="6" t="str">
        <f>IF($D128&lt;=AL$4,"",IF(AND($D127=AL$4,$D128&gt;AL$4),$F127,AL127))</f>
        <v/>
      </c>
      <c r="AM128" s="6" t="str">
        <f>IF($D128&lt;=AM$4,"",IF(AND($D127=AM$4,$D128&gt;AM$4),$F127,AM127))</f>
        <v/>
      </c>
      <c r="AN128" s="6" t="str">
        <f>IF($D128&lt;=AN$4,"",IF(AND($D127=AN$4,$D128&gt;AN$4),$F127,AN127))</f>
        <v/>
      </c>
      <c r="AO128" s="6" t="str">
        <f>CONCATENATE(AG128," | ",AH128," | ",AI128," | ",AJ128," | ",AK128," | ",AL128," | ",AM128," | ",AN128)</f>
        <v xml:space="preserve">90MB1BJ0-C1BAY0 | 59MB1BJB-MB0A02S |  |  |  |  |  | </v>
      </c>
      <c r="AP128" s="6">
        <f>IF(TRIM(H128)="",100,J128)</f>
        <v>0</v>
      </c>
      <c r="AQ128" s="4"/>
      <c r="AR128" s="6" t="b">
        <f>NOT(TRIM(W128)&lt;&gt;"F")</f>
        <v>1</v>
      </c>
      <c r="AS128" s="6" t="str">
        <f>$B128&amp;" | "&amp;$AO128&amp;" | "&amp;IF(TRIM(H128)="","uniq"&amp;ROW(),TRIM(H128))</f>
        <v>461E | 90MB1BJ0-C1BAY0 | 59MB1BJB-MB0A02S |  |  |  |  |  |  | 42</v>
      </c>
      <c r="AT128" s="63">
        <f>IF(NOT(AR128),IF(TRIM($H128)="","Assembly","Phantom Alt"),VLOOKUP(F128,ZPCS04!B:G,6,0))</f>
        <v>297</v>
      </c>
      <c r="AU128" s="7"/>
      <c r="AV128" s="38">
        <f ca="1">IF(TRIM($W128)="F",OFFSET($A$5,MATCH($AS128,$AS$5:$AS128,0)-1,0),$A128)</f>
        <v>128</v>
      </c>
      <c r="AW128" s="38">
        <f ca="1">IFERROR(OFFSET(ZPCS04!$A$1,MATCH(F128,ZPCS04!B:B,0)-1,0),100)</f>
        <v>2</v>
      </c>
      <c r="AX128" s="7"/>
      <c r="AY128" s="6" t="b">
        <f>SUMIF(AS:AS,AS128,AP:AP)=100</f>
        <v>1</v>
      </c>
      <c r="AZ128" s="6" t="b">
        <f>SUMIF(AS:AS,AS128,AE:AE)/COUNTIF(AS:AS,AS128)=AE128</f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>C128&amp;" | "&amp;F128</f>
        <v>90MB1BJ0-C1BAY0 | 07005-00273000</v>
      </c>
      <c r="BE128" s="55" t="str">
        <f ca="1">C128&amp;" | "&amp;OFFSET($AF128,0,8-COUNTBLANK($AG128:$AN128))</f>
        <v>90MB1BJ0-C1BAY0 | 59MB1BJB-MB0A02S</v>
      </c>
      <c r="BF128" s="57">
        <f ca="1">IFERROR(VLOOKUP($BE128,$BD$5:$BF127,3,0)*$AE128,VLOOKUP($C128,Demanda!$A:$B,2,0)*$AE128)*IF(AT128="Phantom Alt",$BC128,TRUE)</f>
        <v>1000</v>
      </c>
      <c r="BG128" s="57">
        <f ca="1">BF128*(AP128/100)</f>
        <v>0</v>
      </c>
      <c r="BH128" s="57">
        <f>SUMIF(Invoice!A:A,F128,Invoice!B:B)</f>
        <v>0</v>
      </c>
      <c r="BI128" s="57">
        <f ca="1">SUMIF(AS:AS,AS128,BG:BG)</f>
        <v>1000</v>
      </c>
      <c r="BJ128" s="57">
        <f ca="1">MIN((BI128-SUMIF($AS$5:AS127,AS128,$BJ$5:BJ127)),MAX(0,BH128-SUMIF($F$5:F127,F128,$BJ$5:BJ127)))</f>
        <v>0</v>
      </c>
      <c r="BK128" s="57">
        <f ca="1">(-SUMIF(AS:AS,AS128,BG:BG)+SUMIF(AS:AS,AS128,BJ:BJ))*(AP128=100)*AR128</f>
        <v>0</v>
      </c>
      <c r="BL128" s="57">
        <f ca="1">MAX(0,SUMIF(Invoice!A:A,F128,Invoice!B:B)-SUMIF(F:F,F128,BJ:BJ))*(COUNTIF(F:F,F128)=COUNTIF($F$5:F128,F128))</f>
        <v>0</v>
      </c>
    </row>
    <row r="129" spans="1:64" hidden="1">
      <c r="A129" s="43">
        <v>129</v>
      </c>
      <c r="B129" s="35" t="s">
        <v>147</v>
      </c>
      <c r="C129" s="35" t="s">
        <v>146</v>
      </c>
      <c r="D129" s="35">
        <v>2</v>
      </c>
      <c r="E129" s="35">
        <v>430</v>
      </c>
      <c r="F129" s="64" t="s">
        <v>423</v>
      </c>
      <c r="G129" s="73" t="s">
        <v>424</v>
      </c>
      <c r="H129" s="35"/>
      <c r="I129" s="35" t="s">
        <v>54</v>
      </c>
      <c r="J129" s="35">
        <v>0</v>
      </c>
      <c r="K129" s="35" t="s">
        <v>150</v>
      </c>
      <c r="L129" s="35" t="s">
        <v>53</v>
      </c>
      <c r="M129" s="35">
        <v>69</v>
      </c>
      <c r="N129" s="35">
        <v>69</v>
      </c>
      <c r="O129" s="35">
        <v>1</v>
      </c>
      <c r="P129" s="35"/>
      <c r="Q129" s="35"/>
      <c r="R129" s="35" t="s">
        <v>73</v>
      </c>
      <c r="S129" s="35" t="s">
        <v>73</v>
      </c>
      <c r="T129" s="36">
        <v>44901</v>
      </c>
      <c r="U129" s="36">
        <v>2958465</v>
      </c>
      <c r="V129" s="35" t="s">
        <v>282</v>
      </c>
      <c r="W129" s="35" t="s">
        <v>145</v>
      </c>
      <c r="X129" s="35"/>
      <c r="Y129" s="35" t="s">
        <v>143</v>
      </c>
      <c r="Z129" s="35">
        <v>7589154</v>
      </c>
      <c r="AA129" s="35">
        <v>146</v>
      </c>
      <c r="AB129" s="35">
        <v>73</v>
      </c>
      <c r="AC129" s="35"/>
      <c r="AE129" s="51">
        <f>M129/O129</f>
        <v>69</v>
      </c>
      <c r="AG129" s="6" t="str">
        <f>C129</f>
        <v>90MB1BJ0-C1BAY0</v>
      </c>
      <c r="AH129" s="6" t="str">
        <f>IF($D129&lt;=AH$4,"",IF(AND($D128=AH$4,$D129&gt;AH$4),$F128,AH128))</f>
        <v>59MB1BJB-MB0A02S</v>
      </c>
      <c r="AI129" s="6" t="str">
        <f>IF($D129&lt;=AI$4,"",IF(AND($D128=AI$4,$D129&gt;AI$4),$F128,AI128))</f>
        <v/>
      </c>
      <c r="AJ129" s="6" t="str">
        <f>IF($D129&lt;=AJ$4,"",IF(AND($D128=AJ$4,$D129&gt;AJ$4),$F128,AJ128))</f>
        <v/>
      </c>
      <c r="AK129" s="6" t="str">
        <f>IF($D129&lt;=AK$4,"",IF(AND($D128=AK$4,$D129&gt;AK$4),$F128,AK128))</f>
        <v/>
      </c>
      <c r="AL129" s="6" t="str">
        <f>IF($D129&lt;=AL$4,"",IF(AND($D128=AL$4,$D129&gt;AL$4),$F128,AL128))</f>
        <v/>
      </c>
      <c r="AM129" s="6" t="str">
        <f>IF($D129&lt;=AM$4,"",IF(AND($D128=AM$4,$D129&gt;AM$4),$F128,AM128))</f>
        <v/>
      </c>
      <c r="AN129" s="6" t="str">
        <f>IF($D129&lt;=AN$4,"",IF(AND($D128=AN$4,$D129&gt;AN$4),$F128,AN128))</f>
        <v/>
      </c>
      <c r="AO129" s="6" t="str">
        <f>CONCATENATE(AG129," | ",AH129," | ",AI129," | ",AJ129," | ",AK129," | ",AL129," | ",AM129," | ",AN129)</f>
        <v xml:space="preserve">90MB1BJ0-C1BAY0 | 59MB1BJB-MB0A02S |  |  |  |  |  | </v>
      </c>
      <c r="AP129" s="6">
        <f>IF(TRIM(H129)="",100,J129)</f>
        <v>100</v>
      </c>
      <c r="AQ129" s="4"/>
      <c r="AR129" s="6" t="b">
        <f>NOT(TRIM(W129)&lt;&gt;"F")</f>
        <v>1</v>
      </c>
      <c r="AS129" s="6" t="str">
        <f>$B129&amp;" | "&amp;$AO129&amp;" | "&amp;IF(TRIM(H129)="","uniq"&amp;ROW(),TRIM(H129))</f>
        <v>461E | 90MB1BJ0-C1BAY0 | 59MB1BJB-MB0A02S |  |  |  |  |  |  | uniq129</v>
      </c>
      <c r="AT129" s="63">
        <f>IF(NOT(AR129),IF(TRIM($H129)="","Assembly","Phantom Alt"),VLOOKUP(F129,ZPCS04!B:G,6,0))</f>
        <v>82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1.99999931</v>
      </c>
      <c r="AX129" s="7"/>
      <c r="AY129" s="6" t="b">
        <f>SUMIF(AS:AS,AS129,AP:AP)=100</f>
        <v>1</v>
      </c>
      <c r="AZ129" s="6" t="b">
        <f>SUMIF(AS:AS,AS129,AE:AE)/COUNTIF(AS:AS,AS129)=AE129</f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>C129&amp;" | "&amp;F129</f>
        <v>90MB1BJ0-C1BAY0 | 07005-00273600</v>
      </c>
      <c r="BE129" s="55" t="str">
        <f ca="1">C129&amp;" | "&amp;OFFSET($AF129,0,8-COUNTBLANK($AG129:$AN129))</f>
        <v>90MB1BJ0-C1BAY0 | 59MB1BJB-MB0A02S</v>
      </c>
      <c r="BF129" s="57">
        <f ca="1">IFERROR(VLOOKUP($BE129,$BD$5:$BF128,3,0)*$AE129,VLOOKUP($C129,Demanda!$A:$B,2,0)*$AE129)*IF(AT129="Phantom Alt",$BC129,TRUE)</f>
        <v>69000</v>
      </c>
      <c r="BG129" s="57">
        <f ca="1">BF129*(AP129/100)</f>
        <v>69000</v>
      </c>
      <c r="BH129" s="57">
        <f>SUMIF(Invoice!A:A,F129,Invoice!B:B)</f>
        <v>69000</v>
      </c>
      <c r="BI129" s="57">
        <f ca="1">SUMIF(AS:AS,AS129,BG:BG)</f>
        <v>69000</v>
      </c>
      <c r="BJ129" s="57">
        <f ca="1">MIN((BI129-SUMIF($AS$5:AS128,AS129,$BJ$5:BJ128)),MAX(0,BH129-SUMIF($F$5:F128,F129,$BJ$5:BJ128)))</f>
        <v>69000</v>
      </c>
      <c r="BK129" s="57">
        <f ca="1">(-SUMIF(AS:AS,AS129,BG:BG)+SUMIF(AS:AS,AS129,BJ:BJ))*(AP129=100)*AR129</f>
        <v>0</v>
      </c>
      <c r="BL129" s="57">
        <f ca="1">MAX(0,SUMIF(Invoice!A:A,F129,Invoice!B:B)-SUMIF(F:F,F129,BJ:BJ))*(COUNTIF(F:F,F129)=COUNTIF($F$5:F129,F129))</f>
        <v>0</v>
      </c>
    </row>
    <row r="130" spans="1:64" hidden="1">
      <c r="A130" s="43">
        <v>130</v>
      </c>
      <c r="B130" s="35" t="s">
        <v>147</v>
      </c>
      <c r="C130" s="35" t="s">
        <v>146</v>
      </c>
      <c r="D130" s="35">
        <v>2</v>
      </c>
      <c r="E130" s="35">
        <v>440</v>
      </c>
      <c r="F130" s="64" t="s">
        <v>425</v>
      </c>
      <c r="G130" s="73" t="s">
        <v>426</v>
      </c>
      <c r="H130" s="35"/>
      <c r="I130" s="35" t="s">
        <v>54</v>
      </c>
      <c r="J130" s="35">
        <v>0</v>
      </c>
      <c r="K130" s="35" t="s">
        <v>150</v>
      </c>
      <c r="L130" s="35" t="s">
        <v>53</v>
      </c>
      <c r="M130" s="35">
        <v>14</v>
      </c>
      <c r="N130" s="35">
        <v>14</v>
      </c>
      <c r="O130" s="35">
        <v>1</v>
      </c>
      <c r="P130" s="35"/>
      <c r="Q130" s="35"/>
      <c r="R130" s="35" t="s">
        <v>73</v>
      </c>
      <c r="S130" s="35" t="s">
        <v>73</v>
      </c>
      <c r="T130" s="36">
        <v>44901</v>
      </c>
      <c r="U130" s="36">
        <v>2958465</v>
      </c>
      <c r="V130" s="35" t="s">
        <v>282</v>
      </c>
      <c r="W130" s="35" t="s">
        <v>145</v>
      </c>
      <c r="X130" s="35"/>
      <c r="Y130" s="35" t="s">
        <v>143</v>
      </c>
      <c r="Z130" s="35">
        <v>7589154</v>
      </c>
      <c r="AA130" s="35">
        <v>148</v>
      </c>
      <c r="AB130" s="35">
        <v>74</v>
      </c>
      <c r="AC130" s="35"/>
      <c r="AE130" s="51">
        <f>M130/O130</f>
        <v>14</v>
      </c>
      <c r="AG130" s="6" t="str">
        <f>C130</f>
        <v>90MB1BJ0-C1BAY0</v>
      </c>
      <c r="AH130" s="6" t="str">
        <f>IF($D130&lt;=AH$4,"",IF(AND($D129=AH$4,$D130&gt;AH$4),$F129,AH129))</f>
        <v>59MB1BJB-MB0A02S</v>
      </c>
      <c r="AI130" s="6" t="str">
        <f>IF($D130&lt;=AI$4,"",IF(AND($D129=AI$4,$D130&gt;AI$4),$F129,AI129))</f>
        <v/>
      </c>
      <c r="AJ130" s="6" t="str">
        <f>IF($D130&lt;=AJ$4,"",IF(AND($D129=AJ$4,$D130&gt;AJ$4),$F129,AJ129))</f>
        <v/>
      </c>
      <c r="AK130" s="6" t="str">
        <f>IF($D130&lt;=AK$4,"",IF(AND($D129=AK$4,$D130&gt;AK$4),$F129,AK129))</f>
        <v/>
      </c>
      <c r="AL130" s="6" t="str">
        <f>IF($D130&lt;=AL$4,"",IF(AND($D129=AL$4,$D130&gt;AL$4),$F129,AL129))</f>
        <v/>
      </c>
      <c r="AM130" s="6" t="str">
        <f>IF($D130&lt;=AM$4,"",IF(AND($D129=AM$4,$D130&gt;AM$4),$F129,AM129))</f>
        <v/>
      </c>
      <c r="AN130" s="6" t="str">
        <f>IF($D130&lt;=AN$4,"",IF(AND($D129=AN$4,$D130&gt;AN$4),$F129,AN129))</f>
        <v/>
      </c>
      <c r="AO130" s="6" t="str">
        <f>CONCATENATE(AG130," | ",AH130," | ",AI130," | ",AJ130," | ",AK130," | ",AL130," | ",AM130," | ",AN130)</f>
        <v xml:space="preserve">90MB1BJ0-C1BAY0 | 59MB1BJB-MB0A02S |  |  |  |  |  | </v>
      </c>
      <c r="AP130" s="6">
        <f>IF(TRIM(H130)="",100,J130)</f>
        <v>100</v>
      </c>
      <c r="AQ130" s="4"/>
      <c r="AR130" s="6" t="b">
        <f>NOT(TRIM(W130)&lt;&gt;"F")</f>
        <v>1</v>
      </c>
      <c r="AS130" s="6" t="str">
        <f>$B130&amp;" | "&amp;$AO130&amp;" | "&amp;IF(TRIM(H130)="","uniq"&amp;ROW(),TRIM(H130))</f>
        <v>461E | 90MB1BJ0-C1BAY0 | 59MB1BJB-MB0A02S |  |  |  |  |  |  | uniq130</v>
      </c>
      <c r="AT130" s="63">
        <f>IF(NOT(AR130),IF(TRIM($H130)="","Assembly","Phantom Alt"),VLOOKUP(F130,ZPCS04!B:G,6,0))</f>
        <v>83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1.99999986</v>
      </c>
      <c r="AX130" s="7"/>
      <c r="AY130" s="6" t="b">
        <f>SUMIF(AS:AS,AS130,AP:AP)=100</f>
        <v>1</v>
      </c>
      <c r="AZ130" s="6" t="b">
        <f>SUMIF(AS:AS,AS130,AE:AE)/COUNTIF(AS:AS,AS130)=AE130</f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>C130&amp;" | "&amp;F130</f>
        <v>90MB1BJ0-C1BAY0 | 07005-00273800</v>
      </c>
      <c r="BE130" s="55" t="str">
        <f ca="1">C130&amp;" | "&amp;OFFSET($AF130,0,8-COUNTBLANK($AG130:$AN130))</f>
        <v>90MB1BJ0-C1BAY0 | 59MB1BJB-MB0A02S</v>
      </c>
      <c r="BF130" s="57">
        <f ca="1">IFERROR(VLOOKUP($BE130,$BD$5:$BF129,3,0)*$AE130,VLOOKUP($C130,Demanda!$A:$B,2,0)*$AE130)*IF(AT130="Phantom Alt",$BC130,TRUE)</f>
        <v>14000</v>
      </c>
      <c r="BG130" s="57">
        <f ca="1">BF130*(AP130/100)</f>
        <v>14000</v>
      </c>
      <c r="BH130" s="57">
        <f>SUMIF(Invoice!A:A,F130,Invoice!B:B)</f>
        <v>14000</v>
      </c>
      <c r="BI130" s="57">
        <f ca="1">SUMIF(AS:AS,AS130,BG:BG)</f>
        <v>14000</v>
      </c>
      <c r="BJ130" s="57">
        <f ca="1">MIN((BI130-SUMIF($AS$5:AS129,AS130,$BJ$5:BJ129)),MAX(0,BH130-SUMIF($F$5:F129,F130,$BJ$5:BJ129)))</f>
        <v>14000</v>
      </c>
      <c r="BK130" s="57">
        <f ca="1">(-SUMIF(AS:AS,AS130,BG:BG)+SUMIF(AS:AS,AS130,BJ:BJ))*(AP130=100)*AR130</f>
        <v>0</v>
      </c>
      <c r="BL130" s="57">
        <f ca="1">MAX(0,SUMIF(Invoice!A:A,F130,Invoice!B:B)-SUMIF(F:F,F130,BJ:BJ))*(COUNTIF(F:F,F130)=COUNTIF($F$5:F130,F130))</f>
        <v>0</v>
      </c>
    </row>
    <row r="131" spans="1:64" hidden="1">
      <c r="A131" s="43">
        <v>131</v>
      </c>
      <c r="B131" s="35" t="s">
        <v>147</v>
      </c>
      <c r="C131" s="35" t="s">
        <v>146</v>
      </c>
      <c r="D131" s="35">
        <v>2</v>
      </c>
      <c r="E131" s="35">
        <v>450</v>
      </c>
      <c r="F131" s="64" t="s">
        <v>427</v>
      </c>
      <c r="G131" s="73" t="s">
        <v>428</v>
      </c>
      <c r="H131" s="35">
        <v>45</v>
      </c>
      <c r="I131" s="35" t="s">
        <v>54</v>
      </c>
      <c r="J131" s="35">
        <v>100</v>
      </c>
      <c r="K131" s="35" t="s">
        <v>414</v>
      </c>
      <c r="L131" s="35" t="s">
        <v>53</v>
      </c>
      <c r="M131" s="35">
        <v>14</v>
      </c>
      <c r="N131" s="35">
        <v>14</v>
      </c>
      <c r="O131" s="35">
        <v>1</v>
      </c>
      <c r="P131" s="35">
        <v>2</v>
      </c>
      <c r="Q131" s="35">
        <v>1</v>
      </c>
      <c r="R131" s="35" t="s">
        <v>73</v>
      </c>
      <c r="S131" s="35" t="s">
        <v>73</v>
      </c>
      <c r="T131" s="36">
        <v>44901</v>
      </c>
      <c r="U131" s="36">
        <v>2958465</v>
      </c>
      <c r="V131" s="35" t="s">
        <v>282</v>
      </c>
      <c r="W131" s="35" t="s">
        <v>145</v>
      </c>
      <c r="X131" s="35"/>
      <c r="Y131" s="35" t="s">
        <v>143</v>
      </c>
      <c r="Z131" s="35">
        <v>7589154</v>
      </c>
      <c r="AA131" s="35">
        <v>150</v>
      </c>
      <c r="AB131" s="35">
        <v>75</v>
      </c>
      <c r="AC131" s="35"/>
      <c r="AE131" s="51">
        <f>M131/O131</f>
        <v>14</v>
      </c>
      <c r="AG131" s="6" t="str">
        <f>C131</f>
        <v>90MB1BJ0-C1BAY0</v>
      </c>
      <c r="AH131" s="6" t="str">
        <f>IF($D131&lt;=AH$4,"",IF(AND($D130=AH$4,$D131&gt;AH$4),$F130,AH130))</f>
        <v>59MB1BJB-MB0A02S</v>
      </c>
      <c r="AI131" s="6" t="str">
        <f>IF($D131&lt;=AI$4,"",IF(AND($D130=AI$4,$D131&gt;AI$4),$F130,AI130))</f>
        <v/>
      </c>
      <c r="AJ131" s="6" t="str">
        <f>IF($D131&lt;=AJ$4,"",IF(AND($D130=AJ$4,$D131&gt;AJ$4),$F130,AJ130))</f>
        <v/>
      </c>
      <c r="AK131" s="6" t="str">
        <f>IF($D131&lt;=AK$4,"",IF(AND($D130=AK$4,$D131&gt;AK$4),$F130,AK130))</f>
        <v/>
      </c>
      <c r="AL131" s="6" t="str">
        <f>IF($D131&lt;=AL$4,"",IF(AND($D130=AL$4,$D131&gt;AL$4),$F130,AL130))</f>
        <v/>
      </c>
      <c r="AM131" s="6" t="str">
        <f>IF($D131&lt;=AM$4,"",IF(AND($D130=AM$4,$D131&gt;AM$4),$F130,AM130))</f>
        <v/>
      </c>
      <c r="AN131" s="6" t="str">
        <f>IF($D131&lt;=AN$4,"",IF(AND($D130=AN$4,$D131&gt;AN$4),$F130,AN130))</f>
        <v/>
      </c>
      <c r="AO131" s="6" t="str">
        <f>CONCATENATE(AG131," | ",AH131," | ",AI131," | ",AJ131," | ",AK131," | ",AL131," | ",AM131," | ",AN131)</f>
        <v xml:space="preserve">90MB1BJ0-C1BAY0 | 59MB1BJB-MB0A02S |  |  |  |  |  | </v>
      </c>
      <c r="AP131" s="6">
        <f>IF(TRIM(H131)="",100,J131)</f>
        <v>100</v>
      </c>
      <c r="AQ131" s="4"/>
      <c r="AR131" s="6" t="b">
        <f>NOT(TRIM(W131)&lt;&gt;"F")</f>
        <v>1</v>
      </c>
      <c r="AS131" s="6" t="str">
        <f>$B131&amp;" | "&amp;$AO131&amp;" | "&amp;IF(TRIM(H131)="","uniq"&amp;ROW(),TRIM(H131))</f>
        <v>461E | 90MB1BJ0-C1BAY0 | 59MB1BJB-MB0A02S |  |  |  |  |  |  | 45</v>
      </c>
      <c r="AT131" s="63">
        <f>IF(NOT(AR131),IF(TRIM($H131)="","Assembly","Phantom Alt"),VLOOKUP(F131,ZPCS04!B:G,6,0))</f>
        <v>600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1.99999986</v>
      </c>
      <c r="AX131" s="7"/>
      <c r="AY131" s="6" t="b">
        <f>SUMIF(AS:AS,AS131,AP:AP)=100</f>
        <v>1</v>
      </c>
      <c r="AZ131" s="6" t="b">
        <f>SUMIF(AS:AS,AS131,AE:AE)/COUNTIF(AS:AS,AS131)=AE131</f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>C131&amp;" | "&amp;F131</f>
        <v>90MB1BJ0-C1BAY0 | 07005-00660500</v>
      </c>
      <c r="BE131" s="55" t="str">
        <f ca="1">C131&amp;" | "&amp;OFFSET($AF131,0,8-COUNTBLANK($AG131:$AN131))</f>
        <v>90MB1BJ0-C1BAY0 | 59MB1BJB-MB0A02S</v>
      </c>
      <c r="BF131" s="57">
        <f ca="1">IFERROR(VLOOKUP($BE131,$BD$5:$BF130,3,0)*$AE131,VLOOKUP($C131,Demanda!$A:$B,2,0)*$AE131)*IF(AT131="Phantom Alt",$BC131,TRUE)</f>
        <v>14000</v>
      </c>
      <c r="BG131" s="57">
        <f ca="1">BF131*(AP131/100)</f>
        <v>14000</v>
      </c>
      <c r="BH131" s="57">
        <f>SUMIF(Invoice!A:A,F131,Invoice!B:B)</f>
        <v>14000</v>
      </c>
      <c r="BI131" s="57">
        <f ca="1">SUMIF(AS:AS,AS131,BG:BG)</f>
        <v>14000</v>
      </c>
      <c r="BJ131" s="57">
        <f ca="1">MIN((BI131-SUMIF($AS$5:AS130,AS131,$BJ$5:BJ130)),MAX(0,BH131-SUMIF($F$5:F130,F131,$BJ$5:BJ130)))</f>
        <v>14000</v>
      </c>
      <c r="BK131" s="57">
        <f ca="1">(-SUMIF(AS:AS,AS131,BG:BG)+SUMIF(AS:AS,AS131,BJ:BJ))*(AP131=100)*AR131</f>
        <v>0</v>
      </c>
      <c r="BL131" s="57">
        <f ca="1">MAX(0,SUMIF(Invoice!A:A,F131,Invoice!B:B)-SUMIF(F:F,F131,BJ:BJ))*(COUNTIF(F:F,F131)=COUNTIF($F$5:F131,F131))</f>
        <v>0</v>
      </c>
    </row>
    <row r="132" spans="1:64" hidden="1">
      <c r="A132" s="43">
        <v>132</v>
      </c>
      <c r="B132" s="35" t="s">
        <v>147</v>
      </c>
      <c r="C132" s="35" t="s">
        <v>146</v>
      </c>
      <c r="D132" s="35">
        <v>2</v>
      </c>
      <c r="E132" s="35">
        <v>450</v>
      </c>
      <c r="F132" s="64" t="s">
        <v>429</v>
      </c>
      <c r="G132" s="73" t="s">
        <v>430</v>
      </c>
      <c r="H132" s="35">
        <v>45</v>
      </c>
      <c r="I132" s="35" t="s">
        <v>55</v>
      </c>
      <c r="J132" s="35">
        <v>0</v>
      </c>
      <c r="K132" s="35" t="s">
        <v>150</v>
      </c>
      <c r="L132" s="35" t="s">
        <v>53</v>
      </c>
      <c r="M132" s="35">
        <v>14</v>
      </c>
      <c r="N132" s="35"/>
      <c r="O132" s="35">
        <v>1</v>
      </c>
      <c r="P132" s="35">
        <v>2</v>
      </c>
      <c r="Q132" s="35">
        <v>2</v>
      </c>
      <c r="R132" s="35" t="s">
        <v>73</v>
      </c>
      <c r="S132" s="35" t="s">
        <v>73</v>
      </c>
      <c r="T132" s="36">
        <v>44901</v>
      </c>
      <c r="U132" s="36">
        <v>2958465</v>
      </c>
      <c r="V132" s="35" t="s">
        <v>282</v>
      </c>
      <c r="W132" s="35" t="s">
        <v>145</v>
      </c>
      <c r="X132" s="35"/>
      <c r="Y132" s="35" t="s">
        <v>143</v>
      </c>
      <c r="Z132" s="35">
        <v>7589154</v>
      </c>
      <c r="AA132" s="35">
        <v>152</v>
      </c>
      <c r="AB132" s="35">
        <v>76</v>
      </c>
      <c r="AC132" s="35"/>
      <c r="AE132" s="51">
        <f>M132/O132</f>
        <v>14</v>
      </c>
      <c r="AG132" s="6" t="str">
        <f>C132</f>
        <v>90MB1BJ0-C1BAY0</v>
      </c>
      <c r="AH132" s="6" t="str">
        <f>IF($D132&lt;=AH$4,"",IF(AND($D131=AH$4,$D132&gt;AH$4),$F131,AH131))</f>
        <v>59MB1BJB-MB0A02S</v>
      </c>
      <c r="AI132" s="6" t="str">
        <f>IF($D132&lt;=AI$4,"",IF(AND($D131=AI$4,$D132&gt;AI$4),$F131,AI131))</f>
        <v/>
      </c>
      <c r="AJ132" s="6" t="str">
        <f>IF($D132&lt;=AJ$4,"",IF(AND($D131=AJ$4,$D132&gt;AJ$4),$F131,AJ131))</f>
        <v/>
      </c>
      <c r="AK132" s="6" t="str">
        <f>IF($D132&lt;=AK$4,"",IF(AND($D131=AK$4,$D132&gt;AK$4),$F131,AK131))</f>
        <v/>
      </c>
      <c r="AL132" s="6" t="str">
        <f>IF($D132&lt;=AL$4,"",IF(AND($D131=AL$4,$D132&gt;AL$4),$F131,AL131))</f>
        <v/>
      </c>
      <c r="AM132" s="6" t="str">
        <f>IF($D132&lt;=AM$4,"",IF(AND($D131=AM$4,$D132&gt;AM$4),$F131,AM131))</f>
        <v/>
      </c>
      <c r="AN132" s="6" t="str">
        <f>IF($D132&lt;=AN$4,"",IF(AND($D131=AN$4,$D132&gt;AN$4),$F131,AN131))</f>
        <v/>
      </c>
      <c r="AO132" s="6" t="str">
        <f>CONCATENATE(AG132," | ",AH132," | ",AI132," | ",AJ132," | ",AK132," | ",AL132," | ",AM132," | ",AN132)</f>
        <v xml:space="preserve">90MB1BJ0-C1BAY0 | 59MB1BJB-MB0A02S |  |  |  |  |  | </v>
      </c>
      <c r="AP132" s="6">
        <f>IF(TRIM(H132)="",100,J132)</f>
        <v>0</v>
      </c>
      <c r="AQ132" s="4"/>
      <c r="AR132" s="6" t="b">
        <f>NOT(TRIM(W132)&lt;&gt;"F")</f>
        <v>1</v>
      </c>
      <c r="AS132" s="6" t="str">
        <f>$B132&amp;" | "&amp;$AO132&amp;" | "&amp;IF(TRIM(H132)="","uniq"&amp;ROW(),TRIM(H132))</f>
        <v>461E | 90MB1BJ0-C1BAY0 | 59MB1BJB-MB0A02S |  |  |  |  |  |  | 45</v>
      </c>
      <c r="AT132" s="63">
        <f>IF(NOT(AR132),IF(TRIM($H132)="","Assembly","Phantom Alt"),VLOOKUP(F132,ZPCS04!B:G,6,0))</f>
        <v>600</v>
      </c>
      <c r="AU132" s="7"/>
      <c r="AV132" s="38">
        <f ca="1">IF(TRIM($W132)="F",OFFSET($A$5,MATCH($AS132,$AS$5:$AS132,0)-1,0),$A132)</f>
        <v>131</v>
      </c>
      <c r="AW132" s="38">
        <f ca="1">IFERROR(OFFSET(ZPCS04!$A$1,MATCH(F132,ZPCS04!B:B,0)-1,0),100)</f>
        <v>2</v>
      </c>
      <c r="AX132" s="7"/>
      <c r="AY132" s="6" t="b">
        <f>SUMIF(AS:AS,AS132,AP:AP)=100</f>
        <v>1</v>
      </c>
      <c r="AZ132" s="6" t="b">
        <f>SUMIF(AS:AS,AS132,AE:AE)/COUNTIF(AS:AS,AS132)=AE132</f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>C132&amp;" | "&amp;F132</f>
        <v>90MB1BJ0-C1BAY0 | 07G005032410</v>
      </c>
      <c r="BE132" s="55" t="str">
        <f ca="1">C132&amp;" | "&amp;OFFSET($AF132,0,8-COUNTBLANK($AG132:$AN132))</f>
        <v>90MB1BJ0-C1BAY0 | 59MB1BJB-MB0A02S</v>
      </c>
      <c r="BF132" s="57">
        <f ca="1">IFERROR(VLOOKUP($BE132,$BD$5:$BF131,3,0)*$AE132,VLOOKUP($C132,Demanda!$A:$B,2,0)*$AE132)*IF(AT132="Phantom Alt",$BC132,TRUE)</f>
        <v>14000</v>
      </c>
      <c r="BG132" s="57">
        <f ca="1">BF132*(AP132/100)</f>
        <v>0</v>
      </c>
      <c r="BH132" s="57">
        <f>SUMIF(Invoice!A:A,F132,Invoice!B:B)</f>
        <v>0</v>
      </c>
      <c r="BI132" s="57">
        <f ca="1">SUMIF(AS:AS,AS132,BG:BG)</f>
        <v>14000</v>
      </c>
      <c r="BJ132" s="57">
        <f ca="1">MIN((BI132-SUMIF($AS$5:AS131,AS132,$BJ$5:BJ131)),MAX(0,BH132-SUMIF($F$5:F131,F132,$BJ$5:BJ131)))</f>
        <v>0</v>
      </c>
      <c r="BK132" s="57">
        <f ca="1">(-SUMIF(AS:AS,AS132,BG:BG)+SUMIF(AS:AS,AS132,BJ:BJ))*(AP132=100)*AR132</f>
        <v>0</v>
      </c>
      <c r="BL132" s="57">
        <f ca="1">MAX(0,SUMIF(Invoice!A:A,F132,Invoice!B:B)-SUMIF(F:F,F132,BJ:BJ))*(COUNTIF(F:F,F132)=COUNTIF($F$5:F132,F132))</f>
        <v>0</v>
      </c>
    </row>
    <row r="133" spans="1:64" hidden="1">
      <c r="A133" s="43">
        <v>133</v>
      </c>
      <c r="B133" s="35" t="s">
        <v>147</v>
      </c>
      <c r="C133" s="35" t="s">
        <v>146</v>
      </c>
      <c r="D133" s="35">
        <v>2</v>
      </c>
      <c r="E133" s="35">
        <v>460</v>
      </c>
      <c r="F133" s="64" t="s">
        <v>431</v>
      </c>
      <c r="G133" s="73" t="s">
        <v>432</v>
      </c>
      <c r="H133" s="35">
        <v>46</v>
      </c>
      <c r="I133" s="35" t="s">
        <v>54</v>
      </c>
      <c r="J133" s="35">
        <v>100</v>
      </c>
      <c r="K133" s="35" t="s">
        <v>150</v>
      </c>
      <c r="L133" s="35" t="s">
        <v>53</v>
      </c>
      <c r="M133" s="35">
        <v>2</v>
      </c>
      <c r="N133" s="35">
        <v>2</v>
      </c>
      <c r="O133" s="35">
        <v>1</v>
      </c>
      <c r="P133" s="35">
        <v>2</v>
      </c>
      <c r="Q133" s="35">
        <v>1</v>
      </c>
      <c r="R133" s="35" t="s">
        <v>73</v>
      </c>
      <c r="S133" s="35" t="s">
        <v>73</v>
      </c>
      <c r="T133" s="36">
        <v>44901</v>
      </c>
      <c r="U133" s="36">
        <v>2958465</v>
      </c>
      <c r="V133" s="35" t="s">
        <v>282</v>
      </c>
      <c r="W133" s="35" t="s">
        <v>145</v>
      </c>
      <c r="X133" s="35"/>
      <c r="Y133" s="35" t="s">
        <v>143</v>
      </c>
      <c r="Z133" s="35">
        <v>7589154</v>
      </c>
      <c r="AA133" s="35">
        <v>154</v>
      </c>
      <c r="AB133" s="35">
        <v>77</v>
      </c>
      <c r="AC133" s="35"/>
      <c r="AE133" s="51">
        <f>M133/O133</f>
        <v>2</v>
      </c>
      <c r="AG133" s="6" t="str">
        <f>C133</f>
        <v>90MB1BJ0-C1BAY0</v>
      </c>
      <c r="AH133" s="6" t="str">
        <f>IF($D133&lt;=AH$4,"",IF(AND($D132=AH$4,$D133&gt;AH$4),$F132,AH132))</f>
        <v>59MB1BJB-MB0A02S</v>
      </c>
      <c r="AI133" s="6" t="str">
        <f>IF($D133&lt;=AI$4,"",IF(AND($D132=AI$4,$D133&gt;AI$4),$F132,AI132))</f>
        <v/>
      </c>
      <c r="AJ133" s="6" t="str">
        <f>IF($D133&lt;=AJ$4,"",IF(AND($D132=AJ$4,$D133&gt;AJ$4),$F132,AJ132))</f>
        <v/>
      </c>
      <c r="AK133" s="6" t="str">
        <f>IF($D133&lt;=AK$4,"",IF(AND($D132=AK$4,$D133&gt;AK$4),$F132,AK132))</f>
        <v/>
      </c>
      <c r="AL133" s="6" t="str">
        <f>IF($D133&lt;=AL$4,"",IF(AND($D132=AL$4,$D133&gt;AL$4),$F132,AL132))</f>
        <v/>
      </c>
      <c r="AM133" s="6" t="str">
        <f>IF($D133&lt;=AM$4,"",IF(AND($D132=AM$4,$D133&gt;AM$4),$F132,AM132))</f>
        <v/>
      </c>
      <c r="AN133" s="6" t="str">
        <f>IF($D133&lt;=AN$4,"",IF(AND($D132=AN$4,$D133&gt;AN$4),$F132,AN132))</f>
        <v/>
      </c>
      <c r="AO133" s="6" t="str">
        <f>CONCATENATE(AG133," | ",AH133," | ",AI133," | ",AJ133," | ",AK133," | ",AL133," | ",AM133," | ",AN133)</f>
        <v xml:space="preserve">90MB1BJ0-C1BAY0 | 59MB1BJB-MB0A02S |  |  |  |  |  | </v>
      </c>
      <c r="AP133" s="6">
        <f>IF(TRIM(H133)="",100,J133)</f>
        <v>100</v>
      </c>
      <c r="AQ133" s="4"/>
      <c r="AR133" s="6" t="b">
        <f>NOT(TRIM(W133)&lt;&gt;"F")</f>
        <v>1</v>
      </c>
      <c r="AS133" s="6" t="str">
        <f>$B133&amp;" | "&amp;$AO133&amp;" | "&amp;IF(TRIM(H133)="","uniq"&amp;ROW(),TRIM(H133))</f>
        <v>461E | 90MB1BJ0-C1BAY0 | 59MB1BJB-MB0A02S |  |  |  |  |  |  | 46</v>
      </c>
      <c r="AT133" s="63">
        <f>IF(NOT(AR133),IF(TRIM($H133)="","Assembly","Phantom Alt"),VLOOKUP(F133,ZPCS04!B:G,6,0))</f>
        <v>813</v>
      </c>
      <c r="AU133" s="7"/>
      <c r="AV133" s="38">
        <f ca="1">IF(TRIM($W133)="F",OFFSET($A$5,MATCH($AS133,$AS$5:$AS133,0)-1,0),$A133)</f>
        <v>133</v>
      </c>
      <c r="AW133" s="38">
        <f ca="1">IFERROR(OFFSET(ZPCS04!$A$1,MATCH(F133,ZPCS04!B:B,0)-1,0),100)</f>
        <v>1.9999999800000001</v>
      </c>
      <c r="AX133" s="7"/>
      <c r="AY133" s="6" t="b">
        <f>SUMIF(AS:AS,AS133,AP:AP)=100</f>
        <v>1</v>
      </c>
      <c r="AZ133" s="6" t="b">
        <f>SUMIF(AS:AS,AS133,AE:AE)/COUNTIF(AS:AS,AS133)=AE133</f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>C133&amp;" | "&amp;F133</f>
        <v>90MB1BJ0-C1BAY0 | 07005-00800000</v>
      </c>
      <c r="BE133" s="55" t="str">
        <f ca="1">C133&amp;" | "&amp;OFFSET($AF133,0,8-COUNTBLANK($AG133:$AN133))</f>
        <v>90MB1BJ0-C1BAY0 | 59MB1BJB-MB0A02S</v>
      </c>
      <c r="BF133" s="57">
        <f ca="1">IFERROR(VLOOKUP($BE133,$BD$5:$BF132,3,0)*$AE133,VLOOKUP($C133,Demanda!$A:$B,2,0)*$AE133)*IF(AT133="Phantom Alt",$BC133,TRUE)</f>
        <v>2000</v>
      </c>
      <c r="BG133" s="57">
        <f ca="1">BF133*(AP133/100)</f>
        <v>2000</v>
      </c>
      <c r="BH133" s="57">
        <f>SUMIF(Invoice!A:A,F133,Invoice!B:B)</f>
        <v>2000</v>
      </c>
      <c r="BI133" s="57">
        <f ca="1">SUMIF(AS:AS,AS133,BG:BG)</f>
        <v>2000</v>
      </c>
      <c r="BJ133" s="57">
        <f ca="1">MIN((BI133-SUMIF($AS$5:AS132,AS133,$BJ$5:BJ132)),MAX(0,BH133-SUMIF($F$5:F132,F133,$BJ$5:BJ132)))</f>
        <v>2000</v>
      </c>
      <c r="BK133" s="57">
        <f ca="1">(-SUMIF(AS:AS,AS133,BG:BG)+SUMIF(AS:AS,AS133,BJ:BJ))*(AP133=100)*AR133</f>
        <v>0</v>
      </c>
      <c r="BL133" s="57">
        <f ca="1">MAX(0,SUMIF(Invoice!A:A,F133,Invoice!B:B)-SUMIF(F:F,F133,BJ:BJ))*(COUNTIF(F:F,F133)=COUNTIF($F$5:F133,F133))</f>
        <v>0</v>
      </c>
    </row>
    <row r="134" spans="1:64" hidden="1">
      <c r="A134" s="43">
        <v>134</v>
      </c>
      <c r="B134" s="35" t="s">
        <v>147</v>
      </c>
      <c r="C134" s="35" t="s">
        <v>146</v>
      </c>
      <c r="D134" s="35">
        <v>2</v>
      </c>
      <c r="E134" s="35">
        <v>460</v>
      </c>
      <c r="F134" s="64" t="s">
        <v>433</v>
      </c>
      <c r="G134" s="73" t="s">
        <v>434</v>
      </c>
      <c r="H134" s="35">
        <v>46</v>
      </c>
      <c r="I134" s="35" t="s">
        <v>55</v>
      </c>
      <c r="J134" s="35">
        <v>0</v>
      </c>
      <c r="K134" s="35" t="s">
        <v>150</v>
      </c>
      <c r="L134" s="35" t="s">
        <v>53</v>
      </c>
      <c r="M134" s="35">
        <v>2</v>
      </c>
      <c r="N134" s="35"/>
      <c r="O134" s="35">
        <v>1</v>
      </c>
      <c r="P134" s="35">
        <v>2</v>
      </c>
      <c r="Q134" s="35">
        <v>2</v>
      </c>
      <c r="R134" s="35" t="s">
        <v>73</v>
      </c>
      <c r="S134" s="35" t="s">
        <v>73</v>
      </c>
      <c r="T134" s="36">
        <v>44901</v>
      </c>
      <c r="U134" s="36">
        <v>2958465</v>
      </c>
      <c r="V134" s="35" t="s">
        <v>282</v>
      </c>
      <c r="W134" s="35" t="s">
        <v>145</v>
      </c>
      <c r="X134" s="35"/>
      <c r="Y134" s="35" t="s">
        <v>143</v>
      </c>
      <c r="Z134" s="35">
        <v>7589154</v>
      </c>
      <c r="AA134" s="35">
        <v>156</v>
      </c>
      <c r="AB134" s="35">
        <v>78</v>
      </c>
      <c r="AC134" s="35"/>
      <c r="AE134" s="51">
        <f>M134/O134</f>
        <v>2</v>
      </c>
      <c r="AG134" s="6" t="str">
        <f>C134</f>
        <v>90MB1BJ0-C1BAY0</v>
      </c>
      <c r="AH134" s="6" t="str">
        <f>IF($D134&lt;=AH$4,"",IF(AND($D133=AH$4,$D134&gt;AH$4),$F133,AH133))</f>
        <v>59MB1BJB-MB0A02S</v>
      </c>
      <c r="AI134" s="6" t="str">
        <f>IF($D134&lt;=AI$4,"",IF(AND($D133=AI$4,$D134&gt;AI$4),$F133,AI133))</f>
        <v/>
      </c>
      <c r="AJ134" s="6" t="str">
        <f>IF($D134&lt;=AJ$4,"",IF(AND($D133=AJ$4,$D134&gt;AJ$4),$F133,AJ133))</f>
        <v/>
      </c>
      <c r="AK134" s="6" t="str">
        <f>IF($D134&lt;=AK$4,"",IF(AND($D133=AK$4,$D134&gt;AK$4),$F133,AK133))</f>
        <v/>
      </c>
      <c r="AL134" s="6" t="str">
        <f>IF($D134&lt;=AL$4,"",IF(AND($D133=AL$4,$D134&gt;AL$4),$F133,AL133))</f>
        <v/>
      </c>
      <c r="AM134" s="6" t="str">
        <f>IF($D134&lt;=AM$4,"",IF(AND($D133=AM$4,$D134&gt;AM$4),$F133,AM133))</f>
        <v/>
      </c>
      <c r="AN134" s="6" t="str">
        <f>IF($D134&lt;=AN$4,"",IF(AND($D133=AN$4,$D134&gt;AN$4),$F133,AN133))</f>
        <v/>
      </c>
      <c r="AO134" s="6" t="str">
        <f>CONCATENATE(AG134," | ",AH134," | ",AI134," | ",AJ134," | ",AK134," | ",AL134," | ",AM134," | ",AN134)</f>
        <v xml:space="preserve">90MB1BJ0-C1BAY0 | 59MB1BJB-MB0A02S |  |  |  |  |  | </v>
      </c>
      <c r="AP134" s="6">
        <f>IF(TRIM(H134)="",100,J134)</f>
        <v>0</v>
      </c>
      <c r="AQ134" s="4"/>
      <c r="AR134" s="6" t="b">
        <f>NOT(TRIM(W134)&lt;&gt;"F")</f>
        <v>1</v>
      </c>
      <c r="AS134" s="6" t="str">
        <f>$B134&amp;" | "&amp;$AO134&amp;" | "&amp;IF(TRIM(H134)="","uniq"&amp;ROW(),TRIM(H134))</f>
        <v>461E | 90MB1BJ0-C1BAY0 | 59MB1BJB-MB0A02S |  |  |  |  |  |  | 46</v>
      </c>
      <c r="AT134" s="63">
        <f>IF(NOT(AR134),IF(TRIM($H134)="","Assembly","Phantom Alt"),VLOOKUP(F134,ZPCS04!B:G,6,0))</f>
        <v>813</v>
      </c>
      <c r="AU134" s="7"/>
      <c r="AV134" s="38">
        <f ca="1">IF(TRIM($W134)="F",OFFSET($A$5,MATCH($AS134,$AS$5:$AS134,0)-1,0),$A134)</f>
        <v>133</v>
      </c>
      <c r="AW134" s="38">
        <f ca="1">IFERROR(OFFSET(ZPCS04!$A$1,MATCH(F134,ZPCS04!B:B,0)-1,0),100)</f>
        <v>2</v>
      </c>
      <c r="AX134" s="7"/>
      <c r="AY134" s="6" t="b">
        <f>SUMIF(AS:AS,AS134,AP:AP)=100</f>
        <v>1</v>
      </c>
      <c r="AZ134" s="6" t="b">
        <f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>C134&amp;" | "&amp;F134</f>
        <v>90MB1BJ0-C1BAY0 | 07005-04030000</v>
      </c>
      <c r="BE134" s="55" t="str">
        <f ca="1">C134&amp;" | "&amp;OFFSET($AF134,0,8-COUNTBLANK($AG134:$AN134))</f>
        <v>90MB1BJ0-C1BAY0 | 59MB1BJB-MB0A02S</v>
      </c>
      <c r="BF134" s="57">
        <f ca="1">IFERROR(VLOOKUP($BE134,$BD$5:$BF133,3,0)*$AE134,VLOOKUP($C134,Demanda!$A:$B,2,0)*$AE134)*IF(AT134="Phantom Alt",$BC134,TRUE)</f>
        <v>2000</v>
      </c>
      <c r="BG134" s="57">
        <f ca="1">BF134*(AP134/100)</f>
        <v>0</v>
      </c>
      <c r="BH134" s="57">
        <f>SUMIF(Invoice!A:A,F134,Invoice!B:B)</f>
        <v>0</v>
      </c>
      <c r="BI134" s="57">
        <f ca="1">SUMIF(AS:AS,AS134,BG:BG)</f>
        <v>2000</v>
      </c>
      <c r="BJ134" s="57">
        <f ca="1">MIN((BI134-SUMIF($AS$5:AS133,AS134,$BJ$5:BJ133)),MAX(0,BH134-SUMIF($F$5:F133,F134,$BJ$5:BJ133)))</f>
        <v>0</v>
      </c>
      <c r="BK134" s="57">
        <f ca="1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</row>
    <row r="135" spans="1:64" hidden="1">
      <c r="A135" s="43">
        <v>135</v>
      </c>
      <c r="B135" s="35" t="s">
        <v>147</v>
      </c>
      <c r="C135" s="35" t="s">
        <v>146</v>
      </c>
      <c r="D135" s="35">
        <v>2</v>
      </c>
      <c r="E135" s="35">
        <v>460</v>
      </c>
      <c r="F135" s="64" t="s">
        <v>435</v>
      </c>
      <c r="G135" s="73" t="s">
        <v>436</v>
      </c>
      <c r="H135" s="35">
        <v>46</v>
      </c>
      <c r="I135" s="35" t="s">
        <v>55</v>
      </c>
      <c r="J135" s="35">
        <v>0</v>
      </c>
      <c r="K135" s="35" t="s">
        <v>150</v>
      </c>
      <c r="L135" s="35" t="s">
        <v>53</v>
      </c>
      <c r="M135" s="35">
        <v>2</v>
      </c>
      <c r="N135" s="35"/>
      <c r="O135" s="35">
        <v>1</v>
      </c>
      <c r="P135" s="35">
        <v>2</v>
      </c>
      <c r="Q135" s="35">
        <v>3</v>
      </c>
      <c r="R135" s="35" t="s">
        <v>73</v>
      </c>
      <c r="S135" s="35" t="s">
        <v>73</v>
      </c>
      <c r="T135" s="36">
        <v>44901</v>
      </c>
      <c r="U135" s="36">
        <v>2958465</v>
      </c>
      <c r="V135" s="35" t="s">
        <v>282</v>
      </c>
      <c r="W135" s="35" t="s">
        <v>145</v>
      </c>
      <c r="X135" s="35"/>
      <c r="Y135" s="35" t="s">
        <v>143</v>
      </c>
      <c r="Z135" s="35">
        <v>7589154</v>
      </c>
      <c r="AA135" s="35">
        <v>158</v>
      </c>
      <c r="AB135" s="35">
        <v>79</v>
      </c>
      <c r="AC135" s="35"/>
      <c r="AE135" s="51">
        <f>M135/O135</f>
        <v>2</v>
      </c>
      <c r="AG135" s="6" t="str">
        <f>C135</f>
        <v>90MB1BJ0-C1BAY0</v>
      </c>
      <c r="AH135" s="6" t="str">
        <f>IF($D135&lt;=AH$4,"",IF(AND($D134=AH$4,$D135&gt;AH$4),$F134,AH134))</f>
        <v>59MB1BJB-MB0A02S</v>
      </c>
      <c r="AI135" s="6" t="str">
        <f>IF($D135&lt;=AI$4,"",IF(AND($D134=AI$4,$D135&gt;AI$4),$F134,AI134))</f>
        <v/>
      </c>
      <c r="AJ135" s="6" t="str">
        <f>IF($D135&lt;=AJ$4,"",IF(AND($D134=AJ$4,$D135&gt;AJ$4),$F134,AJ134))</f>
        <v/>
      </c>
      <c r="AK135" s="6" t="str">
        <f>IF($D135&lt;=AK$4,"",IF(AND($D134=AK$4,$D135&gt;AK$4),$F134,AK134))</f>
        <v/>
      </c>
      <c r="AL135" s="6" t="str">
        <f>IF($D135&lt;=AL$4,"",IF(AND($D134=AL$4,$D135&gt;AL$4),$F134,AL134))</f>
        <v/>
      </c>
      <c r="AM135" s="6" t="str">
        <f>IF($D135&lt;=AM$4,"",IF(AND($D134=AM$4,$D135&gt;AM$4),$F134,AM134))</f>
        <v/>
      </c>
      <c r="AN135" s="6" t="str">
        <f>IF($D135&lt;=AN$4,"",IF(AND($D134=AN$4,$D135&gt;AN$4),$F134,AN134))</f>
        <v/>
      </c>
      <c r="AO135" s="6" t="str">
        <f>CONCATENATE(AG135," | ",AH135," | ",AI135," | ",AJ135," | ",AK135," | ",AL135," | ",AM135," | ",AN135)</f>
        <v xml:space="preserve">90MB1BJ0-C1BAY0 | 59MB1BJB-MB0A02S |  |  |  |  |  | </v>
      </c>
      <c r="AP135" s="6">
        <f>IF(TRIM(H135)="",100,J135)</f>
        <v>0</v>
      </c>
      <c r="AQ135" s="4"/>
      <c r="AR135" s="6" t="b">
        <f>NOT(TRIM(W135)&lt;&gt;"F")</f>
        <v>1</v>
      </c>
      <c r="AS135" s="6" t="str">
        <f>$B135&amp;" | "&amp;$AO135&amp;" | "&amp;IF(TRIM(H135)="","uniq"&amp;ROW(),TRIM(H135))</f>
        <v>461E | 90MB1BJ0-C1BAY0 | 59MB1BJB-MB0A02S |  |  |  |  |  |  | 46</v>
      </c>
      <c r="AT135" s="63">
        <f>IF(NOT(AR135),IF(TRIM($H135)="","Assembly","Phantom Alt"),VLOOKUP(F135,ZPCS04!B:G,6,0))</f>
        <v>813</v>
      </c>
      <c r="AU135" s="7"/>
      <c r="AV135" s="38">
        <f ca="1">IF(TRIM($W135)="F",OFFSET($A$5,MATCH($AS135,$AS$5:$AS135,0)-1,0),$A135)</f>
        <v>133</v>
      </c>
      <c r="AW135" s="38">
        <f ca="1">IFERROR(OFFSET(ZPCS04!$A$1,MATCH(F135,ZPCS04!B:B,0)-1,0),100)</f>
        <v>2</v>
      </c>
      <c r="AX135" s="7"/>
      <c r="AY135" s="6" t="b">
        <f>SUMIF(AS:AS,AS135,AP:AP)=100</f>
        <v>1</v>
      </c>
      <c r="AZ135" s="6" t="b">
        <f>SUMIF(AS:AS,AS135,AE:AE)/COUNTIF(AS:AS,AS135)=AE135</f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>C135&amp;" | "&amp;F135</f>
        <v>90MB1BJ0-C1BAY0 | 07005-A0870000</v>
      </c>
      <c r="BE135" s="55" t="str">
        <f ca="1">C135&amp;" | "&amp;OFFSET($AF135,0,8-COUNTBLANK($AG135:$AN135))</f>
        <v>90MB1BJ0-C1BAY0 | 59MB1BJB-MB0A02S</v>
      </c>
      <c r="BF135" s="57">
        <f ca="1">IFERROR(VLOOKUP($BE135,$BD$5:$BF134,3,0)*$AE135,VLOOKUP($C135,Demanda!$A:$B,2,0)*$AE135)*IF(AT135="Phantom Alt",$BC135,TRUE)</f>
        <v>2000</v>
      </c>
      <c r="BG135" s="57">
        <f ca="1">BF135*(AP135/100)</f>
        <v>0</v>
      </c>
      <c r="BH135" s="57">
        <f>SUMIF(Invoice!A:A,F135,Invoice!B:B)</f>
        <v>0</v>
      </c>
      <c r="BI135" s="57">
        <f ca="1">SUMIF(AS:AS,AS135,BG:BG)</f>
        <v>2000</v>
      </c>
      <c r="BJ135" s="57">
        <f ca="1">MIN((BI135-SUMIF($AS$5:AS134,AS135,$BJ$5:BJ134)),MAX(0,BH135-SUMIF($F$5:F134,F135,$BJ$5:BJ134)))</f>
        <v>0</v>
      </c>
      <c r="BK135" s="57">
        <f ca="1">(-SUMIF(AS:AS,AS135,BG:BG)+SUMIF(AS:AS,AS135,BJ:BJ))*(AP135=100)*AR135</f>
        <v>0</v>
      </c>
      <c r="BL135" s="57">
        <f ca="1">MAX(0,SUMIF(Invoice!A:A,F135,Invoice!B:B)-SUMIF(F:F,F135,BJ:BJ))*(COUNTIF(F:F,F135)=COUNTIF($F$5:F135,F135))</f>
        <v>0</v>
      </c>
    </row>
    <row r="136" spans="1:64" hidden="1">
      <c r="A136" s="43">
        <v>137</v>
      </c>
      <c r="B136" s="35" t="s">
        <v>147</v>
      </c>
      <c r="C136" s="35" t="s">
        <v>146</v>
      </c>
      <c r="D136" s="35">
        <v>2</v>
      </c>
      <c r="E136" s="35">
        <v>470</v>
      </c>
      <c r="F136" s="64" t="s">
        <v>439</v>
      </c>
      <c r="G136" s="73" t="s">
        <v>440</v>
      </c>
      <c r="H136" s="35">
        <v>47</v>
      </c>
      <c r="I136" s="35" t="s">
        <v>54</v>
      </c>
      <c r="J136" s="35">
        <v>100</v>
      </c>
      <c r="K136" s="35" t="s">
        <v>150</v>
      </c>
      <c r="L136" s="35" t="s">
        <v>53</v>
      </c>
      <c r="M136" s="35">
        <v>1</v>
      </c>
      <c r="N136" s="35">
        <v>1</v>
      </c>
      <c r="O136" s="35">
        <v>1</v>
      </c>
      <c r="P136" s="35">
        <v>2</v>
      </c>
      <c r="Q136" s="35">
        <v>1</v>
      </c>
      <c r="R136" s="35" t="s">
        <v>73</v>
      </c>
      <c r="S136" s="35" t="s">
        <v>73</v>
      </c>
      <c r="T136" s="36">
        <v>44901</v>
      </c>
      <c r="U136" s="36">
        <v>2958465</v>
      </c>
      <c r="V136" s="35" t="s">
        <v>282</v>
      </c>
      <c r="W136" s="35" t="s">
        <v>145</v>
      </c>
      <c r="X136" s="35"/>
      <c r="Y136" s="35" t="s">
        <v>143</v>
      </c>
      <c r="Z136" s="35">
        <v>7589154</v>
      </c>
      <c r="AA136" s="35">
        <v>160</v>
      </c>
      <c r="AB136" s="35">
        <v>80</v>
      </c>
      <c r="AC136" s="35"/>
      <c r="AE136" s="51">
        <f>M136/O136</f>
        <v>1</v>
      </c>
      <c r="AG136" s="6" t="str">
        <f>C136</f>
        <v>90MB1BJ0-C1BAY0</v>
      </c>
      <c r="AH136" s="6" t="str">
        <f>IF($D136&lt;=AH$4,"",IF(AND($D135=AH$4,$D136&gt;AH$4),$F135,AH135))</f>
        <v>59MB1BJB-MB0A02S</v>
      </c>
      <c r="AI136" s="6" t="str">
        <f>IF($D136&lt;=AI$4,"",IF(AND($D135=AI$4,$D136&gt;AI$4),$F135,AI135))</f>
        <v/>
      </c>
      <c r="AJ136" s="6" t="str">
        <f>IF($D136&lt;=AJ$4,"",IF(AND($D135=AJ$4,$D136&gt;AJ$4),$F135,AJ135))</f>
        <v/>
      </c>
      <c r="AK136" s="6" t="str">
        <f>IF($D136&lt;=AK$4,"",IF(AND($D135=AK$4,$D136&gt;AK$4),$F135,AK135))</f>
        <v/>
      </c>
      <c r="AL136" s="6" t="str">
        <f>IF($D136&lt;=AL$4,"",IF(AND($D135=AL$4,$D136&gt;AL$4),$F135,AL135))</f>
        <v/>
      </c>
      <c r="AM136" s="6" t="str">
        <f>IF($D136&lt;=AM$4,"",IF(AND($D135=AM$4,$D136&gt;AM$4),$F135,AM135))</f>
        <v/>
      </c>
      <c r="AN136" s="6" t="str">
        <f>IF($D136&lt;=AN$4,"",IF(AND($D135=AN$4,$D136&gt;AN$4),$F135,AN135))</f>
        <v/>
      </c>
      <c r="AO136" s="6" t="str">
        <f>CONCATENATE(AG136," | ",AH136," | ",AI136," | ",AJ136," | ",AK136," | ",AL136," | ",AM136," | ",AN136)</f>
        <v xml:space="preserve">90MB1BJ0-C1BAY0 | 59MB1BJB-MB0A02S |  |  |  |  |  | </v>
      </c>
      <c r="AP136" s="6">
        <f>IF(TRIM(H136)="",100,J136)</f>
        <v>100</v>
      </c>
      <c r="AQ136" s="4"/>
      <c r="AR136" s="6" t="b">
        <f>NOT(TRIM(W136)&lt;&gt;"F")</f>
        <v>1</v>
      </c>
      <c r="AS136" s="6" t="str">
        <f>$B136&amp;" | "&amp;$AO136&amp;" | "&amp;IF(TRIM(H136)="","uniq"&amp;ROW(),TRIM(H136))</f>
        <v>461E | 90MB1BJ0-C1BAY0 | 59MB1BJB-MB0A02S |  |  |  |  |  |  | 47</v>
      </c>
      <c r="AT136" s="63">
        <f>IF(NOT(AR136),IF(TRIM($H136)="","Assembly","Phantom Alt"),VLOOKUP(F136,ZPCS04!B:G,6,0))</f>
        <v>597</v>
      </c>
      <c r="AU136" s="7"/>
      <c r="AV136" s="38">
        <f ca="1">IF(TRIM($W136)="F",OFFSET($A$5,MATCH($AS136,$AS$5:$AS136,0)-1,0),$A136)</f>
        <v>137</v>
      </c>
      <c r="AW136" s="38">
        <f ca="1">IFERROR(OFFSET(ZPCS04!$A$1,MATCH(F136,ZPCS04!B:B,0)-1,0),100)</f>
        <v>1.9999999900000001</v>
      </c>
      <c r="AX136" s="7"/>
      <c r="AY136" s="6" t="b">
        <f>SUMIF(AS:AS,AS136,AP:AP)=100</f>
        <v>1</v>
      </c>
      <c r="AZ136" s="6" t="b">
        <f>SUMIF(AS:AS,AS136,AE:AE)/COUNTIF(AS:AS,AS136)=AE136</f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>C136&amp;" | "&amp;F136</f>
        <v>90MB1BJ0-C1BAY0 | 07005-01550000</v>
      </c>
      <c r="BE136" s="55" t="str">
        <f ca="1">C136&amp;" | "&amp;OFFSET($AF136,0,8-COUNTBLANK($AG136:$AN136))</f>
        <v>90MB1BJ0-C1BAY0 | 59MB1BJB-MB0A02S</v>
      </c>
      <c r="BF136" s="57">
        <f ca="1">IFERROR(VLOOKUP($BE136,$BD$5:$BF135,3,0)*$AE136,VLOOKUP($C136,Demanda!$A:$B,2,0)*$AE136)*IF(AT136="Phantom Alt",$BC136,TRUE)</f>
        <v>1000</v>
      </c>
      <c r="BG136" s="57">
        <f ca="1">BF136*(AP136/100)</f>
        <v>1000</v>
      </c>
      <c r="BH136" s="57">
        <f>SUMIF(Invoice!A:A,F136,Invoice!B:B)</f>
        <v>1000</v>
      </c>
      <c r="BI136" s="57">
        <f ca="1">SUMIF(AS:AS,AS136,BG:BG)</f>
        <v>1000</v>
      </c>
      <c r="BJ136" s="57">
        <f ca="1">MIN((BI136-SUMIF($AS$5:AS135,AS136,$BJ$5:BJ135)),MAX(0,BH136-SUMIF($F$5:F135,F136,$BJ$5:BJ135)))</f>
        <v>1000</v>
      </c>
      <c r="BK136" s="57">
        <f ca="1">(-SUMIF(AS:AS,AS136,BG:BG)+SUMIF(AS:AS,AS136,BJ:BJ))*(AP136=100)*AR136</f>
        <v>0</v>
      </c>
      <c r="BL136" s="57">
        <f ca="1">MAX(0,SUMIF(Invoice!A:A,F136,Invoice!B:B)-SUMIF(F:F,F136,BJ:BJ))*(COUNTIF(F:F,F136)=COUNTIF($F$5:F136,F136))</f>
        <v>0</v>
      </c>
    </row>
    <row r="137" spans="1:64" hidden="1">
      <c r="A137" s="43">
        <v>136</v>
      </c>
      <c r="B137" s="35" t="s">
        <v>147</v>
      </c>
      <c r="C137" s="35" t="s">
        <v>146</v>
      </c>
      <c r="D137" s="35">
        <v>2</v>
      </c>
      <c r="E137" s="35">
        <v>470</v>
      </c>
      <c r="F137" s="64" t="s">
        <v>437</v>
      </c>
      <c r="G137" s="73" t="s">
        <v>438</v>
      </c>
      <c r="H137" s="35">
        <v>47</v>
      </c>
      <c r="I137" s="35" t="s">
        <v>55</v>
      </c>
      <c r="J137" s="35">
        <v>0</v>
      </c>
      <c r="K137" s="35" t="s">
        <v>150</v>
      </c>
      <c r="L137" s="35" t="s">
        <v>53</v>
      </c>
      <c r="M137" s="35">
        <v>1</v>
      </c>
      <c r="N137" s="35"/>
      <c r="O137" s="35">
        <v>1</v>
      </c>
      <c r="P137" s="35">
        <v>2</v>
      </c>
      <c r="Q137" s="35">
        <v>2</v>
      </c>
      <c r="R137" s="35" t="s">
        <v>73</v>
      </c>
      <c r="S137" s="35" t="s">
        <v>73</v>
      </c>
      <c r="T137" s="36">
        <v>44901</v>
      </c>
      <c r="U137" s="36">
        <v>2958465</v>
      </c>
      <c r="V137" s="35" t="s">
        <v>282</v>
      </c>
      <c r="W137" s="35" t="s">
        <v>145</v>
      </c>
      <c r="X137" s="35"/>
      <c r="Y137" s="35" t="s">
        <v>143</v>
      </c>
      <c r="Z137" s="35">
        <v>7589154</v>
      </c>
      <c r="AA137" s="35">
        <v>162</v>
      </c>
      <c r="AB137" s="35">
        <v>81</v>
      </c>
      <c r="AC137" s="35"/>
      <c r="AE137" s="51">
        <f>M137/O137</f>
        <v>1</v>
      </c>
      <c r="AG137" s="6" t="str">
        <f>C137</f>
        <v>90MB1BJ0-C1BAY0</v>
      </c>
      <c r="AH137" s="6" t="str">
        <f>IF($D137&lt;=AH$4,"",IF(AND($D136=AH$4,$D137&gt;AH$4),$F136,AH136))</f>
        <v>59MB1BJB-MB0A02S</v>
      </c>
      <c r="AI137" s="6" t="str">
        <f>IF($D137&lt;=AI$4,"",IF(AND($D136=AI$4,$D137&gt;AI$4),$F136,AI136))</f>
        <v/>
      </c>
      <c r="AJ137" s="6" t="str">
        <f>IF($D137&lt;=AJ$4,"",IF(AND($D136=AJ$4,$D137&gt;AJ$4),$F136,AJ136))</f>
        <v/>
      </c>
      <c r="AK137" s="6" t="str">
        <f>IF($D137&lt;=AK$4,"",IF(AND($D136=AK$4,$D137&gt;AK$4),$F136,AK136))</f>
        <v/>
      </c>
      <c r="AL137" s="6" t="str">
        <f>IF($D137&lt;=AL$4,"",IF(AND($D136=AL$4,$D137&gt;AL$4),$F136,AL136))</f>
        <v/>
      </c>
      <c r="AM137" s="6" t="str">
        <f>IF($D137&lt;=AM$4,"",IF(AND($D136=AM$4,$D137&gt;AM$4),$F136,AM136))</f>
        <v/>
      </c>
      <c r="AN137" s="6" t="str">
        <f>IF($D137&lt;=AN$4,"",IF(AND($D136=AN$4,$D137&gt;AN$4),$F136,AN136))</f>
        <v/>
      </c>
      <c r="AO137" s="6" t="str">
        <f>CONCATENATE(AG137," | ",AH137," | ",AI137," | ",AJ137," | ",AK137," | ",AL137," | ",AM137," | ",AN137)</f>
        <v xml:space="preserve">90MB1BJ0-C1BAY0 | 59MB1BJB-MB0A02S |  |  |  |  |  | </v>
      </c>
      <c r="AP137" s="6">
        <f>IF(TRIM(H137)="",100,J137)</f>
        <v>0</v>
      </c>
      <c r="AQ137" s="4"/>
      <c r="AR137" s="6" t="b">
        <f>NOT(TRIM(W137)&lt;&gt;"F")</f>
        <v>1</v>
      </c>
      <c r="AS137" s="6" t="str">
        <f>$B137&amp;" | "&amp;$AO137&amp;" | "&amp;IF(TRIM(H137)="","uniq"&amp;ROW(),TRIM(H137))</f>
        <v>461E | 90MB1BJ0-C1BAY0 | 59MB1BJB-MB0A02S |  |  |  |  |  |  | 47</v>
      </c>
      <c r="AT137" s="63">
        <f>IF(NOT(AR137),IF(TRIM($H137)="","Assembly","Phantom Alt"),VLOOKUP(F137,ZPCS04!B:G,6,0))</f>
        <v>597</v>
      </c>
      <c r="AU137" s="7"/>
      <c r="AV137" s="38">
        <f ca="1">IF(TRIM($W137)="F",OFFSET($A$5,MATCH($AS137,$AS$5:$AS137,0)-1,0),$A137)</f>
        <v>137</v>
      </c>
      <c r="AW137" s="38">
        <f ca="1">IFERROR(OFFSET(ZPCS04!$A$1,MATCH(F137,ZPCS04!B:B,0)-1,0),100)</f>
        <v>2</v>
      </c>
      <c r="AX137" s="7"/>
      <c r="AY137" s="6" t="b">
        <f>SUMIF(AS:AS,AS137,AP:AP)=100</f>
        <v>1</v>
      </c>
      <c r="AZ137" s="6" t="b">
        <f>SUMIF(AS:AS,AS137,AE:AE)/COUNTIF(AS:AS,AS137)=AE137</f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>C137&amp;" | "&amp;F137</f>
        <v>90MB1BJ0-C1BAY0 | 07005-00740000</v>
      </c>
      <c r="BE137" s="55" t="str">
        <f ca="1">C137&amp;" | "&amp;OFFSET($AF137,0,8-COUNTBLANK($AG137:$AN137))</f>
        <v>90MB1BJ0-C1BAY0 | 59MB1BJB-MB0A02S</v>
      </c>
      <c r="BF137" s="57">
        <f ca="1">IFERROR(VLOOKUP($BE137,$BD$5:$BF136,3,0)*$AE137,VLOOKUP($C137,Demanda!$A:$B,2,0)*$AE137)*IF(AT137="Phantom Alt",$BC137,TRUE)</f>
        <v>1000</v>
      </c>
      <c r="BG137" s="57">
        <f ca="1">BF137*(AP137/100)</f>
        <v>0</v>
      </c>
      <c r="BH137" s="57">
        <f>SUMIF(Invoice!A:A,F137,Invoice!B:B)</f>
        <v>0</v>
      </c>
      <c r="BI137" s="57">
        <f ca="1">SUMIF(AS:AS,AS137,BG:BG)</f>
        <v>1000</v>
      </c>
      <c r="BJ137" s="57">
        <f ca="1">MIN((BI137-SUMIF($AS$5:AS136,AS137,$BJ$5:BJ136)),MAX(0,BH137-SUMIF($F$5:F136,F137,$BJ$5:BJ136)))</f>
        <v>0</v>
      </c>
      <c r="BK137" s="57">
        <f ca="1">(-SUMIF(AS:AS,AS137,BG:BG)+SUMIF(AS:AS,AS137,BJ:BJ))*(AP137=100)*AR137</f>
        <v>0</v>
      </c>
      <c r="BL137" s="57">
        <f ca="1">MAX(0,SUMIF(Invoice!A:A,F137,Invoice!B:B)-SUMIF(F:F,F137,BJ:BJ))*(COUNTIF(F:F,F137)=COUNTIF($F$5:F137,F137))</f>
        <v>0</v>
      </c>
    </row>
    <row r="138" spans="1:64" hidden="1">
      <c r="A138" s="43">
        <v>138</v>
      </c>
      <c r="B138" s="35" t="s">
        <v>147</v>
      </c>
      <c r="C138" s="35" t="s">
        <v>146</v>
      </c>
      <c r="D138" s="35">
        <v>2</v>
      </c>
      <c r="E138" s="35">
        <v>470</v>
      </c>
      <c r="F138" s="64" t="s">
        <v>441</v>
      </c>
      <c r="G138" s="73" t="s">
        <v>442</v>
      </c>
      <c r="H138" s="35">
        <v>47</v>
      </c>
      <c r="I138" s="35" t="s">
        <v>55</v>
      </c>
      <c r="J138" s="35">
        <v>0</v>
      </c>
      <c r="K138" s="35" t="s">
        <v>150</v>
      </c>
      <c r="L138" s="35" t="s">
        <v>53</v>
      </c>
      <c r="M138" s="35">
        <v>1</v>
      </c>
      <c r="N138" s="35"/>
      <c r="O138" s="35">
        <v>1</v>
      </c>
      <c r="P138" s="35">
        <v>2</v>
      </c>
      <c r="Q138" s="35">
        <v>5</v>
      </c>
      <c r="R138" s="35" t="s">
        <v>73</v>
      </c>
      <c r="S138" s="35" t="s">
        <v>73</v>
      </c>
      <c r="T138" s="36">
        <v>44901</v>
      </c>
      <c r="U138" s="36">
        <v>2958465</v>
      </c>
      <c r="V138" s="35" t="s">
        <v>282</v>
      </c>
      <c r="W138" s="35" t="s">
        <v>145</v>
      </c>
      <c r="X138" s="35"/>
      <c r="Y138" s="35" t="s">
        <v>143</v>
      </c>
      <c r="Z138" s="35">
        <v>7589154</v>
      </c>
      <c r="AA138" s="35">
        <v>168</v>
      </c>
      <c r="AB138" s="35">
        <v>84</v>
      </c>
      <c r="AC138" s="35"/>
      <c r="AE138" s="51">
        <f>M138/O138</f>
        <v>1</v>
      </c>
      <c r="AG138" s="6" t="str">
        <f>C138</f>
        <v>90MB1BJ0-C1BAY0</v>
      </c>
      <c r="AH138" s="6" t="str">
        <f>IF($D138&lt;=AH$4,"",IF(AND($D137=AH$4,$D138&gt;AH$4),$F137,AH137))</f>
        <v>59MB1BJB-MB0A02S</v>
      </c>
      <c r="AI138" s="6" t="str">
        <f>IF($D138&lt;=AI$4,"",IF(AND($D137=AI$4,$D138&gt;AI$4),$F137,AI137))</f>
        <v/>
      </c>
      <c r="AJ138" s="6" t="str">
        <f>IF($D138&lt;=AJ$4,"",IF(AND($D137=AJ$4,$D138&gt;AJ$4),$F137,AJ137))</f>
        <v/>
      </c>
      <c r="AK138" s="6" t="str">
        <f>IF($D138&lt;=AK$4,"",IF(AND($D137=AK$4,$D138&gt;AK$4),$F137,AK137))</f>
        <v/>
      </c>
      <c r="AL138" s="6" t="str">
        <f>IF($D138&lt;=AL$4,"",IF(AND($D137=AL$4,$D138&gt;AL$4),$F137,AL137))</f>
        <v/>
      </c>
      <c r="AM138" s="6" t="str">
        <f>IF($D138&lt;=AM$4,"",IF(AND($D137=AM$4,$D138&gt;AM$4),$F137,AM137))</f>
        <v/>
      </c>
      <c r="AN138" s="6" t="str">
        <f>IF($D138&lt;=AN$4,"",IF(AND($D137=AN$4,$D138&gt;AN$4),$F137,AN137))</f>
        <v/>
      </c>
      <c r="AO138" s="6" t="str">
        <f>CONCATENATE(AG138," | ",AH138," | ",AI138," | ",AJ138," | ",AK138," | ",AL138," | ",AM138," | ",AN138)</f>
        <v xml:space="preserve">90MB1BJ0-C1BAY0 | 59MB1BJB-MB0A02S |  |  |  |  |  | </v>
      </c>
      <c r="AP138" s="6">
        <f>IF(TRIM(H138)="",100,J138)</f>
        <v>0</v>
      </c>
      <c r="AQ138" s="4"/>
      <c r="AR138" s="6" t="b">
        <f>NOT(TRIM(W138)&lt;&gt;"F")</f>
        <v>1</v>
      </c>
      <c r="AS138" s="6" t="str">
        <f>$B138&amp;" | "&amp;$AO138&amp;" | "&amp;IF(TRIM(H138)="","uniq"&amp;ROW(),TRIM(H138))</f>
        <v>461E | 90MB1BJ0-C1BAY0 | 59MB1BJB-MB0A02S |  |  |  |  |  |  | 47</v>
      </c>
      <c r="AT138" s="63">
        <f>IF(NOT(AR138),IF(TRIM($H138)="","Assembly","Phantom Alt"),VLOOKUP(F138,ZPCS04!B:G,6,0))</f>
        <v>597</v>
      </c>
      <c r="AU138" s="7"/>
      <c r="AV138" s="38">
        <f ca="1">IF(TRIM($W138)="F",OFFSET($A$5,MATCH($AS138,$AS$5:$AS138,0)-1,0),$A138)</f>
        <v>137</v>
      </c>
      <c r="AW138" s="38">
        <f ca="1">IFERROR(OFFSET(ZPCS04!$A$1,MATCH(F138,ZPCS04!B:B,0)-1,0),100)</f>
        <v>2</v>
      </c>
      <c r="AX138" s="7"/>
      <c r="AY138" s="6" t="b">
        <f>SUMIF(AS:AS,AS138,AP:AP)=100</f>
        <v>1</v>
      </c>
      <c r="AZ138" s="6" t="b">
        <f>SUMIF(AS:AS,AS138,AE:AE)/COUNTIF(AS:AS,AS138)=AE138</f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>C138&amp;" | "&amp;F138</f>
        <v>90MB1BJ0-C1BAY0 | 07005-03440000</v>
      </c>
      <c r="BE138" s="55" t="str">
        <f ca="1">C138&amp;" | "&amp;OFFSET($AF138,0,8-COUNTBLANK($AG138:$AN138))</f>
        <v>90MB1BJ0-C1BAY0 | 59MB1BJB-MB0A02S</v>
      </c>
      <c r="BF138" s="57">
        <f ca="1">IFERROR(VLOOKUP($BE138,$BD$5:$BF137,3,0)*$AE138,VLOOKUP($C138,Demanda!$A:$B,2,0)*$AE138)*IF(AT138="Phantom Alt",$BC138,TRUE)</f>
        <v>1000</v>
      </c>
      <c r="BG138" s="57">
        <f ca="1">BF138*(AP138/100)</f>
        <v>0</v>
      </c>
      <c r="BH138" s="57">
        <f>SUMIF(Invoice!A:A,F138,Invoice!B:B)</f>
        <v>0</v>
      </c>
      <c r="BI138" s="57">
        <f ca="1">SUMIF(AS:AS,AS138,BG:BG)</f>
        <v>1000</v>
      </c>
      <c r="BJ138" s="57">
        <f ca="1">MIN((BI138-SUMIF($AS$5:AS137,AS138,$BJ$5:BJ137)),MAX(0,BH138-SUMIF($F$5:F137,F138,$BJ$5:BJ137)))</f>
        <v>0</v>
      </c>
      <c r="BK138" s="57">
        <f ca="1">(-SUMIF(AS:AS,AS138,BG:BG)+SUMIF(AS:AS,AS138,BJ:BJ))*(AP138=100)*AR138</f>
        <v>0</v>
      </c>
      <c r="BL138" s="57">
        <f ca="1">MAX(0,SUMIF(Invoice!A:A,F138,Invoice!B:B)-SUMIF(F:F,F138,BJ:BJ))*(COUNTIF(F:F,F138)=COUNTIF($F$5:F138,F138))</f>
        <v>0</v>
      </c>
    </row>
    <row r="139" spans="1:64" hidden="1">
      <c r="A139" s="43">
        <v>139</v>
      </c>
      <c r="B139" s="35" t="s">
        <v>147</v>
      </c>
      <c r="C139" s="35" t="s">
        <v>146</v>
      </c>
      <c r="D139" s="35">
        <v>2</v>
      </c>
      <c r="E139" s="35">
        <v>470</v>
      </c>
      <c r="F139" s="64" t="s">
        <v>443</v>
      </c>
      <c r="G139" s="73" t="s">
        <v>444</v>
      </c>
      <c r="H139" s="35">
        <v>47</v>
      </c>
      <c r="I139" s="35" t="s">
        <v>55</v>
      </c>
      <c r="J139" s="35">
        <v>0</v>
      </c>
      <c r="K139" s="35" t="s">
        <v>150</v>
      </c>
      <c r="L139" s="35" t="s">
        <v>53</v>
      </c>
      <c r="M139" s="35">
        <v>1</v>
      </c>
      <c r="N139" s="35"/>
      <c r="O139" s="35">
        <v>1</v>
      </c>
      <c r="P139" s="35">
        <v>2</v>
      </c>
      <c r="Q139" s="35">
        <v>3</v>
      </c>
      <c r="R139" s="35" t="s">
        <v>73</v>
      </c>
      <c r="S139" s="35" t="s">
        <v>73</v>
      </c>
      <c r="T139" s="36">
        <v>44901</v>
      </c>
      <c r="U139" s="36">
        <v>2958465</v>
      </c>
      <c r="V139" s="35" t="s">
        <v>282</v>
      </c>
      <c r="W139" s="35" t="s">
        <v>145</v>
      </c>
      <c r="X139" s="35"/>
      <c r="Y139" s="35" t="s">
        <v>143</v>
      </c>
      <c r="Z139" s="35">
        <v>7589154</v>
      </c>
      <c r="AA139" s="35">
        <v>164</v>
      </c>
      <c r="AB139" s="35">
        <v>82</v>
      </c>
      <c r="AC139" s="35"/>
      <c r="AE139" s="51">
        <f>M139/O139</f>
        <v>1</v>
      </c>
      <c r="AG139" s="6" t="str">
        <f>C139</f>
        <v>90MB1BJ0-C1BAY0</v>
      </c>
      <c r="AH139" s="6" t="str">
        <f>IF($D139&lt;=AH$4,"",IF(AND($D138=AH$4,$D139&gt;AH$4),$F138,AH138))</f>
        <v>59MB1BJB-MB0A02S</v>
      </c>
      <c r="AI139" s="6" t="str">
        <f>IF($D139&lt;=AI$4,"",IF(AND($D138=AI$4,$D139&gt;AI$4),$F138,AI138))</f>
        <v/>
      </c>
      <c r="AJ139" s="6" t="str">
        <f>IF($D139&lt;=AJ$4,"",IF(AND($D138=AJ$4,$D139&gt;AJ$4),$F138,AJ138))</f>
        <v/>
      </c>
      <c r="AK139" s="6" t="str">
        <f>IF($D139&lt;=AK$4,"",IF(AND($D138=AK$4,$D139&gt;AK$4),$F138,AK138))</f>
        <v/>
      </c>
      <c r="AL139" s="6" t="str">
        <f>IF($D139&lt;=AL$4,"",IF(AND($D138=AL$4,$D139&gt;AL$4),$F138,AL138))</f>
        <v/>
      </c>
      <c r="AM139" s="6" t="str">
        <f>IF($D139&lt;=AM$4,"",IF(AND($D138=AM$4,$D139&gt;AM$4),$F138,AM138))</f>
        <v/>
      </c>
      <c r="AN139" s="6" t="str">
        <f>IF($D139&lt;=AN$4,"",IF(AND($D138=AN$4,$D139&gt;AN$4),$F138,AN138))</f>
        <v/>
      </c>
      <c r="AO139" s="6" t="str">
        <f>CONCATENATE(AG139," | ",AH139," | ",AI139," | ",AJ139," | ",AK139," | ",AL139," | ",AM139," | ",AN139)</f>
        <v xml:space="preserve">90MB1BJ0-C1BAY0 | 59MB1BJB-MB0A02S |  |  |  |  |  | </v>
      </c>
      <c r="AP139" s="6">
        <f>IF(TRIM(H139)="",100,J139)</f>
        <v>0</v>
      </c>
      <c r="AQ139" s="4"/>
      <c r="AR139" s="6" t="b">
        <f>NOT(TRIM(W139)&lt;&gt;"F")</f>
        <v>1</v>
      </c>
      <c r="AS139" s="6" t="str">
        <f>$B139&amp;" | "&amp;$AO139&amp;" | "&amp;IF(TRIM(H139)="","uniq"&amp;ROW(),TRIM(H139))</f>
        <v>461E | 90MB1BJ0-C1BAY0 | 59MB1BJB-MB0A02S |  |  |  |  |  |  | 47</v>
      </c>
      <c r="AT139" s="63">
        <f>IF(NOT(AR139),IF(TRIM($H139)="","Assembly","Phantom Alt"),VLOOKUP(F139,ZPCS04!B:G,6,0))</f>
        <v>597</v>
      </c>
      <c r="AU139" s="7"/>
      <c r="AV139" s="38">
        <f ca="1">IF(TRIM($W139)="F",OFFSET($A$5,MATCH($AS139,$AS$5:$AS139,0)-1,0),$A139)</f>
        <v>137</v>
      </c>
      <c r="AW139" s="38">
        <f ca="1">IFERROR(OFFSET(ZPCS04!$A$1,MATCH(F139,ZPCS04!B:B,0)-1,0),100)</f>
        <v>2</v>
      </c>
      <c r="AX139" s="7"/>
      <c r="AY139" s="6" t="b">
        <f>SUMIF(AS:AS,AS139,AP:AP)=100</f>
        <v>1</v>
      </c>
      <c r="AZ139" s="6" t="b">
        <f>SUMIF(AS:AS,AS139,AE:AE)/COUNTIF(AS:AS,AS139)=AE139</f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>C139&amp;" | "&amp;F139</f>
        <v>90MB1BJ0-C1BAY0 | 07005-03970100</v>
      </c>
      <c r="BE139" s="55" t="str">
        <f ca="1">C139&amp;" | "&amp;OFFSET($AF139,0,8-COUNTBLANK($AG139:$AN139))</f>
        <v>90MB1BJ0-C1BAY0 | 59MB1BJB-MB0A02S</v>
      </c>
      <c r="BF139" s="57">
        <f ca="1">IFERROR(VLOOKUP($BE139,$BD$5:$BF138,3,0)*$AE139,VLOOKUP($C139,Demanda!$A:$B,2,0)*$AE139)*IF(AT139="Phantom Alt",$BC139,TRUE)</f>
        <v>1000</v>
      </c>
      <c r="BG139" s="57">
        <f ca="1">BF139*(AP139/100)</f>
        <v>0</v>
      </c>
      <c r="BH139" s="57">
        <f>SUMIF(Invoice!A:A,F139,Invoice!B:B)</f>
        <v>0</v>
      </c>
      <c r="BI139" s="57">
        <f ca="1">SUMIF(AS:AS,AS139,BG:BG)</f>
        <v>1000</v>
      </c>
      <c r="BJ139" s="57">
        <f ca="1">MIN((BI139-SUMIF($AS$5:AS138,AS139,$BJ$5:BJ138)),MAX(0,BH139-SUMIF($F$5:F138,F139,$BJ$5:BJ138)))</f>
        <v>0</v>
      </c>
      <c r="BK139" s="57">
        <f ca="1">(-SUMIF(AS:AS,AS139,BG:BG)+SUMIF(AS:AS,AS139,BJ:BJ))*(AP139=100)*AR139</f>
        <v>0</v>
      </c>
      <c r="BL139" s="57">
        <f ca="1">MAX(0,SUMIF(Invoice!A:A,F139,Invoice!B:B)-SUMIF(F:F,F139,BJ:BJ))*(COUNTIF(F:F,F139)=COUNTIF($F$5:F139,F139))</f>
        <v>0</v>
      </c>
    </row>
    <row r="140" spans="1:64" hidden="1">
      <c r="A140" s="43">
        <v>140</v>
      </c>
      <c r="B140" s="35" t="s">
        <v>147</v>
      </c>
      <c r="C140" s="35" t="s">
        <v>146</v>
      </c>
      <c r="D140" s="35">
        <v>2</v>
      </c>
      <c r="E140" s="35">
        <v>470</v>
      </c>
      <c r="F140" s="64" t="s">
        <v>445</v>
      </c>
      <c r="G140" s="73" t="s">
        <v>446</v>
      </c>
      <c r="H140" s="35">
        <v>47</v>
      </c>
      <c r="I140" s="35" t="s">
        <v>55</v>
      </c>
      <c r="J140" s="35">
        <v>0</v>
      </c>
      <c r="K140" s="35" t="s">
        <v>150</v>
      </c>
      <c r="L140" s="35" t="s">
        <v>53</v>
      </c>
      <c r="M140" s="35">
        <v>1</v>
      </c>
      <c r="N140" s="35"/>
      <c r="O140" s="35">
        <v>1</v>
      </c>
      <c r="P140" s="35">
        <v>2</v>
      </c>
      <c r="Q140" s="35">
        <v>4</v>
      </c>
      <c r="R140" s="35" t="s">
        <v>73</v>
      </c>
      <c r="S140" s="35" t="s">
        <v>73</v>
      </c>
      <c r="T140" s="36">
        <v>44901</v>
      </c>
      <c r="U140" s="36">
        <v>2958465</v>
      </c>
      <c r="V140" s="35" t="s">
        <v>282</v>
      </c>
      <c r="W140" s="35" t="s">
        <v>145</v>
      </c>
      <c r="X140" s="35"/>
      <c r="Y140" s="35" t="s">
        <v>143</v>
      </c>
      <c r="Z140" s="35">
        <v>7589154</v>
      </c>
      <c r="AA140" s="35">
        <v>166</v>
      </c>
      <c r="AB140" s="35">
        <v>83</v>
      </c>
      <c r="AC140" s="35"/>
      <c r="AE140" s="51">
        <f>M140/O140</f>
        <v>1</v>
      </c>
      <c r="AG140" s="6" t="str">
        <f>C140</f>
        <v>90MB1BJ0-C1BAY0</v>
      </c>
      <c r="AH140" s="6" t="str">
        <f>IF($D140&lt;=AH$4,"",IF(AND($D139=AH$4,$D140&gt;AH$4),$F139,AH139))</f>
        <v>59MB1BJB-MB0A02S</v>
      </c>
      <c r="AI140" s="6" t="str">
        <f>IF($D140&lt;=AI$4,"",IF(AND($D139=AI$4,$D140&gt;AI$4),$F139,AI139))</f>
        <v/>
      </c>
      <c r="AJ140" s="6" t="str">
        <f>IF($D140&lt;=AJ$4,"",IF(AND($D139=AJ$4,$D140&gt;AJ$4),$F139,AJ139))</f>
        <v/>
      </c>
      <c r="AK140" s="6" t="str">
        <f>IF($D140&lt;=AK$4,"",IF(AND($D139=AK$4,$D140&gt;AK$4),$F139,AK139))</f>
        <v/>
      </c>
      <c r="AL140" s="6" t="str">
        <f>IF($D140&lt;=AL$4,"",IF(AND($D139=AL$4,$D140&gt;AL$4),$F139,AL139))</f>
        <v/>
      </c>
      <c r="AM140" s="6" t="str">
        <f>IF($D140&lt;=AM$4,"",IF(AND($D139=AM$4,$D140&gt;AM$4),$F139,AM139))</f>
        <v/>
      </c>
      <c r="AN140" s="6" t="str">
        <f>IF($D140&lt;=AN$4,"",IF(AND($D139=AN$4,$D140&gt;AN$4),$F139,AN139))</f>
        <v/>
      </c>
      <c r="AO140" s="6" t="str">
        <f>CONCATENATE(AG140," | ",AH140," | ",AI140," | ",AJ140," | ",AK140," | ",AL140," | ",AM140," | ",AN140)</f>
        <v xml:space="preserve">90MB1BJ0-C1BAY0 | 59MB1BJB-MB0A02S |  |  |  |  |  | </v>
      </c>
      <c r="AP140" s="6">
        <f>IF(TRIM(H140)="",100,J140)</f>
        <v>0</v>
      </c>
      <c r="AQ140" s="4"/>
      <c r="AR140" s="6" t="b">
        <f>NOT(TRIM(W140)&lt;&gt;"F")</f>
        <v>1</v>
      </c>
      <c r="AS140" s="6" t="str">
        <f>$B140&amp;" | "&amp;$AO140&amp;" | "&amp;IF(TRIM(H140)="","uniq"&amp;ROW(),TRIM(H140))</f>
        <v>461E | 90MB1BJ0-C1BAY0 | 59MB1BJB-MB0A02S |  |  |  |  |  |  | 47</v>
      </c>
      <c r="AT140" s="63">
        <f>IF(NOT(AR140),IF(TRIM($H140)="","Assembly","Phantom Alt"),VLOOKUP(F140,ZPCS04!B:G,6,0))</f>
        <v>597</v>
      </c>
      <c r="AU140" s="7"/>
      <c r="AV140" s="38">
        <f ca="1">IF(TRIM($W140)="F",OFFSET($A$5,MATCH($AS140,$AS$5:$AS140,0)-1,0),$A140)</f>
        <v>137</v>
      </c>
      <c r="AW140" s="38">
        <f ca="1">IFERROR(OFFSET(ZPCS04!$A$1,MATCH(F140,ZPCS04!B:B,0)-1,0),100)</f>
        <v>2</v>
      </c>
      <c r="AX140" s="7"/>
      <c r="AY140" s="6" t="b">
        <f>SUMIF(AS:AS,AS140,AP:AP)=100</f>
        <v>1</v>
      </c>
      <c r="AZ140" s="6" t="b">
        <f>SUMIF(AS:AS,AS140,AE:AE)/COUNTIF(AS:AS,AS140)=AE140</f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>C140&amp;" | "&amp;F140</f>
        <v>90MB1BJ0-C1BAY0 | 07005-04000000</v>
      </c>
      <c r="BE140" s="55" t="str">
        <f ca="1">C140&amp;" | "&amp;OFFSET($AF140,0,8-COUNTBLANK($AG140:$AN140))</f>
        <v>90MB1BJ0-C1BAY0 | 59MB1BJB-MB0A02S</v>
      </c>
      <c r="BF140" s="57">
        <f ca="1">IFERROR(VLOOKUP($BE140,$BD$5:$BF139,3,0)*$AE140,VLOOKUP($C140,Demanda!$A:$B,2,0)*$AE140)*IF(AT140="Phantom Alt",$BC140,TRUE)</f>
        <v>1000</v>
      </c>
      <c r="BG140" s="57">
        <f ca="1">BF140*(AP140/100)</f>
        <v>0</v>
      </c>
      <c r="BH140" s="57">
        <f>SUMIF(Invoice!A:A,F140,Invoice!B:B)</f>
        <v>0</v>
      </c>
      <c r="BI140" s="57">
        <f ca="1">SUMIF(AS:AS,AS140,BG:BG)</f>
        <v>1000</v>
      </c>
      <c r="BJ140" s="57">
        <f ca="1">MIN((BI140-SUMIF($AS$5:AS139,AS140,$BJ$5:BJ139)),MAX(0,BH140-SUMIF($F$5:F139,F140,$BJ$5:BJ139)))</f>
        <v>0</v>
      </c>
      <c r="BK140" s="57">
        <f ca="1">(-SUMIF(AS:AS,AS140,BG:BG)+SUMIF(AS:AS,AS140,BJ:BJ))*(AP140=100)*AR140</f>
        <v>0</v>
      </c>
      <c r="BL140" s="57">
        <f ca="1">MAX(0,SUMIF(Invoice!A:A,F140,Invoice!B:B)-SUMIF(F:F,F140,BJ:BJ))*(COUNTIF(F:F,F140)=COUNTIF($F$5:F140,F140))</f>
        <v>0</v>
      </c>
    </row>
    <row r="141" spans="1:64" hidden="1">
      <c r="A141" s="43">
        <v>142</v>
      </c>
      <c r="B141" s="35" t="s">
        <v>147</v>
      </c>
      <c r="C141" s="35" t="s">
        <v>146</v>
      </c>
      <c r="D141" s="35">
        <v>2</v>
      </c>
      <c r="E141" s="35">
        <v>480</v>
      </c>
      <c r="F141" s="64" t="s">
        <v>449</v>
      </c>
      <c r="G141" s="73" t="s">
        <v>450</v>
      </c>
      <c r="H141" s="35">
        <v>48</v>
      </c>
      <c r="I141" s="35" t="s">
        <v>55</v>
      </c>
      <c r="J141" s="35">
        <v>0</v>
      </c>
      <c r="K141" s="35" t="s">
        <v>150</v>
      </c>
      <c r="L141" s="35" t="s">
        <v>53</v>
      </c>
      <c r="M141" s="35">
        <v>15</v>
      </c>
      <c r="N141" s="35"/>
      <c r="O141" s="35">
        <v>1</v>
      </c>
      <c r="P141" s="35">
        <v>2</v>
      </c>
      <c r="Q141" s="35">
        <v>2</v>
      </c>
      <c r="R141" s="35" t="s">
        <v>73</v>
      </c>
      <c r="S141" s="35" t="s">
        <v>73</v>
      </c>
      <c r="T141" s="36">
        <v>44901</v>
      </c>
      <c r="U141" s="36">
        <v>2958465</v>
      </c>
      <c r="V141" s="35" t="s">
        <v>282</v>
      </c>
      <c r="W141" s="35" t="s">
        <v>145</v>
      </c>
      <c r="X141" s="35"/>
      <c r="Y141" s="35" t="s">
        <v>143</v>
      </c>
      <c r="Z141" s="35">
        <v>7589154</v>
      </c>
      <c r="AA141" s="35">
        <v>172</v>
      </c>
      <c r="AB141" s="35">
        <v>86</v>
      </c>
      <c r="AC141" s="35"/>
      <c r="AE141" s="51">
        <f>M141/O141</f>
        <v>15</v>
      </c>
      <c r="AG141" s="6" t="str">
        <f>C141</f>
        <v>90MB1BJ0-C1BAY0</v>
      </c>
      <c r="AH141" s="6" t="str">
        <f>IF($D141&lt;=AH$4,"",IF(AND($D140=AH$4,$D141&gt;AH$4),$F140,AH140))</f>
        <v>59MB1BJB-MB0A02S</v>
      </c>
      <c r="AI141" s="6" t="str">
        <f>IF($D141&lt;=AI$4,"",IF(AND($D140=AI$4,$D141&gt;AI$4),$F140,AI140))</f>
        <v/>
      </c>
      <c r="AJ141" s="6" t="str">
        <f>IF($D141&lt;=AJ$4,"",IF(AND($D140=AJ$4,$D141&gt;AJ$4),$F140,AJ140))</f>
        <v/>
      </c>
      <c r="AK141" s="6" t="str">
        <f>IF($D141&lt;=AK$4,"",IF(AND($D140=AK$4,$D141&gt;AK$4),$F140,AK140))</f>
        <v/>
      </c>
      <c r="AL141" s="6" t="str">
        <f>IF($D141&lt;=AL$4,"",IF(AND($D140=AL$4,$D141&gt;AL$4),$F140,AL140))</f>
        <v/>
      </c>
      <c r="AM141" s="6" t="str">
        <f>IF($D141&lt;=AM$4,"",IF(AND($D140=AM$4,$D141&gt;AM$4),$F140,AM140))</f>
        <v/>
      </c>
      <c r="AN141" s="6" t="str">
        <f>IF($D141&lt;=AN$4,"",IF(AND($D140=AN$4,$D141&gt;AN$4),$F140,AN140))</f>
        <v/>
      </c>
      <c r="AO141" s="6" t="str">
        <f>CONCATENATE(AG141," | ",AH141," | ",AI141," | ",AJ141," | ",AK141," | ",AL141," | ",AM141," | ",AN141)</f>
        <v xml:space="preserve">90MB1BJ0-C1BAY0 | 59MB1BJB-MB0A02S |  |  |  |  |  | </v>
      </c>
      <c r="AP141" s="6">
        <f>IF(TRIM(H141)="",100,J141)</f>
        <v>0</v>
      </c>
      <c r="AQ141" s="4"/>
      <c r="AR141" s="6" t="b">
        <f>NOT(TRIM(W141)&lt;&gt;"F")</f>
        <v>1</v>
      </c>
      <c r="AS141" s="6" t="str">
        <f>$B141&amp;" | "&amp;$AO141&amp;" | "&amp;IF(TRIM(H141)="","uniq"&amp;ROW(),TRIM(H141))</f>
        <v>461E | 90MB1BJ0-C1BAY0 | 59MB1BJB-MB0A02S |  |  |  |  |  |  | 48</v>
      </c>
      <c r="AT141" s="63">
        <f>IF(NOT(AR141),IF(TRIM($H141)="","Assembly","Phantom Alt"),VLOOKUP(F141,ZPCS04!B:G,6,0))</f>
        <v>816</v>
      </c>
      <c r="AU141" s="7"/>
      <c r="AV141" s="38">
        <f ca="1">IF(TRIM($W141)="F",OFFSET($A$5,MATCH($AS141,$AS$5:$AS141,0)-1,0),$A141)</f>
        <v>142</v>
      </c>
      <c r="AW141" s="38">
        <f ca="1">IFERROR(OFFSET(ZPCS04!$A$1,MATCH(F141,ZPCS04!B:B,0)-1,0),100)</f>
        <v>1.99999985</v>
      </c>
      <c r="AX141" s="7"/>
      <c r="AY141" s="6" t="b">
        <f>SUMIF(AS:AS,AS141,AP:AP)=100</f>
        <v>1</v>
      </c>
      <c r="AZ141" s="6" t="b">
        <f>SUMIF(AS:AS,AS141,AE:AE)/COUNTIF(AS:AS,AS141)=AE141</f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>C141&amp;" | "&amp;F141</f>
        <v>90MB1BJ0-C1BAY0 | 07005-A0970100</v>
      </c>
      <c r="BE141" s="55" t="str">
        <f ca="1">C141&amp;" | "&amp;OFFSET($AF141,0,8-COUNTBLANK($AG141:$AN141))</f>
        <v>90MB1BJ0-C1BAY0 | 59MB1BJB-MB0A02S</v>
      </c>
      <c r="BF141" s="57">
        <f ca="1">IFERROR(VLOOKUP($BE141,$BD$5:$BF140,3,0)*$AE141,VLOOKUP($C141,Demanda!$A:$B,2,0)*$AE141)*IF(AT141="Phantom Alt",$BC141,TRUE)</f>
        <v>15000</v>
      </c>
      <c r="BG141" s="57">
        <f ca="1">BF141*(AP141/100)</f>
        <v>0</v>
      </c>
      <c r="BH141" s="57">
        <f>SUMIF(Invoice!A:A,F141,Invoice!B:B)</f>
        <v>15000</v>
      </c>
      <c r="BI141" s="57">
        <f ca="1">SUMIF(AS:AS,AS141,BG:BG)</f>
        <v>15000</v>
      </c>
      <c r="BJ141" s="57">
        <f ca="1">MIN((BI141-SUMIF($AS$5:AS140,AS141,$BJ$5:BJ140)),MAX(0,BH141-SUMIF($F$5:F140,F141,$BJ$5:BJ140)))</f>
        <v>15000</v>
      </c>
      <c r="BK141" s="57">
        <f ca="1">(-SUMIF(AS:AS,AS141,BG:BG)+SUMIF(AS:AS,AS141,BJ:BJ))*(AP141=100)*AR141</f>
        <v>0</v>
      </c>
      <c r="BL141" s="57">
        <f ca="1">MAX(0,SUMIF(Invoice!A:A,F141,Invoice!B:B)-SUMIF(F:F,F141,BJ:BJ))*(COUNTIF(F:F,F141)=COUNTIF($F$5:F141,F141))</f>
        <v>0</v>
      </c>
    </row>
    <row r="142" spans="1:64" hidden="1">
      <c r="A142" s="43">
        <v>141</v>
      </c>
      <c r="B142" s="35" t="s">
        <v>147</v>
      </c>
      <c r="C142" s="35" t="s">
        <v>146</v>
      </c>
      <c r="D142" s="35">
        <v>2</v>
      </c>
      <c r="E142" s="35">
        <v>480</v>
      </c>
      <c r="F142" s="64" t="s">
        <v>447</v>
      </c>
      <c r="G142" s="73" t="s">
        <v>448</v>
      </c>
      <c r="H142" s="35">
        <v>48</v>
      </c>
      <c r="I142" s="35" t="s">
        <v>54</v>
      </c>
      <c r="J142" s="35">
        <v>100</v>
      </c>
      <c r="K142" s="35" t="s">
        <v>150</v>
      </c>
      <c r="L142" s="35" t="s">
        <v>53</v>
      </c>
      <c r="M142" s="35">
        <v>15</v>
      </c>
      <c r="N142" s="35">
        <v>15</v>
      </c>
      <c r="O142" s="35">
        <v>1</v>
      </c>
      <c r="P142" s="35">
        <v>2</v>
      </c>
      <c r="Q142" s="35">
        <v>1</v>
      </c>
      <c r="R142" s="35" t="s">
        <v>73</v>
      </c>
      <c r="S142" s="35" t="s">
        <v>73</v>
      </c>
      <c r="T142" s="36">
        <v>44901</v>
      </c>
      <c r="U142" s="36">
        <v>2958465</v>
      </c>
      <c r="V142" s="35" t="s">
        <v>282</v>
      </c>
      <c r="W142" s="35" t="s">
        <v>145</v>
      </c>
      <c r="X142" s="35"/>
      <c r="Y142" s="35" t="s">
        <v>143</v>
      </c>
      <c r="Z142" s="35">
        <v>7589154</v>
      </c>
      <c r="AA142" s="35">
        <v>170</v>
      </c>
      <c r="AB142" s="35">
        <v>85</v>
      </c>
      <c r="AC142" s="35"/>
      <c r="AE142" s="51">
        <f>M142/O142</f>
        <v>15</v>
      </c>
      <c r="AG142" s="6" t="str">
        <f>C142</f>
        <v>90MB1BJ0-C1BAY0</v>
      </c>
      <c r="AH142" s="6" t="str">
        <f>IF($D142&lt;=AH$4,"",IF(AND($D141=AH$4,$D142&gt;AH$4),$F141,AH141))</f>
        <v>59MB1BJB-MB0A02S</v>
      </c>
      <c r="AI142" s="6" t="str">
        <f>IF($D142&lt;=AI$4,"",IF(AND($D141=AI$4,$D142&gt;AI$4),$F141,AI141))</f>
        <v/>
      </c>
      <c r="AJ142" s="6" t="str">
        <f>IF($D142&lt;=AJ$4,"",IF(AND($D141=AJ$4,$D142&gt;AJ$4),$F141,AJ141))</f>
        <v/>
      </c>
      <c r="AK142" s="6" t="str">
        <f>IF($D142&lt;=AK$4,"",IF(AND($D141=AK$4,$D142&gt;AK$4),$F141,AK141))</f>
        <v/>
      </c>
      <c r="AL142" s="6" t="str">
        <f>IF($D142&lt;=AL$4,"",IF(AND($D141=AL$4,$D142&gt;AL$4),$F141,AL141))</f>
        <v/>
      </c>
      <c r="AM142" s="6" t="str">
        <f>IF($D142&lt;=AM$4,"",IF(AND($D141=AM$4,$D142&gt;AM$4),$F141,AM141))</f>
        <v/>
      </c>
      <c r="AN142" s="6" t="str">
        <f>IF($D142&lt;=AN$4,"",IF(AND($D141=AN$4,$D142&gt;AN$4),$F141,AN141))</f>
        <v/>
      </c>
      <c r="AO142" s="6" t="str">
        <f>CONCATENATE(AG142," | ",AH142," | ",AI142," | ",AJ142," | ",AK142," | ",AL142," | ",AM142," | ",AN142)</f>
        <v xml:space="preserve">90MB1BJ0-C1BAY0 | 59MB1BJB-MB0A02S |  |  |  |  |  | </v>
      </c>
      <c r="AP142" s="6">
        <f>IF(TRIM(H142)="",100,J142)</f>
        <v>100</v>
      </c>
      <c r="AQ142" s="4"/>
      <c r="AR142" s="6" t="b">
        <f>NOT(TRIM(W142)&lt;&gt;"F")</f>
        <v>1</v>
      </c>
      <c r="AS142" s="6" t="str">
        <f>$B142&amp;" | "&amp;$AO142&amp;" | "&amp;IF(TRIM(H142)="","uniq"&amp;ROW(),TRIM(H142))</f>
        <v>461E | 90MB1BJ0-C1BAY0 | 59MB1BJB-MB0A02S |  |  |  |  |  |  | 48</v>
      </c>
      <c r="AT142" s="63">
        <f>IF(NOT(AR142),IF(TRIM($H142)="","Assembly","Phantom Alt"),VLOOKUP(F142,ZPCS04!B:G,6,0))</f>
        <v>816</v>
      </c>
      <c r="AU142" s="7"/>
      <c r="AV142" s="38">
        <f ca="1">IF(TRIM($W142)="F",OFFSET($A$5,MATCH($AS142,$AS$5:$AS142,0)-1,0),$A142)</f>
        <v>142</v>
      </c>
      <c r="AW142" s="38">
        <f ca="1">IFERROR(OFFSET(ZPCS04!$A$1,MATCH(F142,ZPCS04!B:B,0)-1,0),100)</f>
        <v>2</v>
      </c>
      <c r="AX142" s="7"/>
      <c r="AY142" s="6" t="b">
        <f>SUMIF(AS:AS,AS142,AP:AP)=100</f>
        <v>1</v>
      </c>
      <c r="AZ142" s="6" t="b">
        <f>SUMIF(AS:AS,AS142,AE:AE)/COUNTIF(AS:AS,AS142)=AE142</f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>C142&amp;" | "&amp;F142</f>
        <v>90MB1BJ0-C1BAY0 | 07005-A0970000</v>
      </c>
      <c r="BE142" s="55" t="str">
        <f ca="1">C142&amp;" | "&amp;OFFSET($AF142,0,8-COUNTBLANK($AG142:$AN142))</f>
        <v>90MB1BJ0-C1BAY0 | 59MB1BJB-MB0A02S</v>
      </c>
      <c r="BF142" s="57">
        <f ca="1">IFERROR(VLOOKUP($BE142,$BD$5:$BF141,3,0)*$AE142,VLOOKUP($C142,Demanda!$A:$B,2,0)*$AE142)*IF(AT142="Phantom Alt",$BC142,TRUE)</f>
        <v>15000</v>
      </c>
      <c r="BG142" s="57">
        <f ca="1">BF142*(AP142/100)</f>
        <v>15000</v>
      </c>
      <c r="BH142" s="57">
        <f>SUMIF(Invoice!A:A,F142,Invoice!B:B)</f>
        <v>0</v>
      </c>
      <c r="BI142" s="57">
        <f ca="1">SUMIF(AS:AS,AS142,BG:BG)</f>
        <v>15000</v>
      </c>
      <c r="BJ142" s="57">
        <f ca="1">MIN((BI142-SUMIF($AS$5:AS141,AS142,$BJ$5:BJ141)),MAX(0,BH142-SUMIF($F$5:F141,F142,$BJ$5:BJ141)))</f>
        <v>0</v>
      </c>
      <c r="BK142" s="57">
        <f ca="1">(-SUMIF(AS:AS,AS142,BG:BG)+SUMIF(AS:AS,AS142,BJ:BJ))*(AP142=100)*AR142</f>
        <v>0</v>
      </c>
      <c r="BL142" s="57">
        <f ca="1">MAX(0,SUMIF(Invoice!A:A,F142,Invoice!B:B)-SUMIF(F:F,F142,BJ:BJ))*(COUNTIF(F:F,F142)=COUNTIF($F$5:F142,F142))</f>
        <v>0</v>
      </c>
    </row>
    <row r="143" spans="1:64" hidden="1">
      <c r="A143" s="43">
        <v>144</v>
      </c>
      <c r="B143" s="35" t="s">
        <v>147</v>
      </c>
      <c r="C143" s="35" t="s">
        <v>146</v>
      </c>
      <c r="D143" s="35">
        <v>2</v>
      </c>
      <c r="E143" s="35">
        <v>490</v>
      </c>
      <c r="F143" s="64" t="s">
        <v>453</v>
      </c>
      <c r="G143" s="73" t="s">
        <v>454</v>
      </c>
      <c r="H143" s="35">
        <v>49</v>
      </c>
      <c r="I143" s="35" t="s">
        <v>54</v>
      </c>
      <c r="J143" s="35">
        <v>100</v>
      </c>
      <c r="K143" s="35" t="s">
        <v>150</v>
      </c>
      <c r="L143" s="35" t="s">
        <v>53</v>
      </c>
      <c r="M143" s="35">
        <v>4</v>
      </c>
      <c r="N143" s="35">
        <v>4</v>
      </c>
      <c r="O143" s="35">
        <v>1</v>
      </c>
      <c r="P143" s="35">
        <v>2</v>
      </c>
      <c r="Q143" s="35">
        <v>1</v>
      </c>
      <c r="R143" s="35" t="s">
        <v>73</v>
      </c>
      <c r="S143" s="35" t="s">
        <v>73</v>
      </c>
      <c r="T143" s="36">
        <v>44901</v>
      </c>
      <c r="U143" s="36">
        <v>2958465</v>
      </c>
      <c r="V143" s="35" t="s">
        <v>282</v>
      </c>
      <c r="W143" s="35" t="s">
        <v>145</v>
      </c>
      <c r="X143" s="35"/>
      <c r="Y143" s="35" t="s">
        <v>143</v>
      </c>
      <c r="Z143" s="35">
        <v>7589154</v>
      </c>
      <c r="AA143" s="35">
        <v>174</v>
      </c>
      <c r="AB143" s="35">
        <v>87</v>
      </c>
      <c r="AC143" s="35" t="s">
        <v>144</v>
      </c>
      <c r="AE143" s="51">
        <f>M143/O143</f>
        <v>4</v>
      </c>
      <c r="AG143" s="6" t="str">
        <f>C143</f>
        <v>90MB1BJ0-C1BAY0</v>
      </c>
      <c r="AH143" s="6" t="str">
        <f>IF($D143&lt;=AH$4,"",IF(AND($D142=AH$4,$D143&gt;AH$4),$F142,AH142))</f>
        <v>59MB1BJB-MB0A02S</v>
      </c>
      <c r="AI143" s="6" t="str">
        <f>IF($D143&lt;=AI$4,"",IF(AND($D142=AI$4,$D143&gt;AI$4),$F142,AI142))</f>
        <v/>
      </c>
      <c r="AJ143" s="6" t="str">
        <f>IF($D143&lt;=AJ$4,"",IF(AND($D142=AJ$4,$D143&gt;AJ$4),$F142,AJ142))</f>
        <v/>
      </c>
      <c r="AK143" s="6" t="str">
        <f>IF($D143&lt;=AK$4,"",IF(AND($D142=AK$4,$D143&gt;AK$4),$F142,AK142))</f>
        <v/>
      </c>
      <c r="AL143" s="6" t="str">
        <f>IF($D143&lt;=AL$4,"",IF(AND($D142=AL$4,$D143&gt;AL$4),$F142,AL142))</f>
        <v/>
      </c>
      <c r="AM143" s="6" t="str">
        <f>IF($D143&lt;=AM$4,"",IF(AND($D142=AM$4,$D143&gt;AM$4),$F142,AM142))</f>
        <v/>
      </c>
      <c r="AN143" s="6" t="str">
        <f>IF($D143&lt;=AN$4,"",IF(AND($D142=AN$4,$D143&gt;AN$4),$F142,AN142))</f>
        <v/>
      </c>
      <c r="AO143" s="6" t="str">
        <f>CONCATENATE(AG143," | ",AH143," | ",AI143," | ",AJ143," | ",AK143," | ",AL143," | ",AM143," | ",AN143)</f>
        <v xml:space="preserve">90MB1BJ0-C1BAY0 | 59MB1BJB-MB0A02S |  |  |  |  |  | </v>
      </c>
      <c r="AP143" s="6">
        <f>IF(TRIM(H143)="",100,J143)</f>
        <v>100</v>
      </c>
      <c r="AQ143" s="4"/>
      <c r="AR143" s="6" t="b">
        <f>NOT(TRIM(W143)&lt;&gt;"F")</f>
        <v>1</v>
      </c>
      <c r="AS143" s="6" t="str">
        <f>$B143&amp;" | "&amp;$AO143&amp;" | "&amp;IF(TRIM(H143)="","uniq"&amp;ROW(),TRIM(H143))</f>
        <v>461E | 90MB1BJ0-C1BAY0 | 59MB1BJB-MB0A02S |  |  |  |  |  |  | 49</v>
      </c>
      <c r="AT143" s="63">
        <f>IF(NOT(AR143),IF(TRIM($H143)="","Assembly","Phantom Alt"),VLOOKUP(F143,ZPCS04!B:G,6,0))</f>
        <v>932</v>
      </c>
      <c r="AU143" s="7"/>
      <c r="AV143" s="38">
        <f ca="1">IF(TRIM($W143)="F",OFFSET($A$5,MATCH($AS143,$AS$5:$AS143,0)-1,0),$A143)</f>
        <v>144</v>
      </c>
      <c r="AW143" s="38">
        <f ca="1">IFERROR(OFFSET(ZPCS04!$A$1,MATCH(F143,ZPCS04!B:B,0)-1,0),100)</f>
        <v>1.99999996</v>
      </c>
      <c r="AX143" s="7"/>
      <c r="AY143" s="6" t="b">
        <f>SUMIF(AS:AS,AS143,AP:AP)=100</f>
        <v>1</v>
      </c>
      <c r="AZ143" s="6" t="b">
        <f>SUMIF(AS:AS,AS143,AE:AE)/COUNTIF(AS:AS,AS143)=AE143</f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>C143&amp;" | "&amp;F143</f>
        <v>90MB1BJ0-C1BAY0 | 07009-00024100</v>
      </c>
      <c r="BE143" s="55" t="str">
        <f ca="1">C143&amp;" | "&amp;OFFSET($AF143,0,8-COUNTBLANK($AG143:$AN143))</f>
        <v>90MB1BJ0-C1BAY0 | 59MB1BJB-MB0A02S</v>
      </c>
      <c r="BF143" s="57">
        <f ca="1">IFERROR(VLOOKUP($BE143,$BD$5:$BF142,3,0)*$AE143,VLOOKUP($C143,Demanda!$A:$B,2,0)*$AE143)*IF(AT143="Phantom Alt",$BC143,TRUE)</f>
        <v>4000</v>
      </c>
      <c r="BG143" s="57">
        <f ca="1">BF143*(AP143/100)</f>
        <v>4000</v>
      </c>
      <c r="BH143" s="57">
        <f>SUMIF(Invoice!A:A,F143,Invoice!B:B)</f>
        <v>4000</v>
      </c>
      <c r="BI143" s="57">
        <f ca="1">SUMIF(AS:AS,AS143,BG:BG)</f>
        <v>4000</v>
      </c>
      <c r="BJ143" s="57">
        <f ca="1">MIN((BI143-SUMIF($AS$5:AS142,AS143,$BJ$5:BJ142)),MAX(0,BH143-SUMIF($F$5:F142,F143,$BJ$5:BJ142)))</f>
        <v>4000</v>
      </c>
      <c r="BK143" s="57">
        <f ca="1">(-SUMIF(AS:AS,AS143,BG:BG)+SUMIF(AS:AS,AS143,BJ:BJ))*(AP143=100)*AR143</f>
        <v>0</v>
      </c>
      <c r="BL143" s="57">
        <f ca="1">MAX(0,SUMIF(Invoice!A:A,F143,Invoice!B:B)-SUMIF(F:F,F143,BJ:BJ))*(COUNTIF(F:F,F143)=COUNTIF($F$5:F143,F143))</f>
        <v>0</v>
      </c>
    </row>
    <row r="144" spans="1:64" hidden="1">
      <c r="A144" s="43">
        <v>143</v>
      </c>
      <c r="B144" s="35" t="s">
        <v>147</v>
      </c>
      <c r="C144" s="35" t="s">
        <v>146</v>
      </c>
      <c r="D144" s="35">
        <v>2</v>
      </c>
      <c r="E144" s="35">
        <v>490</v>
      </c>
      <c r="F144" s="64" t="s">
        <v>451</v>
      </c>
      <c r="G144" s="73" t="s">
        <v>452</v>
      </c>
      <c r="H144" s="35">
        <v>49</v>
      </c>
      <c r="I144" s="35" t="s">
        <v>55</v>
      </c>
      <c r="J144" s="35">
        <v>0</v>
      </c>
      <c r="K144" s="35" t="s">
        <v>150</v>
      </c>
      <c r="L144" s="35" t="s">
        <v>53</v>
      </c>
      <c r="M144" s="35">
        <v>4</v>
      </c>
      <c r="N144" s="35"/>
      <c r="O144" s="35">
        <v>1</v>
      </c>
      <c r="P144" s="35">
        <v>2</v>
      </c>
      <c r="Q144" s="35">
        <v>3</v>
      </c>
      <c r="R144" s="35" t="s">
        <v>73</v>
      </c>
      <c r="S144" s="35" t="s">
        <v>73</v>
      </c>
      <c r="T144" s="36">
        <v>44901</v>
      </c>
      <c r="U144" s="36">
        <v>2958465</v>
      </c>
      <c r="V144" s="35" t="s">
        <v>282</v>
      </c>
      <c r="W144" s="35" t="s">
        <v>145</v>
      </c>
      <c r="X144" s="35"/>
      <c r="Y144" s="35" t="s">
        <v>143</v>
      </c>
      <c r="Z144" s="35">
        <v>7589154</v>
      </c>
      <c r="AA144" s="35">
        <v>178</v>
      </c>
      <c r="AB144" s="35">
        <v>89</v>
      </c>
      <c r="AC144" s="35"/>
      <c r="AE144" s="51">
        <f>M144/O144</f>
        <v>4</v>
      </c>
      <c r="AG144" s="6" t="str">
        <f>C144</f>
        <v>90MB1BJ0-C1BAY0</v>
      </c>
      <c r="AH144" s="6" t="str">
        <f>IF($D144&lt;=AH$4,"",IF(AND($D143=AH$4,$D144&gt;AH$4),$F143,AH143))</f>
        <v>59MB1BJB-MB0A02S</v>
      </c>
      <c r="AI144" s="6" t="str">
        <f>IF($D144&lt;=AI$4,"",IF(AND($D143=AI$4,$D144&gt;AI$4),$F143,AI143))</f>
        <v/>
      </c>
      <c r="AJ144" s="6" t="str">
        <f>IF($D144&lt;=AJ$4,"",IF(AND($D143=AJ$4,$D144&gt;AJ$4),$F143,AJ143))</f>
        <v/>
      </c>
      <c r="AK144" s="6" t="str">
        <f>IF($D144&lt;=AK$4,"",IF(AND($D143=AK$4,$D144&gt;AK$4),$F143,AK143))</f>
        <v/>
      </c>
      <c r="AL144" s="6" t="str">
        <f>IF($D144&lt;=AL$4,"",IF(AND($D143=AL$4,$D144&gt;AL$4),$F143,AL143))</f>
        <v/>
      </c>
      <c r="AM144" s="6" t="str">
        <f>IF($D144&lt;=AM$4,"",IF(AND($D143=AM$4,$D144&gt;AM$4),$F143,AM143))</f>
        <v/>
      </c>
      <c r="AN144" s="6" t="str">
        <f>IF($D144&lt;=AN$4,"",IF(AND($D143=AN$4,$D144&gt;AN$4),$F143,AN143))</f>
        <v/>
      </c>
      <c r="AO144" s="6" t="str">
        <f>CONCATENATE(AG144," | ",AH144," | ",AI144," | ",AJ144," | ",AK144," | ",AL144," | ",AM144," | ",AN144)</f>
        <v xml:space="preserve">90MB1BJ0-C1BAY0 | 59MB1BJB-MB0A02S |  |  |  |  |  | </v>
      </c>
      <c r="AP144" s="6">
        <f>IF(TRIM(H144)="",100,J144)</f>
        <v>0</v>
      </c>
      <c r="AQ144" s="4"/>
      <c r="AR144" s="6" t="b">
        <f>NOT(TRIM(W144)&lt;&gt;"F")</f>
        <v>1</v>
      </c>
      <c r="AS144" s="6" t="str">
        <f>$B144&amp;" | "&amp;$AO144&amp;" | "&amp;IF(TRIM(H144)="","uniq"&amp;ROW(),TRIM(H144))</f>
        <v>461E | 90MB1BJ0-C1BAY0 | 59MB1BJB-MB0A02S |  |  |  |  |  |  | 49</v>
      </c>
      <c r="AT144" s="63">
        <f>IF(NOT(AR144),IF(TRIM($H144)="","Assembly","Phantom Alt"),VLOOKUP(F144,ZPCS04!B:G,6,0))</f>
        <v>932</v>
      </c>
      <c r="AU144" s="7"/>
      <c r="AV144" s="38">
        <f ca="1">IF(TRIM($W144)="F",OFFSET($A$5,MATCH($AS144,$AS$5:$AS144,0)-1,0),$A144)</f>
        <v>144</v>
      </c>
      <c r="AW144" s="38">
        <f ca="1">IFERROR(OFFSET(ZPCS04!$A$1,MATCH(F144,ZPCS04!B:B,0)-1,0),100)</f>
        <v>2</v>
      </c>
      <c r="AX144" s="7"/>
      <c r="AY144" s="6" t="b">
        <f>SUMIF(AS:AS,AS144,AP:AP)=100</f>
        <v>1</v>
      </c>
      <c r="AZ144" s="6" t="b">
        <f>SUMIF(AS:AS,AS144,AE:AE)/COUNTIF(AS:AS,AS144)=AE144</f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>C144&amp;" | "&amp;F144</f>
        <v>90MB1BJ0-C1BAY0 | 07009-00022200</v>
      </c>
      <c r="BE144" s="55" t="str">
        <f ca="1">C144&amp;" | "&amp;OFFSET($AF144,0,8-COUNTBLANK($AG144:$AN144))</f>
        <v>90MB1BJ0-C1BAY0 | 59MB1BJB-MB0A02S</v>
      </c>
      <c r="BF144" s="57">
        <f ca="1">IFERROR(VLOOKUP($BE144,$BD$5:$BF143,3,0)*$AE144,VLOOKUP($C144,Demanda!$A:$B,2,0)*$AE144)*IF(AT144="Phantom Alt",$BC144,TRUE)</f>
        <v>4000</v>
      </c>
      <c r="BG144" s="57">
        <f ca="1">BF144*(AP144/100)</f>
        <v>0</v>
      </c>
      <c r="BH144" s="57">
        <f>SUMIF(Invoice!A:A,F144,Invoice!B:B)</f>
        <v>0</v>
      </c>
      <c r="BI144" s="57">
        <f ca="1">SUMIF(AS:AS,AS144,BG:BG)</f>
        <v>4000</v>
      </c>
      <c r="BJ144" s="57">
        <f ca="1">MIN((BI144-SUMIF($AS$5:AS143,AS144,$BJ$5:BJ143)),MAX(0,BH144-SUMIF($F$5:F143,F144,$BJ$5:BJ143)))</f>
        <v>0</v>
      </c>
      <c r="BK144" s="57">
        <f ca="1">(-SUMIF(AS:AS,AS144,BG:BG)+SUMIF(AS:AS,AS144,BJ:BJ))*(AP144=100)*AR144</f>
        <v>0</v>
      </c>
      <c r="BL144" s="57">
        <f ca="1">MAX(0,SUMIF(Invoice!A:A,F144,Invoice!B:B)-SUMIF(F:F,F144,BJ:BJ))*(COUNTIF(F:F,F144)=COUNTIF($F$5:F144,F144))</f>
        <v>0</v>
      </c>
    </row>
    <row r="145" spans="1:64" hidden="1">
      <c r="A145" s="43">
        <v>145</v>
      </c>
      <c r="B145" s="35" t="s">
        <v>147</v>
      </c>
      <c r="C145" s="35" t="s">
        <v>146</v>
      </c>
      <c r="D145" s="35">
        <v>2</v>
      </c>
      <c r="E145" s="35">
        <v>490</v>
      </c>
      <c r="F145" s="64" t="s">
        <v>455</v>
      </c>
      <c r="G145" s="73" t="s">
        <v>454</v>
      </c>
      <c r="H145" s="35">
        <v>49</v>
      </c>
      <c r="I145" s="35" t="s">
        <v>55</v>
      </c>
      <c r="J145" s="35">
        <v>0</v>
      </c>
      <c r="K145" s="35" t="s">
        <v>150</v>
      </c>
      <c r="L145" s="35" t="s">
        <v>53</v>
      </c>
      <c r="M145" s="35">
        <v>4</v>
      </c>
      <c r="N145" s="35"/>
      <c r="O145" s="35">
        <v>1</v>
      </c>
      <c r="P145" s="35">
        <v>2</v>
      </c>
      <c r="Q145" s="35">
        <v>4</v>
      </c>
      <c r="R145" s="35" t="s">
        <v>73</v>
      </c>
      <c r="S145" s="35" t="s">
        <v>73</v>
      </c>
      <c r="T145" s="36">
        <v>44901</v>
      </c>
      <c r="U145" s="36">
        <v>2958465</v>
      </c>
      <c r="V145" s="35" t="s">
        <v>282</v>
      </c>
      <c r="W145" s="35" t="s">
        <v>145</v>
      </c>
      <c r="X145" s="35"/>
      <c r="Y145" s="35" t="s">
        <v>143</v>
      </c>
      <c r="Z145" s="35">
        <v>7589154</v>
      </c>
      <c r="AA145" s="35">
        <v>180</v>
      </c>
      <c r="AB145" s="35">
        <v>90</v>
      </c>
      <c r="AC145" s="35"/>
      <c r="AE145" s="51">
        <f>M145/O145</f>
        <v>4</v>
      </c>
      <c r="AG145" s="6" t="str">
        <f>C145</f>
        <v>90MB1BJ0-C1BAY0</v>
      </c>
      <c r="AH145" s="6" t="str">
        <f>IF($D145&lt;=AH$4,"",IF(AND($D144=AH$4,$D145&gt;AH$4),$F144,AH144))</f>
        <v>59MB1BJB-MB0A02S</v>
      </c>
      <c r="AI145" s="6" t="str">
        <f>IF($D145&lt;=AI$4,"",IF(AND($D144=AI$4,$D145&gt;AI$4),$F144,AI144))</f>
        <v/>
      </c>
      <c r="AJ145" s="6" t="str">
        <f>IF($D145&lt;=AJ$4,"",IF(AND($D144=AJ$4,$D145&gt;AJ$4),$F144,AJ144))</f>
        <v/>
      </c>
      <c r="AK145" s="6" t="str">
        <f>IF($D145&lt;=AK$4,"",IF(AND($D144=AK$4,$D145&gt;AK$4),$F144,AK144))</f>
        <v/>
      </c>
      <c r="AL145" s="6" t="str">
        <f>IF($D145&lt;=AL$4,"",IF(AND($D144=AL$4,$D145&gt;AL$4),$F144,AL144))</f>
        <v/>
      </c>
      <c r="AM145" s="6" t="str">
        <f>IF($D145&lt;=AM$4,"",IF(AND($D144=AM$4,$D145&gt;AM$4),$F144,AM144))</f>
        <v/>
      </c>
      <c r="AN145" s="6" t="str">
        <f>IF($D145&lt;=AN$4,"",IF(AND($D144=AN$4,$D145&gt;AN$4),$F144,AN144))</f>
        <v/>
      </c>
      <c r="AO145" s="6" t="str">
        <f>CONCATENATE(AG145," | ",AH145," | ",AI145," | ",AJ145," | ",AK145," | ",AL145," | ",AM145," | ",AN145)</f>
        <v xml:space="preserve">90MB1BJ0-C1BAY0 | 59MB1BJB-MB0A02S |  |  |  |  |  | </v>
      </c>
      <c r="AP145" s="6">
        <f>IF(TRIM(H145)="",100,J145)</f>
        <v>0</v>
      </c>
      <c r="AQ145" s="4"/>
      <c r="AR145" s="6" t="b">
        <f>NOT(TRIM(W145)&lt;&gt;"F")</f>
        <v>1</v>
      </c>
      <c r="AS145" s="6" t="str">
        <f>$B145&amp;" | "&amp;$AO145&amp;" | "&amp;IF(TRIM(H145)="","uniq"&amp;ROW(),TRIM(H145))</f>
        <v>461E | 90MB1BJ0-C1BAY0 | 59MB1BJB-MB0A02S |  |  |  |  |  |  | 49</v>
      </c>
      <c r="AT145" s="63">
        <f>IF(NOT(AR145),IF(TRIM($H145)="","Assembly","Phantom Alt"),VLOOKUP(F145,ZPCS04!B:G,6,0))</f>
        <v>932</v>
      </c>
      <c r="AU145" s="7"/>
      <c r="AV145" s="38">
        <f ca="1">IF(TRIM($W145)="F",OFFSET($A$5,MATCH($AS145,$AS$5:$AS145,0)-1,0),$A145)</f>
        <v>144</v>
      </c>
      <c r="AW145" s="38">
        <f ca="1">IFERROR(OFFSET(ZPCS04!$A$1,MATCH(F145,ZPCS04!B:B,0)-1,0),100)</f>
        <v>2</v>
      </c>
      <c r="AX145" s="7"/>
      <c r="AY145" s="6" t="b">
        <f>SUMIF(AS:AS,AS145,AP:AP)=100</f>
        <v>1</v>
      </c>
      <c r="AZ145" s="6" t="b">
        <f>SUMIF(AS:AS,AS145,AE:AE)/COUNTIF(AS:AS,AS145)=AE145</f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>C145&amp;" | "&amp;F145</f>
        <v>90MB1BJ0-C1BAY0 | 07009-00028000</v>
      </c>
      <c r="BE145" s="55" t="str">
        <f ca="1">C145&amp;" | "&amp;OFFSET($AF145,0,8-COUNTBLANK($AG145:$AN145))</f>
        <v>90MB1BJ0-C1BAY0 | 59MB1BJB-MB0A02S</v>
      </c>
      <c r="BF145" s="57">
        <f ca="1">IFERROR(VLOOKUP($BE145,$BD$5:$BF144,3,0)*$AE145,VLOOKUP($C145,Demanda!$A:$B,2,0)*$AE145)*IF(AT145="Phantom Alt",$BC145,TRUE)</f>
        <v>4000</v>
      </c>
      <c r="BG145" s="57">
        <f ca="1">BF145*(AP145/100)</f>
        <v>0</v>
      </c>
      <c r="BH145" s="57">
        <f>SUMIF(Invoice!A:A,F145,Invoice!B:B)</f>
        <v>0</v>
      </c>
      <c r="BI145" s="57">
        <f ca="1">SUMIF(AS:AS,AS145,BG:BG)</f>
        <v>4000</v>
      </c>
      <c r="BJ145" s="57">
        <f ca="1">MIN((BI145-SUMIF($AS$5:AS144,AS145,$BJ$5:BJ144)),MAX(0,BH145-SUMIF($F$5:F144,F145,$BJ$5:BJ144)))</f>
        <v>0</v>
      </c>
      <c r="BK145" s="57">
        <f ca="1">(-SUMIF(AS:AS,AS145,BG:BG)+SUMIF(AS:AS,AS145,BJ:BJ))*(AP145=100)*AR145</f>
        <v>0</v>
      </c>
      <c r="BL145" s="57">
        <f ca="1">MAX(0,SUMIF(Invoice!A:A,F145,Invoice!B:B)-SUMIF(F:F,F145,BJ:BJ))*(COUNTIF(F:F,F145)=COUNTIF($F$5:F145,F145))</f>
        <v>0</v>
      </c>
    </row>
    <row r="146" spans="1:64" hidden="1">
      <c r="A146" s="43">
        <v>146</v>
      </c>
      <c r="B146" s="35" t="s">
        <v>147</v>
      </c>
      <c r="C146" s="35" t="s">
        <v>146</v>
      </c>
      <c r="D146" s="35">
        <v>2</v>
      </c>
      <c r="E146" s="35">
        <v>490</v>
      </c>
      <c r="F146" s="64" t="s">
        <v>456</v>
      </c>
      <c r="G146" s="73" t="s">
        <v>457</v>
      </c>
      <c r="H146" s="35">
        <v>49</v>
      </c>
      <c r="I146" s="35" t="s">
        <v>55</v>
      </c>
      <c r="J146" s="35">
        <v>0</v>
      </c>
      <c r="K146" s="35" t="s">
        <v>150</v>
      </c>
      <c r="L146" s="35" t="s">
        <v>53</v>
      </c>
      <c r="M146" s="35">
        <v>4</v>
      </c>
      <c r="N146" s="35"/>
      <c r="O146" s="35">
        <v>1</v>
      </c>
      <c r="P146" s="35">
        <v>2</v>
      </c>
      <c r="Q146" s="35">
        <v>2</v>
      </c>
      <c r="R146" s="35" t="s">
        <v>73</v>
      </c>
      <c r="S146" s="35" t="s">
        <v>73</v>
      </c>
      <c r="T146" s="36">
        <v>44901</v>
      </c>
      <c r="U146" s="36">
        <v>2958465</v>
      </c>
      <c r="V146" s="35" t="s">
        <v>282</v>
      </c>
      <c r="W146" s="35" t="s">
        <v>145</v>
      </c>
      <c r="X146" s="35"/>
      <c r="Y146" s="35" t="s">
        <v>143</v>
      </c>
      <c r="Z146" s="35">
        <v>7589154</v>
      </c>
      <c r="AA146" s="35">
        <v>176</v>
      </c>
      <c r="AB146" s="35">
        <v>88</v>
      </c>
      <c r="AC146" s="35"/>
      <c r="AE146" s="51">
        <f>M146/O146</f>
        <v>4</v>
      </c>
      <c r="AG146" s="6" t="str">
        <f>C146</f>
        <v>90MB1BJ0-C1BAY0</v>
      </c>
      <c r="AH146" s="6" t="str">
        <f>IF($D146&lt;=AH$4,"",IF(AND($D145=AH$4,$D146&gt;AH$4),$F145,AH145))</f>
        <v>59MB1BJB-MB0A02S</v>
      </c>
      <c r="AI146" s="6" t="str">
        <f>IF($D146&lt;=AI$4,"",IF(AND($D145=AI$4,$D146&gt;AI$4),$F145,AI145))</f>
        <v/>
      </c>
      <c r="AJ146" s="6" t="str">
        <f>IF($D146&lt;=AJ$4,"",IF(AND($D145=AJ$4,$D146&gt;AJ$4),$F145,AJ145))</f>
        <v/>
      </c>
      <c r="AK146" s="6" t="str">
        <f>IF($D146&lt;=AK$4,"",IF(AND($D145=AK$4,$D146&gt;AK$4),$F145,AK145))</f>
        <v/>
      </c>
      <c r="AL146" s="6" t="str">
        <f>IF($D146&lt;=AL$4,"",IF(AND($D145=AL$4,$D146&gt;AL$4),$F145,AL145))</f>
        <v/>
      </c>
      <c r="AM146" s="6" t="str">
        <f>IF($D146&lt;=AM$4,"",IF(AND($D145=AM$4,$D146&gt;AM$4),$F145,AM145))</f>
        <v/>
      </c>
      <c r="AN146" s="6" t="str">
        <f>IF($D146&lt;=AN$4,"",IF(AND($D145=AN$4,$D146&gt;AN$4),$F145,AN145))</f>
        <v/>
      </c>
      <c r="AO146" s="6" t="str">
        <f>CONCATENATE(AG146," | ",AH146," | ",AI146," | ",AJ146," | ",AK146," | ",AL146," | ",AM146," | ",AN146)</f>
        <v xml:space="preserve">90MB1BJ0-C1BAY0 | 59MB1BJB-MB0A02S |  |  |  |  |  | </v>
      </c>
      <c r="AP146" s="6">
        <f>IF(TRIM(H146)="",100,J146)</f>
        <v>0</v>
      </c>
      <c r="AQ146" s="4"/>
      <c r="AR146" s="6" t="b">
        <f>NOT(TRIM(W146)&lt;&gt;"F")</f>
        <v>1</v>
      </c>
      <c r="AS146" s="6" t="str">
        <f>$B146&amp;" | "&amp;$AO146&amp;" | "&amp;IF(TRIM(H146)="","uniq"&amp;ROW(),TRIM(H146))</f>
        <v>461E | 90MB1BJ0-C1BAY0 | 59MB1BJB-MB0A02S |  |  |  |  |  |  | 49</v>
      </c>
      <c r="AT146" s="63">
        <f>IF(NOT(AR146),IF(TRIM($H146)="","Assembly","Phantom Alt"),VLOOKUP(F146,ZPCS04!B:G,6,0))</f>
        <v>932</v>
      </c>
      <c r="AU146" s="7"/>
      <c r="AV146" s="38">
        <f ca="1">IF(TRIM($W146)="F",OFFSET($A$5,MATCH($AS146,$AS$5:$AS146,0)-1,0),$A146)</f>
        <v>144</v>
      </c>
      <c r="AW146" s="38">
        <f ca="1">IFERROR(OFFSET(ZPCS04!$A$1,MATCH(F146,ZPCS04!B:B,0)-1,0),100)</f>
        <v>2</v>
      </c>
      <c r="AX146" s="7"/>
      <c r="AY146" s="6" t="b">
        <f>SUMIF(AS:AS,AS146,AP:AP)=100</f>
        <v>1</v>
      </c>
      <c r="AZ146" s="6" t="b">
        <f>SUMIF(AS:AS,AS146,AE:AE)/COUNTIF(AS:AS,AS146)=AE146</f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>C146&amp;" | "&amp;F146</f>
        <v>90MB1BJ0-C1BAY0 | 07009-00451600</v>
      </c>
      <c r="BE146" s="55" t="str">
        <f ca="1">C146&amp;" | "&amp;OFFSET($AF146,0,8-COUNTBLANK($AG146:$AN146))</f>
        <v>90MB1BJ0-C1BAY0 | 59MB1BJB-MB0A02S</v>
      </c>
      <c r="BF146" s="57">
        <f ca="1">IFERROR(VLOOKUP($BE146,$BD$5:$BF145,3,0)*$AE146,VLOOKUP($C146,Demanda!$A:$B,2,0)*$AE146)*IF(AT146="Phantom Alt",$BC146,TRUE)</f>
        <v>4000</v>
      </c>
      <c r="BG146" s="57">
        <f ca="1">BF146*(AP146/100)</f>
        <v>0</v>
      </c>
      <c r="BH146" s="57">
        <f>SUMIF(Invoice!A:A,F146,Invoice!B:B)</f>
        <v>0</v>
      </c>
      <c r="BI146" s="57">
        <f ca="1">SUMIF(AS:AS,AS146,BG:BG)</f>
        <v>4000</v>
      </c>
      <c r="BJ146" s="57">
        <f ca="1">MIN((BI146-SUMIF($AS$5:AS145,AS146,$BJ$5:BJ145)),MAX(0,BH146-SUMIF($F$5:F145,F146,$BJ$5:BJ145)))</f>
        <v>0</v>
      </c>
      <c r="BK146" s="57">
        <f ca="1">(-SUMIF(AS:AS,AS146,BG:BG)+SUMIF(AS:AS,AS146,BJ:BJ))*(AP146=100)*AR146</f>
        <v>0</v>
      </c>
      <c r="BL146" s="57">
        <f ca="1">MAX(0,SUMIF(Invoice!A:A,F146,Invoice!B:B)-SUMIF(F:F,F146,BJ:BJ))*(COUNTIF(F:F,F146)=COUNTIF($F$5:F146,F146))</f>
        <v>0</v>
      </c>
    </row>
    <row r="147" spans="1:64" hidden="1">
      <c r="A147" s="43">
        <v>147</v>
      </c>
      <c r="B147" s="35" t="s">
        <v>147</v>
      </c>
      <c r="C147" s="35" t="s">
        <v>146</v>
      </c>
      <c r="D147" s="35">
        <v>2</v>
      </c>
      <c r="E147" s="35">
        <v>500</v>
      </c>
      <c r="F147" s="64" t="s">
        <v>458</v>
      </c>
      <c r="G147" s="73" t="s">
        <v>459</v>
      </c>
      <c r="H147" s="35">
        <v>50</v>
      </c>
      <c r="I147" s="35" t="s">
        <v>55</v>
      </c>
      <c r="J147" s="35">
        <v>0</v>
      </c>
      <c r="K147" s="35" t="s">
        <v>150</v>
      </c>
      <c r="L147" s="35" t="s">
        <v>53</v>
      </c>
      <c r="M147" s="35">
        <v>1</v>
      </c>
      <c r="N147" s="35"/>
      <c r="O147" s="35">
        <v>1</v>
      </c>
      <c r="P147" s="35">
        <v>2</v>
      </c>
      <c r="Q147" s="35">
        <v>2</v>
      </c>
      <c r="R147" s="35" t="s">
        <v>73</v>
      </c>
      <c r="S147" s="35" t="s">
        <v>73</v>
      </c>
      <c r="T147" s="36">
        <v>44901</v>
      </c>
      <c r="U147" s="36">
        <v>2958465</v>
      </c>
      <c r="V147" s="35" t="s">
        <v>282</v>
      </c>
      <c r="W147" s="35" t="s">
        <v>145</v>
      </c>
      <c r="X147" s="35"/>
      <c r="Y147" s="35" t="s">
        <v>143</v>
      </c>
      <c r="Z147" s="35">
        <v>7589154</v>
      </c>
      <c r="AA147" s="35">
        <v>184</v>
      </c>
      <c r="AB147" s="35">
        <v>92</v>
      </c>
      <c r="AC147" s="35"/>
      <c r="AE147" s="51">
        <f>M147/O147</f>
        <v>1</v>
      </c>
      <c r="AG147" s="6" t="str">
        <f>C147</f>
        <v>90MB1BJ0-C1BAY0</v>
      </c>
      <c r="AH147" s="6" t="str">
        <f>IF($D147&lt;=AH$4,"",IF(AND($D146=AH$4,$D147&gt;AH$4),$F146,AH146))</f>
        <v>59MB1BJB-MB0A02S</v>
      </c>
      <c r="AI147" s="6" t="str">
        <f>IF($D147&lt;=AI$4,"",IF(AND($D146=AI$4,$D147&gt;AI$4),$F146,AI146))</f>
        <v/>
      </c>
      <c r="AJ147" s="6" t="str">
        <f>IF($D147&lt;=AJ$4,"",IF(AND($D146=AJ$4,$D147&gt;AJ$4),$F146,AJ146))</f>
        <v/>
      </c>
      <c r="AK147" s="6" t="str">
        <f>IF($D147&lt;=AK$4,"",IF(AND($D146=AK$4,$D147&gt;AK$4),$F146,AK146))</f>
        <v/>
      </c>
      <c r="AL147" s="6" t="str">
        <f>IF($D147&lt;=AL$4,"",IF(AND($D146=AL$4,$D147&gt;AL$4),$F146,AL146))</f>
        <v/>
      </c>
      <c r="AM147" s="6" t="str">
        <f>IF($D147&lt;=AM$4,"",IF(AND($D146=AM$4,$D147&gt;AM$4),$F146,AM146))</f>
        <v/>
      </c>
      <c r="AN147" s="6" t="str">
        <f>IF($D147&lt;=AN$4,"",IF(AND($D146=AN$4,$D147&gt;AN$4),$F146,AN146))</f>
        <v/>
      </c>
      <c r="AO147" s="6" t="str">
        <f>CONCATENATE(AG147," | ",AH147," | ",AI147," | ",AJ147," | ",AK147," | ",AL147," | ",AM147," | ",AN147)</f>
        <v xml:space="preserve">90MB1BJ0-C1BAY0 | 59MB1BJB-MB0A02S |  |  |  |  |  | </v>
      </c>
      <c r="AP147" s="6">
        <f>IF(TRIM(H147)="",100,J147)</f>
        <v>0</v>
      </c>
      <c r="AQ147" s="4"/>
      <c r="AR147" s="6" t="b">
        <f>NOT(TRIM(W147)&lt;&gt;"F")</f>
        <v>1</v>
      </c>
      <c r="AS147" s="6" t="str">
        <f>$B147&amp;" | "&amp;$AO147&amp;" | "&amp;IF(TRIM(H147)="","uniq"&amp;ROW(),TRIM(H147))</f>
        <v>461E | 90MB1BJ0-C1BAY0 | 59MB1BJB-MB0A02S |  |  |  |  |  |  | 50</v>
      </c>
      <c r="AT147" s="63">
        <f>IF(NOT(AR147),IF(TRIM($H147)="","Assembly","Phantom Alt"),VLOOKUP(F147,ZPCS04!B:G,6,0))</f>
        <v>294</v>
      </c>
      <c r="AU147" s="7"/>
      <c r="AV147" s="38">
        <f ca="1">IF(TRIM($W147)="F",OFFSET($A$5,MATCH($AS147,$AS$5:$AS147,0)-1,0),$A147)</f>
        <v>147</v>
      </c>
      <c r="AW147" s="38">
        <f ca="1">IFERROR(OFFSET(ZPCS04!$A$1,MATCH(F147,ZPCS04!B:B,0)-1,0),100)</f>
        <v>1.9999999900000001</v>
      </c>
      <c r="AX147" s="7"/>
      <c r="AY147" s="6" t="b">
        <f>SUMIF(AS:AS,AS147,AP:AP)=100</f>
        <v>1</v>
      </c>
      <c r="AZ147" s="6" t="b">
        <f>SUMIF(AS:AS,AS147,AE:AE)/COUNTIF(AS:AS,AS147)=AE147</f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>C147&amp;" | "&amp;F147</f>
        <v>90MB1BJ0-C1BAY0 | 07009-00094800</v>
      </c>
      <c r="BE147" s="55" t="str">
        <f ca="1">C147&amp;" | "&amp;OFFSET($AF147,0,8-COUNTBLANK($AG147:$AN147))</f>
        <v>90MB1BJ0-C1BAY0 | 59MB1BJB-MB0A02S</v>
      </c>
      <c r="BF147" s="57">
        <f ca="1">IFERROR(VLOOKUP($BE147,$BD$5:$BF146,3,0)*$AE147,VLOOKUP($C147,Demanda!$A:$B,2,0)*$AE147)*IF(AT147="Phantom Alt",$BC147,TRUE)</f>
        <v>1000</v>
      </c>
      <c r="BG147" s="57">
        <f ca="1">BF147*(AP147/100)</f>
        <v>0</v>
      </c>
      <c r="BH147" s="57">
        <f>SUMIF(Invoice!A:A,F147,Invoice!B:B)</f>
        <v>1000</v>
      </c>
      <c r="BI147" s="57">
        <f ca="1">SUMIF(AS:AS,AS147,BG:BG)</f>
        <v>1000</v>
      </c>
      <c r="BJ147" s="57">
        <f ca="1">MIN((BI147-SUMIF($AS$5:AS146,AS147,$BJ$5:BJ146)),MAX(0,BH147-SUMIF($F$5:F146,F147,$BJ$5:BJ146)))</f>
        <v>1000</v>
      </c>
      <c r="BK147" s="57">
        <f ca="1">(-SUMIF(AS:AS,AS147,BG:BG)+SUMIF(AS:AS,AS147,BJ:BJ))*(AP147=100)*AR147</f>
        <v>0</v>
      </c>
      <c r="BL147" s="57">
        <f ca="1">MAX(0,SUMIF(Invoice!A:A,F147,Invoice!B:B)-SUMIF(F:F,F147,BJ:BJ))*(COUNTIF(F:F,F147)=COUNTIF($F$5:F147,F147))</f>
        <v>0</v>
      </c>
    </row>
    <row r="148" spans="1:64" hidden="1">
      <c r="A148" s="43">
        <v>148</v>
      </c>
      <c r="B148" s="35" t="s">
        <v>147</v>
      </c>
      <c r="C148" s="35" t="s">
        <v>146</v>
      </c>
      <c r="D148" s="35">
        <v>2</v>
      </c>
      <c r="E148" s="35">
        <v>500</v>
      </c>
      <c r="F148" s="64" t="s">
        <v>460</v>
      </c>
      <c r="G148" s="73" t="s">
        <v>461</v>
      </c>
      <c r="H148" s="35">
        <v>50</v>
      </c>
      <c r="I148" s="35" t="s">
        <v>54</v>
      </c>
      <c r="J148" s="35">
        <v>100</v>
      </c>
      <c r="K148" s="35" t="s">
        <v>150</v>
      </c>
      <c r="L148" s="35" t="s">
        <v>53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73</v>
      </c>
      <c r="S148" s="35" t="s">
        <v>73</v>
      </c>
      <c r="T148" s="36">
        <v>44901</v>
      </c>
      <c r="U148" s="36">
        <v>2958465</v>
      </c>
      <c r="V148" s="35" t="s">
        <v>282</v>
      </c>
      <c r="W148" s="35" t="s">
        <v>145</v>
      </c>
      <c r="X148" s="35"/>
      <c r="Y148" s="35" t="s">
        <v>143</v>
      </c>
      <c r="Z148" s="35">
        <v>7589154</v>
      </c>
      <c r="AA148" s="35">
        <v>182</v>
      </c>
      <c r="AB148" s="35">
        <v>91</v>
      </c>
      <c r="AC148" s="35"/>
      <c r="AE148" s="51">
        <f>M148/O148</f>
        <v>1</v>
      </c>
      <c r="AG148" s="6" t="str">
        <f>C148</f>
        <v>90MB1BJ0-C1BAY0</v>
      </c>
      <c r="AH148" s="6" t="str">
        <f>IF($D148&lt;=AH$4,"",IF(AND($D147=AH$4,$D148&gt;AH$4),$F147,AH147))</f>
        <v>59MB1BJB-MB0A02S</v>
      </c>
      <c r="AI148" s="6" t="str">
        <f>IF($D148&lt;=AI$4,"",IF(AND($D147=AI$4,$D148&gt;AI$4),$F147,AI147))</f>
        <v/>
      </c>
      <c r="AJ148" s="6" t="str">
        <f>IF($D148&lt;=AJ$4,"",IF(AND($D147=AJ$4,$D148&gt;AJ$4),$F147,AJ147))</f>
        <v/>
      </c>
      <c r="AK148" s="6" t="str">
        <f>IF($D148&lt;=AK$4,"",IF(AND($D147=AK$4,$D148&gt;AK$4),$F147,AK147))</f>
        <v/>
      </c>
      <c r="AL148" s="6" t="str">
        <f>IF($D148&lt;=AL$4,"",IF(AND($D147=AL$4,$D148&gt;AL$4),$F147,AL147))</f>
        <v/>
      </c>
      <c r="AM148" s="6" t="str">
        <f>IF($D148&lt;=AM$4,"",IF(AND($D147=AM$4,$D148&gt;AM$4),$F147,AM147))</f>
        <v/>
      </c>
      <c r="AN148" s="6" t="str">
        <f>IF($D148&lt;=AN$4,"",IF(AND($D147=AN$4,$D148&gt;AN$4),$F147,AN147))</f>
        <v/>
      </c>
      <c r="AO148" s="6" t="str">
        <f>CONCATENATE(AG148," | ",AH148," | ",AI148," | ",AJ148," | ",AK148," | ",AL148," | ",AM148," | ",AN148)</f>
        <v xml:space="preserve">90MB1BJ0-C1BAY0 | 59MB1BJB-MB0A02S |  |  |  |  |  | </v>
      </c>
      <c r="AP148" s="6">
        <f>IF(TRIM(H148)="",100,J148)</f>
        <v>100</v>
      </c>
      <c r="AQ148" s="4"/>
      <c r="AR148" s="6" t="b">
        <f>NOT(TRIM(W148)&lt;&gt;"F")</f>
        <v>1</v>
      </c>
      <c r="AS148" s="6" t="str">
        <f>$B148&amp;" | "&amp;$AO148&amp;" | "&amp;IF(TRIM(H148)="","uniq"&amp;ROW(),TRIM(H148))</f>
        <v>461E | 90MB1BJ0-C1BAY0 | 59MB1BJB-MB0A02S |  |  |  |  |  |  | 50</v>
      </c>
      <c r="AT148" s="63">
        <f>IF(NOT(AR148),IF(TRIM($H148)="","Assembly","Phantom Alt"),VLOOKUP(F148,ZPCS04!B:G,6,0))</f>
        <v>294</v>
      </c>
      <c r="AU148" s="7"/>
      <c r="AV148" s="38">
        <f ca="1">IF(TRIM($W148)="F",OFFSET($A$5,MATCH($AS148,$AS$5:$AS148,0)-1,0),$A148)</f>
        <v>147</v>
      </c>
      <c r="AW148" s="38">
        <f ca="1">IFERROR(OFFSET(ZPCS04!$A$1,MATCH(F148,ZPCS04!B:B,0)-1,0),100)</f>
        <v>2</v>
      </c>
      <c r="AX148" s="7"/>
      <c r="AY148" s="6" t="b">
        <f>SUMIF(AS:AS,AS148,AP:AP)=100</f>
        <v>1</v>
      </c>
      <c r="AZ148" s="6" t="b">
        <f>SUMIF(AS:AS,AS148,AE:AE)/COUNTIF(AS:AS,AS148)=AE148</f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>C148&amp;" | "&amp;F148</f>
        <v>90MB1BJ0-C1BAY0 | 07009-00095100</v>
      </c>
      <c r="BE148" s="55" t="str">
        <f ca="1">C148&amp;" | "&amp;OFFSET($AF148,0,8-COUNTBLANK($AG148:$AN148))</f>
        <v>90MB1BJ0-C1BAY0 | 59MB1BJB-MB0A02S</v>
      </c>
      <c r="BF148" s="57">
        <f ca="1">IFERROR(VLOOKUP($BE148,$BD$5:$BF147,3,0)*$AE148,VLOOKUP($C148,Demanda!$A:$B,2,0)*$AE148)*IF(AT148="Phantom Alt",$BC148,TRUE)</f>
        <v>1000</v>
      </c>
      <c r="BG148" s="57">
        <f ca="1">BF148*(AP148/100)</f>
        <v>1000</v>
      </c>
      <c r="BH148" s="57">
        <f>SUMIF(Invoice!A:A,F148,Invoice!B:B)</f>
        <v>0</v>
      </c>
      <c r="BI148" s="57">
        <f ca="1">SUMIF(AS:AS,AS148,BG:BG)</f>
        <v>1000</v>
      </c>
      <c r="BJ148" s="57">
        <f ca="1">MIN((BI148-SUMIF($AS$5:AS147,AS148,$BJ$5:BJ147)),MAX(0,BH148-SUMIF($F$5:F147,F148,$BJ$5:BJ147)))</f>
        <v>0</v>
      </c>
      <c r="BK148" s="57">
        <f ca="1">(-SUMIF(AS:AS,AS148,BG:BG)+SUMIF(AS:AS,AS148,BJ:BJ))*(AP148=100)*AR148</f>
        <v>0</v>
      </c>
      <c r="BL148" s="57">
        <f ca="1">MAX(0,SUMIF(Invoice!A:A,F148,Invoice!B:B)-SUMIF(F:F,F148,BJ:BJ))*(COUNTIF(F:F,F148)=COUNTIF($F$5:F148,F148))</f>
        <v>0</v>
      </c>
    </row>
    <row r="149" spans="1:64" hidden="1">
      <c r="A149" s="43">
        <v>149</v>
      </c>
      <c r="B149" s="35" t="s">
        <v>147</v>
      </c>
      <c r="C149" s="35" t="s">
        <v>146</v>
      </c>
      <c r="D149" s="35">
        <v>2</v>
      </c>
      <c r="E149" s="35">
        <v>500</v>
      </c>
      <c r="F149" s="64" t="s">
        <v>462</v>
      </c>
      <c r="G149" s="73" t="s">
        <v>463</v>
      </c>
      <c r="H149" s="35">
        <v>50</v>
      </c>
      <c r="I149" s="35" t="s">
        <v>55</v>
      </c>
      <c r="J149" s="35">
        <v>0</v>
      </c>
      <c r="K149" s="35" t="s">
        <v>150</v>
      </c>
      <c r="L149" s="35" t="s">
        <v>53</v>
      </c>
      <c r="M149" s="35">
        <v>1</v>
      </c>
      <c r="N149" s="35"/>
      <c r="O149" s="35">
        <v>1</v>
      </c>
      <c r="P149" s="35">
        <v>2</v>
      </c>
      <c r="Q149" s="35">
        <v>3</v>
      </c>
      <c r="R149" s="35" t="s">
        <v>73</v>
      </c>
      <c r="S149" s="35" t="s">
        <v>73</v>
      </c>
      <c r="T149" s="36">
        <v>44901</v>
      </c>
      <c r="U149" s="36">
        <v>2958465</v>
      </c>
      <c r="V149" s="35" t="s">
        <v>282</v>
      </c>
      <c r="W149" s="35" t="s">
        <v>145</v>
      </c>
      <c r="X149" s="35"/>
      <c r="Y149" s="35" t="s">
        <v>143</v>
      </c>
      <c r="Z149" s="35">
        <v>7589154</v>
      </c>
      <c r="AA149" s="35">
        <v>186</v>
      </c>
      <c r="AB149" s="35">
        <v>93</v>
      </c>
      <c r="AC149" s="35"/>
      <c r="AE149" s="51">
        <f>M149/O149</f>
        <v>1</v>
      </c>
      <c r="AG149" s="6" t="str">
        <f>C149</f>
        <v>90MB1BJ0-C1BAY0</v>
      </c>
      <c r="AH149" s="6" t="str">
        <f>IF($D149&lt;=AH$4,"",IF(AND($D148=AH$4,$D149&gt;AH$4),$F148,AH148))</f>
        <v>59MB1BJB-MB0A02S</v>
      </c>
      <c r="AI149" s="6" t="str">
        <f>IF($D149&lt;=AI$4,"",IF(AND($D148=AI$4,$D149&gt;AI$4),$F148,AI148))</f>
        <v/>
      </c>
      <c r="AJ149" s="6" t="str">
        <f>IF($D149&lt;=AJ$4,"",IF(AND($D148=AJ$4,$D149&gt;AJ$4),$F148,AJ148))</f>
        <v/>
      </c>
      <c r="AK149" s="6" t="str">
        <f>IF($D149&lt;=AK$4,"",IF(AND($D148=AK$4,$D149&gt;AK$4),$F148,AK148))</f>
        <v/>
      </c>
      <c r="AL149" s="6" t="str">
        <f>IF($D149&lt;=AL$4,"",IF(AND($D148=AL$4,$D149&gt;AL$4),$F148,AL148))</f>
        <v/>
      </c>
      <c r="AM149" s="6" t="str">
        <f>IF($D149&lt;=AM$4,"",IF(AND($D148=AM$4,$D149&gt;AM$4),$F148,AM148))</f>
        <v/>
      </c>
      <c r="AN149" s="6" t="str">
        <f>IF($D149&lt;=AN$4,"",IF(AND($D148=AN$4,$D149&gt;AN$4),$F148,AN148))</f>
        <v/>
      </c>
      <c r="AO149" s="6" t="str">
        <f>CONCATENATE(AG149," | ",AH149," | ",AI149," | ",AJ149," | ",AK149," | ",AL149," | ",AM149," | ",AN149)</f>
        <v xml:space="preserve">90MB1BJ0-C1BAY0 | 59MB1BJB-MB0A02S |  |  |  |  |  | </v>
      </c>
      <c r="AP149" s="6">
        <f>IF(TRIM(H149)="",100,J149)</f>
        <v>0</v>
      </c>
      <c r="AQ149" s="4"/>
      <c r="AR149" s="6" t="b">
        <f>NOT(TRIM(W149)&lt;&gt;"F")</f>
        <v>1</v>
      </c>
      <c r="AS149" s="6" t="str">
        <f>$B149&amp;" | "&amp;$AO149&amp;" | "&amp;IF(TRIM(H149)="","uniq"&amp;ROW(),TRIM(H149))</f>
        <v>461E | 90MB1BJ0-C1BAY0 | 59MB1BJB-MB0A02S |  |  |  |  |  |  | 50</v>
      </c>
      <c r="AT149" s="63">
        <f>IF(NOT(AR149),IF(TRIM($H149)="","Assembly","Phantom Alt"),VLOOKUP(F149,ZPCS04!B:G,6,0))</f>
        <v>294</v>
      </c>
      <c r="AU149" s="7"/>
      <c r="AV149" s="38">
        <f ca="1">IF(TRIM($W149)="F",OFFSET($A$5,MATCH($AS149,$AS$5:$AS149,0)-1,0),$A149)</f>
        <v>147</v>
      </c>
      <c r="AW149" s="38">
        <f ca="1">IFERROR(OFFSET(ZPCS04!$A$1,MATCH(F149,ZPCS04!B:B,0)-1,0),100)</f>
        <v>2</v>
      </c>
      <c r="AX149" s="7"/>
      <c r="AY149" s="6" t="b">
        <f>SUMIF(AS:AS,AS149,AP:AP)=100</f>
        <v>1</v>
      </c>
      <c r="AZ149" s="6" t="b">
        <f>SUMIF(AS:AS,AS149,AE:AE)/COUNTIF(AS:AS,AS149)=AE149</f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>C149&amp;" | "&amp;F149</f>
        <v>90MB1BJ0-C1BAY0 | 07009-00096300</v>
      </c>
      <c r="BE149" s="55" t="str">
        <f ca="1">C149&amp;" | "&amp;OFFSET($AF149,0,8-COUNTBLANK($AG149:$AN149))</f>
        <v>90MB1BJ0-C1BAY0 | 59MB1BJB-MB0A02S</v>
      </c>
      <c r="BF149" s="57">
        <f ca="1">IFERROR(VLOOKUP($BE149,$BD$5:$BF148,3,0)*$AE149,VLOOKUP($C149,Demanda!$A:$B,2,0)*$AE149)*IF(AT149="Phantom Alt",$BC149,TRUE)</f>
        <v>1000</v>
      </c>
      <c r="BG149" s="57">
        <f ca="1">BF149*(AP149/100)</f>
        <v>0</v>
      </c>
      <c r="BH149" s="57">
        <f>SUMIF(Invoice!A:A,F149,Invoice!B:B)</f>
        <v>0</v>
      </c>
      <c r="BI149" s="57">
        <f ca="1">SUMIF(AS:AS,AS149,BG:BG)</f>
        <v>1000</v>
      </c>
      <c r="BJ149" s="57">
        <f ca="1">MIN((BI149-SUMIF($AS$5:AS148,AS149,$BJ$5:BJ148)),MAX(0,BH149-SUMIF($F$5:F148,F149,$BJ$5:BJ148)))</f>
        <v>0</v>
      </c>
      <c r="BK149" s="57">
        <f ca="1">(-SUMIF(AS:AS,AS149,BG:BG)+SUMIF(AS:AS,AS149,BJ:BJ))*(AP149=100)*AR149</f>
        <v>0</v>
      </c>
      <c r="BL149" s="57">
        <f ca="1">MAX(0,SUMIF(Invoice!A:A,F149,Invoice!B:B)-SUMIF(F:F,F149,BJ:BJ))*(COUNTIF(F:F,F149)=COUNTIF($F$5:F149,F149))</f>
        <v>0</v>
      </c>
    </row>
    <row r="150" spans="1:64" hidden="1">
      <c r="A150" s="43">
        <v>150</v>
      </c>
      <c r="B150" s="35" t="s">
        <v>147</v>
      </c>
      <c r="C150" s="35" t="s">
        <v>146</v>
      </c>
      <c r="D150" s="35">
        <v>2</v>
      </c>
      <c r="E150" s="35">
        <v>510</v>
      </c>
      <c r="F150" s="64" t="s">
        <v>464</v>
      </c>
      <c r="G150" s="73" t="s">
        <v>465</v>
      </c>
      <c r="H150" s="35">
        <v>51</v>
      </c>
      <c r="I150" s="35" t="s">
        <v>54</v>
      </c>
      <c r="J150" s="35">
        <v>100</v>
      </c>
      <c r="K150" s="35" t="s">
        <v>466</v>
      </c>
      <c r="L150" s="35" t="s">
        <v>53</v>
      </c>
      <c r="M150" s="35">
        <v>1</v>
      </c>
      <c r="N150" s="35">
        <v>1</v>
      </c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44901</v>
      </c>
      <c r="U150" s="36">
        <v>2958465</v>
      </c>
      <c r="V150" s="35" t="s">
        <v>282</v>
      </c>
      <c r="W150" s="35" t="s">
        <v>145</v>
      </c>
      <c r="X150" s="35"/>
      <c r="Y150" s="35" t="s">
        <v>143</v>
      </c>
      <c r="Z150" s="35">
        <v>7589154</v>
      </c>
      <c r="AA150" s="35">
        <v>188</v>
      </c>
      <c r="AB150" s="35">
        <v>94</v>
      </c>
      <c r="AC150" s="35"/>
      <c r="AE150" s="51">
        <f>M150/O150</f>
        <v>1</v>
      </c>
      <c r="AG150" s="6" t="str">
        <f>C150</f>
        <v>90MB1BJ0-C1BAY0</v>
      </c>
      <c r="AH150" s="6" t="str">
        <f>IF($D150&lt;=AH$4,"",IF(AND($D149=AH$4,$D150&gt;AH$4),$F149,AH149))</f>
        <v>59MB1BJB-MB0A02S</v>
      </c>
      <c r="AI150" s="6" t="str">
        <f>IF($D150&lt;=AI$4,"",IF(AND($D149=AI$4,$D150&gt;AI$4),$F149,AI149))</f>
        <v/>
      </c>
      <c r="AJ150" s="6" t="str">
        <f>IF($D150&lt;=AJ$4,"",IF(AND($D149=AJ$4,$D150&gt;AJ$4),$F149,AJ149))</f>
        <v/>
      </c>
      <c r="AK150" s="6" t="str">
        <f>IF($D150&lt;=AK$4,"",IF(AND($D149=AK$4,$D150&gt;AK$4),$F149,AK149))</f>
        <v/>
      </c>
      <c r="AL150" s="6" t="str">
        <f>IF($D150&lt;=AL$4,"",IF(AND($D149=AL$4,$D150&gt;AL$4),$F149,AL149))</f>
        <v/>
      </c>
      <c r="AM150" s="6" t="str">
        <f>IF($D150&lt;=AM$4,"",IF(AND($D149=AM$4,$D150&gt;AM$4),$F149,AM149))</f>
        <v/>
      </c>
      <c r="AN150" s="6" t="str">
        <f>IF($D150&lt;=AN$4,"",IF(AND($D149=AN$4,$D150&gt;AN$4),$F149,AN149))</f>
        <v/>
      </c>
      <c r="AO150" s="6" t="str">
        <f>CONCATENATE(AG150," | ",AH150," | ",AI150," | ",AJ150," | ",AK150," | ",AL150," | ",AM150," | ",AN150)</f>
        <v xml:space="preserve">90MB1BJ0-C1BAY0 | 59MB1BJB-MB0A02S |  |  |  |  |  | </v>
      </c>
      <c r="AP150" s="6">
        <f>IF(TRIM(H150)="",100,J150)</f>
        <v>100</v>
      </c>
      <c r="AQ150" s="4"/>
      <c r="AR150" s="6" t="b">
        <f>NOT(TRIM(W150)&lt;&gt;"F")</f>
        <v>1</v>
      </c>
      <c r="AS150" s="6" t="str">
        <f>$B150&amp;" | "&amp;$AO150&amp;" | "&amp;IF(TRIM(H150)="","uniq"&amp;ROW(),TRIM(H150))</f>
        <v>461E | 90MB1BJ0-C1BAY0 | 59MB1BJB-MB0A02S |  |  |  |  |  |  | 51</v>
      </c>
      <c r="AT150" s="63">
        <f>IF(NOT(AR150),IF(TRIM($H150)="","Assembly","Phantom Alt"),VLOOKUP(F150,ZPCS04!B:G,6,0))</f>
        <v>1064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1.9999999900000001</v>
      </c>
      <c r="AX150" s="7"/>
      <c r="AY150" s="6" t="b">
        <f>SUMIF(AS:AS,AS150,AP:AP)=100</f>
        <v>1</v>
      </c>
      <c r="AZ150" s="6" t="b">
        <f>SUMIF(AS:AS,AS150,AE:AE)/COUNTIF(AS:AS,AS150)=AE150</f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>C150&amp;" | "&amp;F150</f>
        <v>90MB1BJ0-C1BAY0 | 07009-00111800</v>
      </c>
      <c r="BE150" s="55" t="str">
        <f ca="1">C150&amp;" | "&amp;OFFSET($AF150,0,8-COUNTBLANK($AG150:$AN150))</f>
        <v>90MB1BJ0-C1BAY0 | 59MB1BJB-MB0A02S</v>
      </c>
      <c r="BF150" s="57">
        <f ca="1">IFERROR(VLOOKUP($BE150,$BD$5:$BF149,3,0)*$AE150,VLOOKUP($C150,Demanda!$A:$B,2,0)*$AE150)*IF(AT150="Phantom Alt",$BC150,TRUE)</f>
        <v>1000</v>
      </c>
      <c r="BG150" s="57">
        <f ca="1">BF150*(AP150/100)</f>
        <v>1000</v>
      </c>
      <c r="BH150" s="57">
        <f>SUMIF(Invoice!A:A,F150,Invoice!B:B)</f>
        <v>1000</v>
      </c>
      <c r="BI150" s="57">
        <f ca="1">SUMIF(AS:AS,AS150,BG:BG)</f>
        <v>1000</v>
      </c>
      <c r="BJ150" s="57">
        <f ca="1">MIN((BI150-SUMIF($AS$5:AS149,AS150,$BJ$5:BJ149)),MAX(0,BH150-SUMIF($F$5:F149,F150,$BJ$5:BJ149)))</f>
        <v>1000</v>
      </c>
      <c r="BK150" s="57">
        <f ca="1">(-SUMIF(AS:AS,AS150,BG:BG)+SUMIF(AS:AS,AS150,BJ:BJ))*(AP150=100)*AR150</f>
        <v>0</v>
      </c>
      <c r="BL150" s="57">
        <f ca="1">MAX(0,SUMIF(Invoice!A:A,F150,Invoice!B:B)-SUMIF(F:F,F150,BJ:BJ))*(COUNTIF(F:F,F150)=COUNTIF($F$5:F150,F150))</f>
        <v>0</v>
      </c>
    </row>
    <row r="151" spans="1:64" hidden="1">
      <c r="A151" s="43">
        <v>151</v>
      </c>
      <c r="B151" s="35" t="s">
        <v>147</v>
      </c>
      <c r="C151" s="35" t="s">
        <v>146</v>
      </c>
      <c r="D151" s="35">
        <v>2</v>
      </c>
      <c r="E151" s="35">
        <v>510</v>
      </c>
      <c r="F151" s="64" t="s">
        <v>467</v>
      </c>
      <c r="G151" s="73" t="s">
        <v>468</v>
      </c>
      <c r="H151" s="35">
        <v>51</v>
      </c>
      <c r="I151" s="35" t="s">
        <v>55</v>
      </c>
      <c r="J151" s="35">
        <v>0</v>
      </c>
      <c r="K151" s="35" t="s">
        <v>466</v>
      </c>
      <c r="L151" s="35" t="s">
        <v>53</v>
      </c>
      <c r="M151" s="35">
        <v>1</v>
      </c>
      <c r="N151" s="35"/>
      <c r="O151" s="35">
        <v>1</v>
      </c>
      <c r="P151" s="35">
        <v>2</v>
      </c>
      <c r="Q151" s="35">
        <v>3</v>
      </c>
      <c r="R151" s="35" t="s">
        <v>73</v>
      </c>
      <c r="S151" s="35" t="s">
        <v>73</v>
      </c>
      <c r="T151" s="36">
        <v>44901</v>
      </c>
      <c r="U151" s="36">
        <v>2958465</v>
      </c>
      <c r="V151" s="35" t="s">
        <v>282</v>
      </c>
      <c r="W151" s="35" t="s">
        <v>145</v>
      </c>
      <c r="X151" s="35"/>
      <c r="Y151" s="35" t="s">
        <v>143</v>
      </c>
      <c r="Z151" s="35">
        <v>7589154</v>
      </c>
      <c r="AA151" s="35">
        <v>192</v>
      </c>
      <c r="AB151" s="35">
        <v>96</v>
      </c>
      <c r="AC151" s="35"/>
      <c r="AE151" s="51">
        <f>M151/O151</f>
        <v>1</v>
      </c>
      <c r="AG151" s="6" t="str">
        <f>C151</f>
        <v>90MB1BJ0-C1BAY0</v>
      </c>
      <c r="AH151" s="6" t="str">
        <f>IF($D151&lt;=AH$4,"",IF(AND($D150=AH$4,$D151&gt;AH$4),$F150,AH150))</f>
        <v>59MB1BJB-MB0A02S</v>
      </c>
      <c r="AI151" s="6" t="str">
        <f>IF($D151&lt;=AI$4,"",IF(AND($D150=AI$4,$D151&gt;AI$4),$F150,AI150))</f>
        <v/>
      </c>
      <c r="AJ151" s="6" t="str">
        <f>IF($D151&lt;=AJ$4,"",IF(AND($D150=AJ$4,$D151&gt;AJ$4),$F150,AJ150))</f>
        <v/>
      </c>
      <c r="AK151" s="6" t="str">
        <f>IF($D151&lt;=AK$4,"",IF(AND($D150=AK$4,$D151&gt;AK$4),$F150,AK150))</f>
        <v/>
      </c>
      <c r="AL151" s="6" t="str">
        <f>IF($D151&lt;=AL$4,"",IF(AND($D150=AL$4,$D151&gt;AL$4),$F150,AL150))</f>
        <v/>
      </c>
      <c r="AM151" s="6" t="str">
        <f>IF($D151&lt;=AM$4,"",IF(AND($D150=AM$4,$D151&gt;AM$4),$F150,AM150))</f>
        <v/>
      </c>
      <c r="AN151" s="6" t="str">
        <f>IF($D151&lt;=AN$4,"",IF(AND($D150=AN$4,$D151&gt;AN$4),$F150,AN150))</f>
        <v/>
      </c>
      <c r="AO151" s="6" t="str">
        <f>CONCATENATE(AG151," | ",AH151," | ",AI151," | ",AJ151," | ",AK151," | ",AL151," | ",AM151," | ",AN151)</f>
        <v xml:space="preserve">90MB1BJ0-C1BAY0 | 59MB1BJB-MB0A02S |  |  |  |  |  | </v>
      </c>
      <c r="AP151" s="6">
        <f>IF(TRIM(H151)="",100,J151)</f>
        <v>0</v>
      </c>
      <c r="AQ151" s="4"/>
      <c r="AR151" s="6" t="b">
        <f>NOT(TRIM(W151)&lt;&gt;"F")</f>
        <v>1</v>
      </c>
      <c r="AS151" s="6" t="str">
        <f>$B151&amp;" | "&amp;$AO151&amp;" | "&amp;IF(TRIM(H151)="","uniq"&amp;ROW(),TRIM(H151))</f>
        <v>461E | 90MB1BJ0-C1BAY0 | 59MB1BJB-MB0A02S |  |  |  |  |  |  | 51</v>
      </c>
      <c r="AT151" s="63">
        <f>IF(NOT(AR151),IF(TRIM($H151)="","Assembly","Phantom Alt"),VLOOKUP(F151,ZPCS04!B:G,6,0))</f>
        <v>1064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2</v>
      </c>
      <c r="AX151" s="7"/>
      <c r="AY151" s="6" t="b">
        <f>SUMIF(AS:AS,AS151,AP:AP)=100</f>
        <v>1</v>
      </c>
      <c r="AZ151" s="6" t="b">
        <f>SUMIF(AS:AS,AS151,AE:AE)/COUNTIF(AS:AS,AS151)=AE151</f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>C151&amp;" | "&amp;F151</f>
        <v>90MB1BJ0-C1BAY0 | 07009-00112500</v>
      </c>
      <c r="BE151" s="55" t="str">
        <f ca="1">C151&amp;" | "&amp;OFFSET($AF151,0,8-COUNTBLANK($AG151:$AN151))</f>
        <v>90MB1BJ0-C1BAY0 | 59MB1BJB-MB0A02S</v>
      </c>
      <c r="BF151" s="57">
        <f ca="1">IFERROR(VLOOKUP($BE151,$BD$5:$BF150,3,0)*$AE151,VLOOKUP($C151,Demanda!$A:$B,2,0)*$AE151)*IF(AT151="Phantom Alt",$BC151,TRUE)</f>
        <v>1000</v>
      </c>
      <c r="BG151" s="57">
        <f ca="1">BF151*(AP151/100)</f>
        <v>0</v>
      </c>
      <c r="BH151" s="57">
        <f>SUMIF(Invoice!A:A,F151,Invoice!B:B)</f>
        <v>0</v>
      </c>
      <c r="BI151" s="57">
        <f ca="1">SUMIF(AS:AS,AS151,BG:BG)</f>
        <v>1000</v>
      </c>
      <c r="BJ151" s="57">
        <f ca="1">MIN((BI151-SUMIF($AS$5:AS150,AS151,$BJ$5:BJ150)),MAX(0,BH151-SUMIF($F$5:F150,F151,$BJ$5:BJ150)))</f>
        <v>0</v>
      </c>
      <c r="BK151" s="57">
        <f ca="1">(-SUMIF(AS:AS,AS151,BG:BG)+SUMIF(AS:AS,AS151,BJ:BJ))*(AP151=100)*AR151</f>
        <v>0</v>
      </c>
      <c r="BL151" s="57">
        <f ca="1">MAX(0,SUMIF(Invoice!A:A,F151,Invoice!B:B)-SUMIF(F:F,F151,BJ:BJ))*(COUNTIF(F:F,F151)=COUNTIF($F$5:F151,F151))</f>
        <v>0</v>
      </c>
    </row>
    <row r="152" spans="1:64" hidden="1">
      <c r="A152" s="43">
        <v>152</v>
      </c>
      <c r="B152" s="35" t="s">
        <v>147</v>
      </c>
      <c r="C152" s="35" t="s">
        <v>146</v>
      </c>
      <c r="D152" s="35">
        <v>2</v>
      </c>
      <c r="E152" s="35">
        <v>510</v>
      </c>
      <c r="F152" s="64" t="s">
        <v>469</v>
      </c>
      <c r="G152" s="73" t="s">
        <v>470</v>
      </c>
      <c r="H152" s="35">
        <v>51</v>
      </c>
      <c r="I152" s="35" t="s">
        <v>55</v>
      </c>
      <c r="J152" s="35">
        <v>0</v>
      </c>
      <c r="K152" s="35" t="s">
        <v>466</v>
      </c>
      <c r="L152" s="35" t="s">
        <v>53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73</v>
      </c>
      <c r="S152" s="35" t="s">
        <v>73</v>
      </c>
      <c r="T152" s="36">
        <v>44901</v>
      </c>
      <c r="U152" s="36">
        <v>2958465</v>
      </c>
      <c r="V152" s="35" t="s">
        <v>282</v>
      </c>
      <c r="W152" s="35" t="s">
        <v>145</v>
      </c>
      <c r="X152" s="35"/>
      <c r="Y152" s="35" t="s">
        <v>143</v>
      </c>
      <c r="Z152" s="35">
        <v>7589154</v>
      </c>
      <c r="AA152" s="35">
        <v>190</v>
      </c>
      <c r="AB152" s="35">
        <v>95</v>
      </c>
      <c r="AC152" s="35"/>
      <c r="AE152" s="51">
        <f>M152/O152</f>
        <v>1</v>
      </c>
      <c r="AG152" s="6" t="str">
        <f>C152</f>
        <v>90MB1BJ0-C1BAY0</v>
      </c>
      <c r="AH152" s="6" t="str">
        <f>IF($D152&lt;=AH$4,"",IF(AND($D151=AH$4,$D152&gt;AH$4),$F151,AH151))</f>
        <v>59MB1BJB-MB0A02S</v>
      </c>
      <c r="AI152" s="6" t="str">
        <f>IF($D152&lt;=AI$4,"",IF(AND($D151=AI$4,$D152&gt;AI$4),$F151,AI151))</f>
        <v/>
      </c>
      <c r="AJ152" s="6" t="str">
        <f>IF($D152&lt;=AJ$4,"",IF(AND($D151=AJ$4,$D152&gt;AJ$4),$F151,AJ151))</f>
        <v/>
      </c>
      <c r="AK152" s="6" t="str">
        <f>IF($D152&lt;=AK$4,"",IF(AND($D151=AK$4,$D152&gt;AK$4),$F151,AK151))</f>
        <v/>
      </c>
      <c r="AL152" s="6" t="str">
        <f>IF($D152&lt;=AL$4,"",IF(AND($D151=AL$4,$D152&gt;AL$4),$F151,AL151))</f>
        <v/>
      </c>
      <c r="AM152" s="6" t="str">
        <f>IF($D152&lt;=AM$4,"",IF(AND($D151=AM$4,$D152&gt;AM$4),$F151,AM151))</f>
        <v/>
      </c>
      <c r="AN152" s="6" t="str">
        <f>IF($D152&lt;=AN$4,"",IF(AND($D151=AN$4,$D152&gt;AN$4),$F151,AN151))</f>
        <v/>
      </c>
      <c r="AO152" s="6" t="str">
        <f>CONCATENATE(AG152," | ",AH152," | ",AI152," | ",AJ152," | ",AK152," | ",AL152," | ",AM152," | ",AN152)</f>
        <v xml:space="preserve">90MB1BJ0-C1BAY0 | 59MB1BJB-MB0A02S |  |  |  |  |  | </v>
      </c>
      <c r="AP152" s="6">
        <f>IF(TRIM(H152)="",100,J152)</f>
        <v>0</v>
      </c>
      <c r="AQ152" s="4"/>
      <c r="AR152" s="6" t="b">
        <f>NOT(TRIM(W152)&lt;&gt;"F")</f>
        <v>1</v>
      </c>
      <c r="AS152" s="6" t="str">
        <f>$B152&amp;" | "&amp;$AO152&amp;" | "&amp;IF(TRIM(H152)="","uniq"&amp;ROW(),TRIM(H152))</f>
        <v>461E | 90MB1BJ0-C1BAY0 | 59MB1BJB-MB0A02S |  |  |  |  |  |  | 51</v>
      </c>
      <c r="AT152" s="63">
        <f>IF(NOT(AR152),IF(TRIM($H152)="","Assembly","Phantom Alt"),VLOOKUP(F152,ZPCS04!B:G,6,0))</f>
        <v>1064</v>
      </c>
      <c r="AU152" s="7"/>
      <c r="AV152" s="38">
        <f ca="1">IF(TRIM($W152)="F",OFFSET($A$5,MATCH($AS152,$AS$5:$AS152,0)-1,0),$A152)</f>
        <v>150</v>
      </c>
      <c r="AW152" s="38">
        <f ca="1">IFERROR(OFFSET(ZPCS04!$A$1,MATCH(F152,ZPCS04!B:B,0)-1,0),100)</f>
        <v>2</v>
      </c>
      <c r="AX152" s="7"/>
      <c r="AY152" s="6" t="b">
        <f>SUMIF(AS:AS,AS152,AP:AP)=100</f>
        <v>1</v>
      </c>
      <c r="AZ152" s="6" t="b">
        <f>SUMIF(AS:AS,AS152,AE:AE)/COUNTIF(AS:AS,AS152)=AE152</f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>C152&amp;" | "&amp;F152</f>
        <v>90MB1BJ0-C1BAY0 | 07009-00113600</v>
      </c>
      <c r="BE152" s="55" t="str">
        <f ca="1">C152&amp;" | "&amp;OFFSET($AF152,0,8-COUNTBLANK($AG152:$AN152))</f>
        <v>90MB1BJ0-C1BAY0 | 59MB1BJB-MB0A02S</v>
      </c>
      <c r="BF152" s="57">
        <f ca="1">IFERROR(VLOOKUP($BE152,$BD$5:$BF151,3,0)*$AE152,VLOOKUP($C152,Demanda!$A:$B,2,0)*$AE152)*IF(AT152="Phantom Alt",$BC152,TRUE)</f>
        <v>1000</v>
      </c>
      <c r="BG152" s="57">
        <f ca="1">BF152*(AP152/100)</f>
        <v>0</v>
      </c>
      <c r="BH152" s="57">
        <f>SUMIF(Invoice!A:A,F152,Invoice!B:B)</f>
        <v>0</v>
      </c>
      <c r="BI152" s="57">
        <f ca="1">SUMIF(AS:AS,AS152,BG:BG)</f>
        <v>1000</v>
      </c>
      <c r="BJ152" s="57">
        <f ca="1">MIN((BI152-SUMIF($AS$5:AS151,AS152,$BJ$5:BJ151)),MAX(0,BH152-SUMIF($F$5:F151,F152,$BJ$5:BJ151)))</f>
        <v>0</v>
      </c>
      <c r="BK152" s="57">
        <f ca="1">(-SUMIF(AS:AS,AS152,BG:BG)+SUMIF(AS:AS,AS152,BJ:BJ))*(AP152=100)*AR152</f>
        <v>0</v>
      </c>
      <c r="BL152" s="57">
        <f ca="1">MAX(0,SUMIF(Invoice!A:A,F152,Invoice!B:B)-SUMIF(F:F,F152,BJ:BJ))*(COUNTIF(F:F,F152)=COUNTIF($F$5:F152,F152))</f>
        <v>0</v>
      </c>
    </row>
    <row r="153" spans="1:64" hidden="1">
      <c r="A153" s="43">
        <v>153</v>
      </c>
      <c r="B153" s="35" t="s">
        <v>147</v>
      </c>
      <c r="C153" s="35" t="s">
        <v>146</v>
      </c>
      <c r="D153" s="35">
        <v>2</v>
      </c>
      <c r="E153" s="35">
        <v>520</v>
      </c>
      <c r="F153" s="64" t="s">
        <v>471</v>
      </c>
      <c r="G153" s="73" t="s">
        <v>472</v>
      </c>
      <c r="H153" s="35">
        <v>52</v>
      </c>
      <c r="I153" s="35" t="s">
        <v>54</v>
      </c>
      <c r="J153" s="35">
        <v>100</v>
      </c>
      <c r="K153" s="35" t="s">
        <v>150</v>
      </c>
      <c r="L153" s="35" t="s">
        <v>53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73</v>
      </c>
      <c r="S153" s="35" t="s">
        <v>73</v>
      </c>
      <c r="T153" s="36">
        <v>44901</v>
      </c>
      <c r="U153" s="36">
        <v>2958465</v>
      </c>
      <c r="V153" s="35" t="s">
        <v>282</v>
      </c>
      <c r="W153" s="35" t="s">
        <v>145</v>
      </c>
      <c r="X153" s="35"/>
      <c r="Y153" s="35" t="s">
        <v>143</v>
      </c>
      <c r="Z153" s="35">
        <v>7589154</v>
      </c>
      <c r="AA153" s="35">
        <v>194</v>
      </c>
      <c r="AB153" s="35">
        <v>97</v>
      </c>
      <c r="AC153" s="35" t="s">
        <v>144</v>
      </c>
      <c r="AE153" s="51">
        <f>M153/O153</f>
        <v>1</v>
      </c>
      <c r="AG153" s="6" t="str">
        <f>C153</f>
        <v>90MB1BJ0-C1BAY0</v>
      </c>
      <c r="AH153" s="6" t="str">
        <f>IF($D153&lt;=AH$4,"",IF(AND($D152=AH$4,$D153&gt;AH$4),$F152,AH152))</f>
        <v>59MB1BJB-MB0A02S</v>
      </c>
      <c r="AI153" s="6" t="str">
        <f>IF($D153&lt;=AI$4,"",IF(AND($D152=AI$4,$D153&gt;AI$4),$F152,AI152))</f>
        <v/>
      </c>
      <c r="AJ153" s="6" t="str">
        <f>IF($D153&lt;=AJ$4,"",IF(AND($D152=AJ$4,$D153&gt;AJ$4),$F152,AJ152))</f>
        <v/>
      </c>
      <c r="AK153" s="6" t="str">
        <f>IF($D153&lt;=AK$4,"",IF(AND($D152=AK$4,$D153&gt;AK$4),$F152,AK152))</f>
        <v/>
      </c>
      <c r="AL153" s="6" t="str">
        <f>IF($D153&lt;=AL$4,"",IF(AND($D152=AL$4,$D153&gt;AL$4),$F152,AL152))</f>
        <v/>
      </c>
      <c r="AM153" s="6" t="str">
        <f>IF($D153&lt;=AM$4,"",IF(AND($D152=AM$4,$D153&gt;AM$4),$F152,AM152))</f>
        <v/>
      </c>
      <c r="AN153" s="6" t="str">
        <f>IF($D153&lt;=AN$4,"",IF(AND($D152=AN$4,$D153&gt;AN$4),$F152,AN152))</f>
        <v/>
      </c>
      <c r="AO153" s="6" t="str">
        <f>CONCATENATE(AG153," | ",AH153," | ",AI153," | ",AJ153," | ",AK153," | ",AL153," | ",AM153," | ",AN153)</f>
        <v xml:space="preserve">90MB1BJ0-C1BAY0 | 59MB1BJB-MB0A02S |  |  |  |  |  | </v>
      </c>
      <c r="AP153" s="6">
        <f>IF(TRIM(H153)="",100,J153)</f>
        <v>100</v>
      </c>
      <c r="AQ153" s="4"/>
      <c r="AR153" s="6" t="b">
        <f>NOT(TRIM(W153)&lt;&gt;"F")</f>
        <v>1</v>
      </c>
      <c r="AS153" s="6" t="str">
        <f>$B153&amp;" | "&amp;$AO153&amp;" | "&amp;IF(TRIM(H153)="","uniq"&amp;ROW(),TRIM(H153))</f>
        <v>461E | 90MB1BJ0-C1BAY0 | 59MB1BJB-MB0A02S |  |  |  |  |  |  | 52</v>
      </c>
      <c r="AT153" s="63">
        <f>IF(NOT(AR153),IF(TRIM($H153)="","Assembly","Phantom Alt"),VLOOKUP(F153,ZPCS04!B:G,6,0))</f>
        <v>812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1.9999999900000001</v>
      </c>
      <c r="AX153" s="7"/>
      <c r="AY153" s="6" t="b">
        <f>SUMIF(AS:AS,AS153,AP:AP)=100</f>
        <v>1</v>
      </c>
      <c r="AZ153" s="6" t="b">
        <f>SUMIF(AS:AS,AS153,AE:AE)/COUNTIF(AS:AS,AS153)=AE153</f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>C153&amp;" | "&amp;F153</f>
        <v>90MB1BJ0-C1BAY0 | 07009-00113900</v>
      </c>
      <c r="BE153" s="55" t="str">
        <f ca="1">C153&amp;" | "&amp;OFFSET($AF153,0,8-COUNTBLANK($AG153:$AN153))</f>
        <v>90MB1BJ0-C1BAY0 | 59MB1BJB-MB0A02S</v>
      </c>
      <c r="BF153" s="57">
        <f ca="1">IFERROR(VLOOKUP($BE153,$BD$5:$BF152,3,0)*$AE153,VLOOKUP($C153,Demanda!$A:$B,2,0)*$AE153)*IF(AT153="Phantom Alt",$BC153,TRUE)</f>
        <v>1000</v>
      </c>
      <c r="BG153" s="57">
        <f ca="1">BF153*(AP153/100)</f>
        <v>1000</v>
      </c>
      <c r="BH153" s="57">
        <f>SUMIF(Invoice!A:A,F153,Invoice!B:B)</f>
        <v>1000</v>
      </c>
      <c r="BI153" s="57">
        <f ca="1">SUMIF(AS:AS,AS153,BG:BG)</f>
        <v>1000</v>
      </c>
      <c r="BJ153" s="57">
        <f ca="1">MIN((BI153-SUMIF($AS$5:AS152,AS153,$BJ$5:BJ152)),MAX(0,BH153-SUMIF($F$5:F152,F153,$BJ$5:BJ152)))</f>
        <v>1000</v>
      </c>
      <c r="BK153" s="57">
        <f ca="1">(-SUMIF(AS:AS,AS153,BG:BG)+SUMIF(AS:AS,AS153,BJ:BJ))*(AP153=100)*AR153</f>
        <v>0</v>
      </c>
      <c r="BL153" s="57">
        <f ca="1">MAX(0,SUMIF(Invoice!A:A,F153,Invoice!B:B)-SUMIF(F:F,F153,BJ:BJ))*(COUNTIF(F:F,F153)=COUNTIF($F$5:F153,F153))</f>
        <v>0</v>
      </c>
    </row>
    <row r="154" spans="1:64" hidden="1">
      <c r="A154" s="43">
        <v>154</v>
      </c>
      <c r="B154" s="35" t="s">
        <v>147</v>
      </c>
      <c r="C154" s="35" t="s">
        <v>146</v>
      </c>
      <c r="D154" s="35">
        <v>2</v>
      </c>
      <c r="E154" s="35">
        <v>520</v>
      </c>
      <c r="F154" s="64" t="s">
        <v>473</v>
      </c>
      <c r="G154" s="73" t="s">
        <v>474</v>
      </c>
      <c r="H154" s="35">
        <v>52</v>
      </c>
      <c r="I154" s="35" t="s">
        <v>55</v>
      </c>
      <c r="J154" s="35">
        <v>0</v>
      </c>
      <c r="K154" s="35" t="s">
        <v>150</v>
      </c>
      <c r="L154" s="35" t="s">
        <v>53</v>
      </c>
      <c r="M154" s="35">
        <v>1</v>
      </c>
      <c r="N154" s="35"/>
      <c r="O154" s="35">
        <v>1</v>
      </c>
      <c r="P154" s="35">
        <v>2</v>
      </c>
      <c r="Q154" s="35">
        <v>4</v>
      </c>
      <c r="R154" s="35" t="s">
        <v>73</v>
      </c>
      <c r="S154" s="35" t="s">
        <v>73</v>
      </c>
      <c r="T154" s="36">
        <v>44901</v>
      </c>
      <c r="U154" s="36">
        <v>2958465</v>
      </c>
      <c r="V154" s="35" t="s">
        <v>282</v>
      </c>
      <c r="W154" s="35" t="s">
        <v>145</v>
      </c>
      <c r="X154" s="35"/>
      <c r="Y154" s="35" t="s">
        <v>143</v>
      </c>
      <c r="Z154" s="35">
        <v>7589154</v>
      </c>
      <c r="AA154" s="35">
        <v>200</v>
      </c>
      <c r="AB154" s="35">
        <v>100</v>
      </c>
      <c r="AC154" s="35"/>
      <c r="AE154" s="51">
        <f>M154/O154</f>
        <v>1</v>
      </c>
      <c r="AG154" s="6" t="str">
        <f>C154</f>
        <v>90MB1BJ0-C1BAY0</v>
      </c>
      <c r="AH154" s="6" t="str">
        <f>IF($D154&lt;=AH$4,"",IF(AND($D153=AH$4,$D154&gt;AH$4),$F153,AH153))</f>
        <v>59MB1BJB-MB0A02S</v>
      </c>
      <c r="AI154" s="6" t="str">
        <f>IF($D154&lt;=AI$4,"",IF(AND($D153=AI$4,$D154&gt;AI$4),$F153,AI153))</f>
        <v/>
      </c>
      <c r="AJ154" s="6" t="str">
        <f>IF($D154&lt;=AJ$4,"",IF(AND($D153=AJ$4,$D154&gt;AJ$4),$F153,AJ153))</f>
        <v/>
      </c>
      <c r="AK154" s="6" t="str">
        <f>IF($D154&lt;=AK$4,"",IF(AND($D153=AK$4,$D154&gt;AK$4),$F153,AK153))</f>
        <v/>
      </c>
      <c r="AL154" s="6" t="str">
        <f>IF($D154&lt;=AL$4,"",IF(AND($D153=AL$4,$D154&gt;AL$4),$F153,AL153))</f>
        <v/>
      </c>
      <c r="AM154" s="6" t="str">
        <f>IF($D154&lt;=AM$4,"",IF(AND($D153=AM$4,$D154&gt;AM$4),$F153,AM153))</f>
        <v/>
      </c>
      <c r="AN154" s="6" t="str">
        <f>IF($D154&lt;=AN$4,"",IF(AND($D153=AN$4,$D154&gt;AN$4),$F153,AN153))</f>
        <v/>
      </c>
      <c r="AO154" s="6" t="str">
        <f>CONCATENATE(AG154," | ",AH154," | ",AI154," | ",AJ154," | ",AK154," | ",AL154," | ",AM154," | ",AN154)</f>
        <v xml:space="preserve">90MB1BJ0-C1BAY0 | 59MB1BJB-MB0A02S |  |  |  |  |  | </v>
      </c>
      <c r="AP154" s="6">
        <f>IF(TRIM(H154)="",100,J154)</f>
        <v>0</v>
      </c>
      <c r="AQ154" s="4"/>
      <c r="AR154" s="6" t="b">
        <f>NOT(TRIM(W154)&lt;&gt;"F")</f>
        <v>1</v>
      </c>
      <c r="AS154" s="6" t="str">
        <f>$B154&amp;" | "&amp;$AO154&amp;" | "&amp;IF(TRIM(H154)="","uniq"&amp;ROW(),TRIM(H154))</f>
        <v>461E | 90MB1BJ0-C1BAY0 | 59MB1BJB-MB0A02S |  |  |  |  |  |  | 52</v>
      </c>
      <c r="AT154" s="63">
        <f>IF(NOT(AR154),IF(TRIM($H154)="","Assembly","Phantom Alt"),VLOOKUP(F154,ZPCS04!B:G,6,0))</f>
        <v>812</v>
      </c>
      <c r="AU154" s="7"/>
      <c r="AV154" s="38">
        <f ca="1">IF(TRIM($W154)="F",OFFSET($A$5,MATCH($AS154,$AS$5:$AS154,0)-1,0),$A154)</f>
        <v>153</v>
      </c>
      <c r="AW154" s="38">
        <f ca="1">IFERROR(OFFSET(ZPCS04!$A$1,MATCH(F154,ZPCS04!B:B,0)-1,0),100)</f>
        <v>2</v>
      </c>
      <c r="AX154" s="7"/>
      <c r="AY154" s="6" t="b">
        <f>SUMIF(AS:AS,AS154,AP:AP)=100</f>
        <v>1</v>
      </c>
      <c r="AZ154" s="6" t="b">
        <f>SUMIF(AS:AS,AS154,AE:AE)/COUNTIF(AS:AS,AS154)=AE154</f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>C154&amp;" | "&amp;F154</f>
        <v>90MB1BJ0-C1BAY0 | 07G01030327K</v>
      </c>
      <c r="BE154" s="55" t="str">
        <f ca="1">C154&amp;" | "&amp;OFFSET($AF154,0,8-COUNTBLANK($AG154:$AN154))</f>
        <v>90MB1BJ0-C1BAY0 | 59MB1BJB-MB0A02S</v>
      </c>
      <c r="BF154" s="57">
        <f ca="1">IFERROR(VLOOKUP($BE154,$BD$5:$BF153,3,0)*$AE154,VLOOKUP($C154,Demanda!$A:$B,2,0)*$AE154)*IF(AT154="Phantom Alt",$BC154,TRUE)</f>
        <v>1000</v>
      </c>
      <c r="BG154" s="57">
        <f ca="1">BF154*(AP154/100)</f>
        <v>0</v>
      </c>
      <c r="BH154" s="57">
        <f>SUMIF(Invoice!A:A,F154,Invoice!B:B)</f>
        <v>0</v>
      </c>
      <c r="BI154" s="57">
        <f ca="1">SUMIF(AS:AS,AS154,BG:BG)</f>
        <v>1000</v>
      </c>
      <c r="BJ154" s="57">
        <f ca="1">MIN((BI154-SUMIF($AS$5:AS153,AS154,$BJ$5:BJ153)),MAX(0,BH154-SUMIF($F$5:F153,F154,$BJ$5:BJ153)))</f>
        <v>0</v>
      </c>
      <c r="BK154" s="57">
        <f ca="1">(-SUMIF(AS:AS,AS154,BG:BG)+SUMIF(AS:AS,AS154,BJ:BJ))*(AP154=100)*AR154</f>
        <v>0</v>
      </c>
      <c r="BL154" s="57">
        <f ca="1">MAX(0,SUMIF(Invoice!A:A,F154,Invoice!B:B)-SUMIF(F:F,F154,BJ:BJ))*(COUNTIF(F:F,F154)=COUNTIF($F$5:F154,F154))</f>
        <v>0</v>
      </c>
    </row>
    <row r="155" spans="1:64" hidden="1">
      <c r="A155" s="43">
        <v>155</v>
      </c>
      <c r="B155" s="35" t="s">
        <v>147</v>
      </c>
      <c r="C155" s="35" t="s">
        <v>146</v>
      </c>
      <c r="D155" s="35">
        <v>2</v>
      </c>
      <c r="E155" s="35">
        <v>520</v>
      </c>
      <c r="F155" s="64" t="s">
        <v>475</v>
      </c>
      <c r="G155" s="73" t="s">
        <v>476</v>
      </c>
      <c r="H155" s="35">
        <v>52</v>
      </c>
      <c r="I155" s="35" t="s">
        <v>55</v>
      </c>
      <c r="J155" s="35">
        <v>0</v>
      </c>
      <c r="K155" s="35" t="s">
        <v>150</v>
      </c>
      <c r="L155" s="35" t="s">
        <v>53</v>
      </c>
      <c r="M155" s="35">
        <v>1</v>
      </c>
      <c r="N155" s="35"/>
      <c r="O155" s="35">
        <v>1</v>
      </c>
      <c r="P155" s="35">
        <v>2</v>
      </c>
      <c r="Q155" s="35">
        <v>3</v>
      </c>
      <c r="R155" s="35" t="s">
        <v>73</v>
      </c>
      <c r="S155" s="35" t="s">
        <v>73</v>
      </c>
      <c r="T155" s="36">
        <v>44901</v>
      </c>
      <c r="U155" s="36">
        <v>2958465</v>
      </c>
      <c r="V155" s="35" t="s">
        <v>282</v>
      </c>
      <c r="W155" s="35" t="s">
        <v>145</v>
      </c>
      <c r="X155" s="35"/>
      <c r="Y155" s="35" t="s">
        <v>143</v>
      </c>
      <c r="Z155" s="35">
        <v>7589154</v>
      </c>
      <c r="AA155" s="35">
        <v>198</v>
      </c>
      <c r="AB155" s="35">
        <v>99</v>
      </c>
      <c r="AC155" s="35"/>
      <c r="AE155" s="51">
        <f>M155/O155</f>
        <v>1</v>
      </c>
      <c r="AG155" s="6" t="str">
        <f>C155</f>
        <v>90MB1BJ0-C1BAY0</v>
      </c>
      <c r="AH155" s="6" t="str">
        <f>IF($D155&lt;=AH$4,"",IF(AND($D154=AH$4,$D155&gt;AH$4),$F154,AH154))</f>
        <v>59MB1BJB-MB0A02S</v>
      </c>
      <c r="AI155" s="6" t="str">
        <f>IF($D155&lt;=AI$4,"",IF(AND($D154=AI$4,$D155&gt;AI$4),$F154,AI154))</f>
        <v/>
      </c>
      <c r="AJ155" s="6" t="str">
        <f>IF($D155&lt;=AJ$4,"",IF(AND($D154=AJ$4,$D155&gt;AJ$4),$F154,AJ154))</f>
        <v/>
      </c>
      <c r="AK155" s="6" t="str">
        <f>IF($D155&lt;=AK$4,"",IF(AND($D154=AK$4,$D155&gt;AK$4),$F154,AK154))</f>
        <v/>
      </c>
      <c r="AL155" s="6" t="str">
        <f>IF($D155&lt;=AL$4,"",IF(AND($D154=AL$4,$D155&gt;AL$4),$F154,AL154))</f>
        <v/>
      </c>
      <c r="AM155" s="6" t="str">
        <f>IF($D155&lt;=AM$4,"",IF(AND($D154=AM$4,$D155&gt;AM$4),$F154,AM154))</f>
        <v/>
      </c>
      <c r="AN155" s="6" t="str">
        <f>IF($D155&lt;=AN$4,"",IF(AND($D154=AN$4,$D155&gt;AN$4),$F154,AN154))</f>
        <v/>
      </c>
      <c r="AO155" s="6" t="str">
        <f>CONCATENATE(AG155," | ",AH155," | ",AI155," | ",AJ155," | ",AK155," | ",AL155," | ",AM155," | ",AN155)</f>
        <v xml:space="preserve">90MB1BJ0-C1BAY0 | 59MB1BJB-MB0A02S |  |  |  |  |  | </v>
      </c>
      <c r="AP155" s="6">
        <f>IF(TRIM(H155)="",100,J155)</f>
        <v>0</v>
      </c>
      <c r="AQ155" s="4"/>
      <c r="AR155" s="6" t="b">
        <f>NOT(TRIM(W155)&lt;&gt;"F")</f>
        <v>1</v>
      </c>
      <c r="AS155" s="6" t="str">
        <f>$B155&amp;" | "&amp;$AO155&amp;" | "&amp;IF(TRIM(H155)="","uniq"&amp;ROW(),TRIM(H155))</f>
        <v>461E | 90MB1BJ0-C1BAY0 | 59MB1BJB-MB0A02S |  |  |  |  |  |  | 52</v>
      </c>
      <c r="AT155" s="63">
        <f>IF(NOT(AR155),IF(TRIM($H155)="","Assembly","Phantom Alt"),VLOOKUP(F155,ZPCS04!B:G,6,0))</f>
        <v>812</v>
      </c>
      <c r="AU155" s="7"/>
      <c r="AV155" s="38">
        <f ca="1">IF(TRIM($W155)="F",OFFSET($A$5,MATCH($AS155,$AS$5:$AS155,0)-1,0),$A155)</f>
        <v>153</v>
      </c>
      <c r="AW155" s="38">
        <f ca="1">IFERROR(OFFSET(ZPCS04!$A$1,MATCH(F155,ZPCS04!B:B,0)-1,0),100)</f>
        <v>2</v>
      </c>
      <c r="AX155" s="7"/>
      <c r="AY155" s="6" t="b">
        <f>SUMIF(AS:AS,AS155,AP:AP)=100</f>
        <v>1</v>
      </c>
      <c r="AZ155" s="6" t="b">
        <f>SUMIF(AS:AS,AS155,AE:AE)/COUNTIF(AS:AS,AS155)=AE155</f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>C155&amp;" | "&amp;F155</f>
        <v>90MB1BJ0-C1BAY0 | 07G010403276</v>
      </c>
      <c r="BE155" s="55" t="str">
        <f ca="1">C155&amp;" | "&amp;OFFSET($AF155,0,8-COUNTBLANK($AG155:$AN155))</f>
        <v>90MB1BJ0-C1BAY0 | 59MB1BJB-MB0A02S</v>
      </c>
      <c r="BF155" s="57">
        <f ca="1">IFERROR(VLOOKUP($BE155,$BD$5:$BF154,3,0)*$AE155,VLOOKUP($C155,Demanda!$A:$B,2,0)*$AE155)*IF(AT155="Phantom Alt",$BC155,TRUE)</f>
        <v>1000</v>
      </c>
      <c r="BG155" s="57">
        <f ca="1">BF155*(AP155/100)</f>
        <v>0</v>
      </c>
      <c r="BH155" s="57">
        <f>SUMIF(Invoice!A:A,F155,Invoice!B:B)</f>
        <v>0</v>
      </c>
      <c r="BI155" s="57">
        <f ca="1">SUMIF(AS:AS,AS155,BG:BG)</f>
        <v>1000</v>
      </c>
      <c r="BJ155" s="57">
        <f ca="1">MIN((BI155-SUMIF($AS$5:AS154,AS155,$BJ$5:BJ154)),MAX(0,BH155-SUMIF($F$5:F154,F155,$BJ$5:BJ154)))</f>
        <v>0</v>
      </c>
      <c r="BK155" s="57">
        <f ca="1">(-SUMIF(AS:AS,AS155,BG:BG)+SUMIF(AS:AS,AS155,BJ:BJ))*(AP155=100)*AR155</f>
        <v>0</v>
      </c>
      <c r="BL155" s="57">
        <f ca="1">MAX(0,SUMIF(Invoice!A:A,F155,Invoice!B:B)-SUMIF(F:F,F155,BJ:BJ))*(COUNTIF(F:F,F155)=COUNTIF($F$5:F155,F155))</f>
        <v>0</v>
      </c>
    </row>
    <row r="156" spans="1:64" hidden="1">
      <c r="A156" s="43">
        <v>156</v>
      </c>
      <c r="B156" s="35" t="s">
        <v>147</v>
      </c>
      <c r="C156" s="35" t="s">
        <v>146</v>
      </c>
      <c r="D156" s="35">
        <v>2</v>
      </c>
      <c r="E156" s="35">
        <v>520</v>
      </c>
      <c r="F156" s="64" t="s">
        <v>477</v>
      </c>
      <c r="G156" s="73" t="s">
        <v>478</v>
      </c>
      <c r="H156" s="35">
        <v>52</v>
      </c>
      <c r="I156" s="35" t="s">
        <v>55</v>
      </c>
      <c r="J156" s="35">
        <v>0</v>
      </c>
      <c r="K156" s="35" t="s">
        <v>150</v>
      </c>
      <c r="L156" s="35" t="s">
        <v>53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73</v>
      </c>
      <c r="S156" s="35" t="s">
        <v>73</v>
      </c>
      <c r="T156" s="36">
        <v>44901</v>
      </c>
      <c r="U156" s="36">
        <v>2958465</v>
      </c>
      <c r="V156" s="35" t="s">
        <v>282</v>
      </c>
      <c r="W156" s="35" t="s">
        <v>145</v>
      </c>
      <c r="X156" s="35"/>
      <c r="Y156" s="35" t="s">
        <v>143</v>
      </c>
      <c r="Z156" s="35">
        <v>7589154</v>
      </c>
      <c r="AA156" s="35">
        <v>196</v>
      </c>
      <c r="AB156" s="35">
        <v>98</v>
      </c>
      <c r="AC156" s="35" t="s">
        <v>144</v>
      </c>
      <c r="AE156" s="51">
        <f>M156/O156</f>
        <v>1</v>
      </c>
      <c r="AG156" s="6" t="str">
        <f>C156</f>
        <v>90MB1BJ0-C1BAY0</v>
      </c>
      <c r="AH156" s="6" t="str">
        <f>IF($D156&lt;=AH$4,"",IF(AND($D155=AH$4,$D156&gt;AH$4),$F155,AH155))</f>
        <v>59MB1BJB-MB0A02S</v>
      </c>
      <c r="AI156" s="6" t="str">
        <f>IF($D156&lt;=AI$4,"",IF(AND($D155=AI$4,$D156&gt;AI$4),$F155,AI155))</f>
        <v/>
      </c>
      <c r="AJ156" s="6" t="str">
        <f>IF($D156&lt;=AJ$4,"",IF(AND($D155=AJ$4,$D156&gt;AJ$4),$F155,AJ155))</f>
        <v/>
      </c>
      <c r="AK156" s="6" t="str">
        <f>IF($D156&lt;=AK$4,"",IF(AND($D155=AK$4,$D156&gt;AK$4),$F155,AK155))</f>
        <v/>
      </c>
      <c r="AL156" s="6" t="str">
        <f>IF($D156&lt;=AL$4,"",IF(AND($D155=AL$4,$D156&gt;AL$4),$F155,AL155))</f>
        <v/>
      </c>
      <c r="AM156" s="6" t="str">
        <f>IF($D156&lt;=AM$4,"",IF(AND($D155=AM$4,$D156&gt;AM$4),$F155,AM155))</f>
        <v/>
      </c>
      <c r="AN156" s="6" t="str">
        <f>IF($D156&lt;=AN$4,"",IF(AND($D155=AN$4,$D156&gt;AN$4),$F155,AN155))</f>
        <v/>
      </c>
      <c r="AO156" s="6" t="str">
        <f>CONCATENATE(AG156," | ",AH156," | ",AI156," | ",AJ156," | ",AK156," | ",AL156," | ",AM156," | ",AN156)</f>
        <v xml:space="preserve">90MB1BJ0-C1BAY0 | 59MB1BJB-MB0A02S |  |  |  |  |  | </v>
      </c>
      <c r="AP156" s="6">
        <f>IF(TRIM(H156)="",100,J156)</f>
        <v>0</v>
      </c>
      <c r="AQ156" s="4"/>
      <c r="AR156" s="6" t="b">
        <f>NOT(TRIM(W156)&lt;&gt;"F")</f>
        <v>1</v>
      </c>
      <c r="AS156" s="6" t="str">
        <f>$B156&amp;" | "&amp;$AO156&amp;" | "&amp;IF(TRIM(H156)="","uniq"&amp;ROW(),TRIM(H156))</f>
        <v>461E | 90MB1BJ0-C1BAY0 | 59MB1BJB-MB0A02S |  |  |  |  |  |  | 52</v>
      </c>
      <c r="AT156" s="63">
        <f>IF(NOT(AR156),IF(TRIM($H156)="","Assembly","Phantom Alt"),VLOOKUP(F156,ZPCS04!B:G,6,0))</f>
        <v>812</v>
      </c>
      <c r="AU156" s="7"/>
      <c r="AV156" s="38">
        <f ca="1">IF(TRIM($W156)="F",OFFSET($A$5,MATCH($AS156,$AS$5:$AS156,0)-1,0),$A156)</f>
        <v>153</v>
      </c>
      <c r="AW156" s="38">
        <f ca="1">IFERROR(OFFSET(ZPCS04!$A$1,MATCH(F156,ZPCS04!B:B,0)-1,0),100)</f>
        <v>2</v>
      </c>
      <c r="AX156" s="7"/>
      <c r="AY156" s="6" t="b">
        <f>SUMIF(AS:AS,AS156,AP:AP)=100</f>
        <v>1</v>
      </c>
      <c r="AZ156" s="6" t="b">
        <f>SUMIF(AS:AS,AS156,AE:AE)/COUNTIF(AS:AS,AS156)=AE156</f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>C156&amp;" | "&amp;F156</f>
        <v>90MB1BJ0-C1BAY0 | 07G010703275</v>
      </c>
      <c r="BE156" s="55" t="str">
        <f ca="1">C156&amp;" | "&amp;OFFSET($AF156,0,8-COUNTBLANK($AG156:$AN156))</f>
        <v>90MB1BJ0-C1BAY0 | 59MB1BJB-MB0A02S</v>
      </c>
      <c r="BF156" s="57">
        <f ca="1">IFERROR(VLOOKUP($BE156,$BD$5:$BF155,3,0)*$AE156,VLOOKUP($C156,Demanda!$A:$B,2,0)*$AE156)*IF(AT156="Phantom Alt",$BC156,TRUE)</f>
        <v>1000</v>
      </c>
      <c r="BG156" s="57">
        <f ca="1">BF156*(AP156/100)</f>
        <v>0</v>
      </c>
      <c r="BH156" s="57">
        <f>SUMIF(Invoice!A:A,F156,Invoice!B:B)</f>
        <v>0</v>
      </c>
      <c r="BI156" s="57">
        <f ca="1">SUMIF(AS:AS,AS156,BG:BG)</f>
        <v>1000</v>
      </c>
      <c r="BJ156" s="57">
        <f ca="1">MIN((BI156-SUMIF($AS$5:AS155,AS156,$BJ$5:BJ155)),MAX(0,BH156-SUMIF($F$5:F155,F156,$BJ$5:BJ155)))</f>
        <v>0</v>
      </c>
      <c r="BK156" s="57">
        <f ca="1">(-SUMIF(AS:AS,AS156,BG:BG)+SUMIF(AS:AS,AS156,BJ:BJ))*(AP156=100)*AR156</f>
        <v>0</v>
      </c>
      <c r="BL156" s="57">
        <f ca="1">MAX(0,SUMIF(Invoice!A:A,F156,Invoice!B:B)-SUMIF(F:F,F156,BJ:BJ))*(COUNTIF(F:F,F156)=COUNTIF($F$5:F156,F156))</f>
        <v>0</v>
      </c>
    </row>
    <row r="157" spans="1:64" hidden="1">
      <c r="A157" s="43">
        <v>157</v>
      </c>
      <c r="B157" s="35" t="s">
        <v>147</v>
      </c>
      <c r="C157" s="35" t="s">
        <v>146</v>
      </c>
      <c r="D157" s="35">
        <v>2</v>
      </c>
      <c r="E157" s="35">
        <v>530</v>
      </c>
      <c r="F157" s="64" t="s">
        <v>479</v>
      </c>
      <c r="G157" s="73" t="s">
        <v>480</v>
      </c>
      <c r="H157" s="35">
        <v>53</v>
      </c>
      <c r="I157" s="35" t="s">
        <v>54</v>
      </c>
      <c r="J157" s="35">
        <v>100</v>
      </c>
      <c r="K157" s="35" t="s">
        <v>150</v>
      </c>
      <c r="L157" s="35" t="s">
        <v>53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73</v>
      </c>
      <c r="S157" s="35" t="s">
        <v>73</v>
      </c>
      <c r="T157" s="36">
        <v>44901</v>
      </c>
      <c r="U157" s="36">
        <v>2958465</v>
      </c>
      <c r="V157" s="35" t="s">
        <v>282</v>
      </c>
      <c r="W157" s="35" t="s">
        <v>145</v>
      </c>
      <c r="X157" s="35"/>
      <c r="Y157" s="35" t="s">
        <v>143</v>
      </c>
      <c r="Z157" s="35">
        <v>7589154</v>
      </c>
      <c r="AA157" s="35">
        <v>202</v>
      </c>
      <c r="AB157" s="35">
        <v>101</v>
      </c>
      <c r="AC157" s="35"/>
      <c r="AE157" s="51">
        <f>M157/O157</f>
        <v>1</v>
      </c>
      <c r="AG157" s="6" t="str">
        <f>C157</f>
        <v>90MB1BJ0-C1BAY0</v>
      </c>
      <c r="AH157" s="6" t="str">
        <f>IF($D157&lt;=AH$4,"",IF(AND($D156=AH$4,$D157&gt;AH$4),$F156,AH156))</f>
        <v>59MB1BJB-MB0A02S</v>
      </c>
      <c r="AI157" s="6" t="str">
        <f>IF($D157&lt;=AI$4,"",IF(AND($D156=AI$4,$D157&gt;AI$4),$F156,AI156))</f>
        <v/>
      </c>
      <c r="AJ157" s="6" t="str">
        <f>IF($D157&lt;=AJ$4,"",IF(AND($D156=AJ$4,$D157&gt;AJ$4),$F156,AJ156))</f>
        <v/>
      </c>
      <c r="AK157" s="6" t="str">
        <f>IF($D157&lt;=AK$4,"",IF(AND($D156=AK$4,$D157&gt;AK$4),$F156,AK156))</f>
        <v/>
      </c>
      <c r="AL157" s="6" t="str">
        <f>IF($D157&lt;=AL$4,"",IF(AND($D156=AL$4,$D157&gt;AL$4),$F156,AL156))</f>
        <v/>
      </c>
      <c r="AM157" s="6" t="str">
        <f>IF($D157&lt;=AM$4,"",IF(AND($D156=AM$4,$D157&gt;AM$4),$F156,AM156))</f>
        <v/>
      </c>
      <c r="AN157" s="6" t="str">
        <f>IF($D157&lt;=AN$4,"",IF(AND($D156=AN$4,$D157&gt;AN$4),$F156,AN156))</f>
        <v/>
      </c>
      <c r="AO157" s="6" t="str">
        <f>CONCATENATE(AG157," | ",AH157," | ",AI157," | ",AJ157," | ",AK157," | ",AL157," | ",AM157," | ",AN157)</f>
        <v xml:space="preserve">90MB1BJ0-C1BAY0 | 59MB1BJB-MB0A02S |  |  |  |  |  | </v>
      </c>
      <c r="AP157" s="6">
        <f>IF(TRIM(H157)="",100,J157)</f>
        <v>100</v>
      </c>
      <c r="AQ157" s="4"/>
      <c r="AR157" s="6" t="b">
        <f>NOT(TRIM(W157)&lt;&gt;"F")</f>
        <v>1</v>
      </c>
      <c r="AS157" s="6" t="str">
        <f>$B157&amp;" | "&amp;$AO157&amp;" | "&amp;IF(TRIM(H157)="","uniq"&amp;ROW(),TRIM(H157))</f>
        <v>461E | 90MB1BJ0-C1BAY0 | 59MB1BJB-MB0A02S |  |  |  |  |  |  | 53</v>
      </c>
      <c r="AT157" s="63">
        <f>IF(NOT(AR157),IF(TRIM($H157)="","Assembly","Phantom Alt"),VLOOKUP(F157,ZPCS04!B:G,6,0))</f>
        <v>600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1.9999999900000001</v>
      </c>
      <c r="AX157" s="7"/>
      <c r="AY157" s="6" t="b">
        <f>SUMIF(AS:AS,AS157,AP:AP)=100</f>
        <v>1</v>
      </c>
      <c r="AZ157" s="6" t="b">
        <f>SUMIF(AS:AS,AS157,AE:AE)/COUNTIF(AS:AS,AS157)=AE157</f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>C157&amp;" | "&amp;F157</f>
        <v>90MB1BJ0-C1BAY0 | 07013-00030200</v>
      </c>
      <c r="BE157" s="55" t="str">
        <f ca="1">C157&amp;" | "&amp;OFFSET($AF157,0,8-COUNTBLANK($AG157:$AN157))</f>
        <v>90MB1BJ0-C1BAY0 | 59MB1BJB-MB0A02S</v>
      </c>
      <c r="BF157" s="57">
        <f ca="1">IFERROR(VLOOKUP($BE157,$BD$5:$BF156,3,0)*$AE157,VLOOKUP($C157,Demanda!$A:$B,2,0)*$AE157)*IF(AT157="Phantom Alt",$BC157,TRUE)</f>
        <v>1000</v>
      </c>
      <c r="BG157" s="57">
        <f ca="1">BF157*(AP157/100)</f>
        <v>1000</v>
      </c>
      <c r="BH157" s="57">
        <f>SUMIF(Invoice!A:A,F157,Invoice!B:B)</f>
        <v>1000</v>
      </c>
      <c r="BI157" s="57">
        <f ca="1">SUMIF(AS:AS,AS157,BG:BG)</f>
        <v>1000</v>
      </c>
      <c r="BJ157" s="57">
        <f ca="1">MIN((BI157-SUMIF($AS$5:AS156,AS157,$BJ$5:BJ156)),MAX(0,BH157-SUMIF($F$5:F156,F157,$BJ$5:BJ156)))</f>
        <v>1000</v>
      </c>
      <c r="BK157" s="57">
        <f ca="1">(-SUMIF(AS:AS,AS157,BG:BG)+SUMIF(AS:AS,AS157,BJ:BJ))*(AP157=100)*AR157</f>
        <v>0</v>
      </c>
      <c r="BL157" s="57">
        <f ca="1">MAX(0,SUMIF(Invoice!A:A,F157,Invoice!B:B)-SUMIF(F:F,F157,BJ:BJ))*(COUNTIF(F:F,F157)=COUNTIF($F$5:F157,F157))</f>
        <v>0</v>
      </c>
    </row>
    <row r="158" spans="1:64" hidden="1">
      <c r="A158" s="43">
        <v>158</v>
      </c>
      <c r="B158" s="35" t="s">
        <v>147</v>
      </c>
      <c r="C158" s="35" t="s">
        <v>146</v>
      </c>
      <c r="D158" s="35">
        <v>2</v>
      </c>
      <c r="E158" s="35">
        <v>530</v>
      </c>
      <c r="F158" s="64" t="s">
        <v>481</v>
      </c>
      <c r="G158" s="73" t="s">
        <v>482</v>
      </c>
      <c r="H158" s="35">
        <v>53</v>
      </c>
      <c r="I158" s="35" t="s">
        <v>55</v>
      </c>
      <c r="J158" s="35">
        <v>0</v>
      </c>
      <c r="K158" s="35" t="s">
        <v>150</v>
      </c>
      <c r="L158" s="35" t="s">
        <v>53</v>
      </c>
      <c r="M158" s="35">
        <v>1</v>
      </c>
      <c r="N158" s="35"/>
      <c r="O158" s="35">
        <v>1</v>
      </c>
      <c r="P158" s="35">
        <v>2</v>
      </c>
      <c r="Q158" s="35">
        <v>2</v>
      </c>
      <c r="R158" s="35" t="s">
        <v>73</v>
      </c>
      <c r="S158" s="35" t="s">
        <v>73</v>
      </c>
      <c r="T158" s="36">
        <v>44901</v>
      </c>
      <c r="U158" s="36">
        <v>2958465</v>
      </c>
      <c r="V158" s="35" t="s">
        <v>282</v>
      </c>
      <c r="W158" s="35" t="s">
        <v>145</v>
      </c>
      <c r="X158" s="35"/>
      <c r="Y158" s="35" t="s">
        <v>143</v>
      </c>
      <c r="Z158" s="35">
        <v>7589154</v>
      </c>
      <c r="AA158" s="35">
        <v>204</v>
      </c>
      <c r="AB158" s="35">
        <v>102</v>
      </c>
      <c r="AC158" s="35"/>
      <c r="AE158" s="51">
        <f>M158/O158</f>
        <v>1</v>
      </c>
      <c r="AG158" s="6" t="str">
        <f>C158</f>
        <v>90MB1BJ0-C1BAY0</v>
      </c>
      <c r="AH158" s="6" t="str">
        <f>IF($D158&lt;=AH$4,"",IF(AND($D157=AH$4,$D158&gt;AH$4),$F157,AH157))</f>
        <v>59MB1BJB-MB0A02S</v>
      </c>
      <c r="AI158" s="6" t="str">
        <f>IF($D158&lt;=AI$4,"",IF(AND($D157=AI$4,$D158&gt;AI$4),$F157,AI157))</f>
        <v/>
      </c>
      <c r="AJ158" s="6" t="str">
        <f>IF($D158&lt;=AJ$4,"",IF(AND($D157=AJ$4,$D158&gt;AJ$4),$F157,AJ157))</f>
        <v/>
      </c>
      <c r="AK158" s="6" t="str">
        <f>IF($D158&lt;=AK$4,"",IF(AND($D157=AK$4,$D158&gt;AK$4),$F157,AK157))</f>
        <v/>
      </c>
      <c r="AL158" s="6" t="str">
        <f>IF($D158&lt;=AL$4,"",IF(AND($D157=AL$4,$D158&gt;AL$4),$F157,AL157))</f>
        <v/>
      </c>
      <c r="AM158" s="6" t="str">
        <f>IF($D158&lt;=AM$4,"",IF(AND($D157=AM$4,$D158&gt;AM$4),$F157,AM157))</f>
        <v/>
      </c>
      <c r="AN158" s="6" t="str">
        <f>IF($D158&lt;=AN$4,"",IF(AND($D157=AN$4,$D158&gt;AN$4),$F157,AN157))</f>
        <v/>
      </c>
      <c r="AO158" s="6" t="str">
        <f>CONCATENATE(AG158," | ",AH158," | ",AI158," | ",AJ158," | ",AK158," | ",AL158," | ",AM158," | ",AN158)</f>
        <v xml:space="preserve">90MB1BJ0-C1BAY0 | 59MB1BJB-MB0A02S |  |  |  |  |  | </v>
      </c>
      <c r="AP158" s="6">
        <f>IF(TRIM(H158)="",100,J158)</f>
        <v>0</v>
      </c>
      <c r="AQ158" s="4"/>
      <c r="AR158" s="6" t="b">
        <f>NOT(TRIM(W158)&lt;&gt;"F")</f>
        <v>1</v>
      </c>
      <c r="AS158" s="6" t="str">
        <f>$B158&amp;" | "&amp;$AO158&amp;" | "&amp;IF(TRIM(H158)="","uniq"&amp;ROW(),TRIM(H158))</f>
        <v>461E | 90MB1BJ0-C1BAY0 | 59MB1BJB-MB0A02S |  |  |  |  |  |  | 53</v>
      </c>
      <c r="AT158" s="63">
        <f>IF(NOT(AR158),IF(TRIM($H158)="","Assembly","Phantom Alt"),VLOOKUP(F158,ZPCS04!B:G,6,0))</f>
        <v>600</v>
      </c>
      <c r="AU158" s="7"/>
      <c r="AV158" s="38">
        <f ca="1">IF(TRIM($W158)="F",OFFSET($A$5,MATCH($AS158,$AS$5:$AS158,0)-1,0),$A158)</f>
        <v>157</v>
      </c>
      <c r="AW158" s="38">
        <f ca="1">IFERROR(OFFSET(ZPCS04!$A$1,MATCH(F158,ZPCS04!B:B,0)-1,0),100)</f>
        <v>2</v>
      </c>
      <c r="AX158" s="7"/>
      <c r="AY158" s="6" t="b">
        <f>SUMIF(AS:AS,AS158,AP:AP)=100</f>
        <v>1</v>
      </c>
      <c r="AZ158" s="6" t="b">
        <f>SUMIF(AS:AS,AS158,AE:AE)/COUNTIF(AS:AS,AS158)=AE158</f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>C158&amp;" | "&amp;F158</f>
        <v>90MB1BJ0-C1BAY0 | 07013-00030700</v>
      </c>
      <c r="BE158" s="55" t="str">
        <f ca="1">C158&amp;" | "&amp;OFFSET($AF158,0,8-COUNTBLANK($AG158:$AN158))</f>
        <v>90MB1BJ0-C1BAY0 | 59MB1BJB-MB0A02S</v>
      </c>
      <c r="BF158" s="57">
        <f ca="1">IFERROR(VLOOKUP($BE158,$BD$5:$BF157,3,0)*$AE158,VLOOKUP($C158,Demanda!$A:$B,2,0)*$AE158)*IF(AT158="Phantom Alt",$BC158,TRUE)</f>
        <v>1000</v>
      </c>
      <c r="BG158" s="57">
        <f ca="1">BF158*(AP158/100)</f>
        <v>0</v>
      </c>
      <c r="BH158" s="57">
        <f>SUMIF(Invoice!A:A,F158,Invoice!B:B)</f>
        <v>0</v>
      </c>
      <c r="BI158" s="57">
        <f ca="1">SUMIF(AS:AS,AS158,BG:BG)</f>
        <v>1000</v>
      </c>
      <c r="BJ158" s="57">
        <f ca="1">MIN((BI158-SUMIF($AS$5:AS157,AS158,$BJ$5:BJ157)),MAX(0,BH158-SUMIF($F$5:F157,F158,$BJ$5:BJ157)))</f>
        <v>0</v>
      </c>
      <c r="BK158" s="57">
        <f ca="1">(-SUMIF(AS:AS,AS158,BG:BG)+SUMIF(AS:AS,AS158,BJ:BJ))*(AP158=100)*AR158</f>
        <v>0</v>
      </c>
      <c r="BL158" s="57">
        <f ca="1">MAX(0,SUMIF(Invoice!A:A,F158,Invoice!B:B)-SUMIF(F:F,F158,BJ:BJ))*(COUNTIF(F:F,F158)=COUNTIF($F$5:F158,F158))</f>
        <v>0</v>
      </c>
    </row>
    <row r="159" spans="1:64" hidden="1">
      <c r="A159" s="43">
        <v>159</v>
      </c>
      <c r="B159" s="35" t="s">
        <v>147</v>
      </c>
      <c r="C159" s="35" t="s">
        <v>146</v>
      </c>
      <c r="D159" s="35">
        <v>2</v>
      </c>
      <c r="E159" s="35">
        <v>540</v>
      </c>
      <c r="F159" s="64" t="s">
        <v>483</v>
      </c>
      <c r="G159" s="73" t="s">
        <v>484</v>
      </c>
      <c r="H159" s="35">
        <v>54</v>
      </c>
      <c r="I159" s="35" t="s">
        <v>55</v>
      </c>
      <c r="J159" s="35">
        <v>0</v>
      </c>
      <c r="K159" s="35" t="s">
        <v>150</v>
      </c>
      <c r="L159" s="35" t="s">
        <v>53</v>
      </c>
      <c r="M159" s="35">
        <v>7</v>
      </c>
      <c r="N159" s="35"/>
      <c r="O159" s="35">
        <v>1</v>
      </c>
      <c r="P159" s="35">
        <v>2</v>
      </c>
      <c r="Q159" s="35">
        <v>2</v>
      </c>
      <c r="R159" s="35" t="s">
        <v>73</v>
      </c>
      <c r="S159" s="35" t="s">
        <v>73</v>
      </c>
      <c r="T159" s="36">
        <v>44901</v>
      </c>
      <c r="U159" s="36">
        <v>2958465</v>
      </c>
      <c r="V159" s="35" t="s">
        <v>282</v>
      </c>
      <c r="W159" s="35" t="s">
        <v>145</v>
      </c>
      <c r="X159" s="35"/>
      <c r="Y159" s="35" t="s">
        <v>143</v>
      </c>
      <c r="Z159" s="35">
        <v>7589154</v>
      </c>
      <c r="AA159" s="35">
        <v>208</v>
      </c>
      <c r="AB159" s="35">
        <v>104</v>
      </c>
      <c r="AC159" s="35" t="s">
        <v>144</v>
      </c>
      <c r="AE159" s="51">
        <f>M159/O159</f>
        <v>7</v>
      </c>
      <c r="AG159" s="6" t="str">
        <f>C159</f>
        <v>90MB1BJ0-C1BAY0</v>
      </c>
      <c r="AH159" s="6" t="str">
        <f>IF($D159&lt;=AH$4,"",IF(AND($D158=AH$4,$D159&gt;AH$4),$F158,AH158))</f>
        <v>59MB1BJB-MB0A02S</v>
      </c>
      <c r="AI159" s="6" t="str">
        <f>IF($D159&lt;=AI$4,"",IF(AND($D158=AI$4,$D159&gt;AI$4),$F158,AI158))</f>
        <v/>
      </c>
      <c r="AJ159" s="6" t="str">
        <f>IF($D159&lt;=AJ$4,"",IF(AND($D158=AJ$4,$D159&gt;AJ$4),$F158,AJ158))</f>
        <v/>
      </c>
      <c r="AK159" s="6" t="str">
        <f>IF($D159&lt;=AK$4,"",IF(AND($D158=AK$4,$D159&gt;AK$4),$F158,AK158))</f>
        <v/>
      </c>
      <c r="AL159" s="6" t="str">
        <f>IF($D159&lt;=AL$4,"",IF(AND($D158=AL$4,$D159&gt;AL$4),$F158,AL158))</f>
        <v/>
      </c>
      <c r="AM159" s="6" t="str">
        <f>IF($D159&lt;=AM$4,"",IF(AND($D158=AM$4,$D159&gt;AM$4),$F158,AM158))</f>
        <v/>
      </c>
      <c r="AN159" s="6" t="str">
        <f>IF($D159&lt;=AN$4,"",IF(AND($D158=AN$4,$D159&gt;AN$4),$F158,AN158))</f>
        <v/>
      </c>
      <c r="AO159" s="6" t="str">
        <f>CONCATENATE(AG159," | ",AH159," | ",AI159," | ",AJ159," | ",AK159," | ",AL159," | ",AM159," | ",AN159)</f>
        <v xml:space="preserve">90MB1BJ0-C1BAY0 | 59MB1BJB-MB0A02S |  |  |  |  |  | </v>
      </c>
      <c r="AP159" s="6">
        <f>IF(TRIM(H159)="",100,J159)</f>
        <v>0</v>
      </c>
      <c r="AQ159" s="4"/>
      <c r="AR159" s="6" t="b">
        <f>NOT(TRIM(W159)&lt;&gt;"F")</f>
        <v>1</v>
      </c>
      <c r="AS159" s="6" t="str">
        <f>$B159&amp;" | "&amp;$AO159&amp;" | "&amp;IF(TRIM(H159)="","uniq"&amp;ROW(),TRIM(H159))</f>
        <v>461E | 90MB1BJ0-C1BAY0 | 59MB1BJB-MB0A02S |  |  |  |  |  |  | 54</v>
      </c>
      <c r="AT159" s="63">
        <f>IF(NOT(AR159),IF(TRIM($H159)="","Assembly","Phantom Alt"),VLOOKUP(F159,ZPCS04!B:G,6,0))</f>
        <v>813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1.99999993</v>
      </c>
      <c r="AX159" s="7"/>
      <c r="AY159" s="6" t="b">
        <f>SUMIF(AS:AS,AS159,AP:AP)=100</f>
        <v>1</v>
      </c>
      <c r="AZ159" s="6" t="b">
        <f>SUMIF(AS:AS,AS159,AE:AE)/COUNTIF(AS:AS,AS159)=AE159</f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>C159&amp;" | "&amp;F159</f>
        <v>90MB1BJ0-C1BAY0 | 07013-00160300</v>
      </c>
      <c r="BE159" s="55" t="str">
        <f ca="1">C159&amp;" | "&amp;OFFSET($AF159,0,8-COUNTBLANK($AG159:$AN159))</f>
        <v>90MB1BJ0-C1BAY0 | 59MB1BJB-MB0A02S</v>
      </c>
      <c r="BF159" s="57">
        <f ca="1">IFERROR(VLOOKUP($BE159,$BD$5:$BF158,3,0)*$AE159,VLOOKUP($C159,Demanda!$A:$B,2,0)*$AE159)*IF(AT159="Phantom Alt",$BC159,TRUE)</f>
        <v>7000</v>
      </c>
      <c r="BG159" s="57">
        <f ca="1">BF159*(AP159/100)</f>
        <v>0</v>
      </c>
      <c r="BH159" s="57">
        <f>SUMIF(Invoice!A:A,F159,Invoice!B:B)</f>
        <v>7000</v>
      </c>
      <c r="BI159" s="57">
        <f ca="1">SUMIF(AS:AS,AS159,BG:BG)</f>
        <v>7000</v>
      </c>
      <c r="BJ159" s="57">
        <f ca="1">MIN((BI159-SUMIF($AS$5:AS158,AS159,$BJ$5:BJ158)),MAX(0,BH159-SUMIF($F$5:F158,F159,$BJ$5:BJ158)))</f>
        <v>7000</v>
      </c>
      <c r="BK159" s="57">
        <f ca="1">(-SUMIF(AS:AS,AS159,BG:BG)+SUMIF(AS:AS,AS159,BJ:BJ))*(AP159=100)*AR159</f>
        <v>0</v>
      </c>
      <c r="BL159" s="57">
        <f ca="1">MAX(0,SUMIF(Invoice!A:A,F159,Invoice!B:B)-SUMIF(F:F,F159,BJ:BJ))*(COUNTIF(F:F,F159)=COUNTIF($F$5:F159,F159))</f>
        <v>0</v>
      </c>
    </row>
    <row r="160" spans="1:64" hidden="1">
      <c r="A160" s="43">
        <v>160</v>
      </c>
      <c r="B160" s="35" t="s">
        <v>147</v>
      </c>
      <c r="C160" s="35" t="s">
        <v>146</v>
      </c>
      <c r="D160" s="35">
        <v>2</v>
      </c>
      <c r="E160" s="35">
        <v>540</v>
      </c>
      <c r="F160" s="64" t="s">
        <v>485</v>
      </c>
      <c r="G160" s="73" t="s">
        <v>486</v>
      </c>
      <c r="H160" s="35">
        <v>54</v>
      </c>
      <c r="I160" s="35" t="s">
        <v>54</v>
      </c>
      <c r="J160" s="35">
        <v>100</v>
      </c>
      <c r="K160" s="35" t="s">
        <v>150</v>
      </c>
      <c r="L160" s="35" t="s">
        <v>53</v>
      </c>
      <c r="M160" s="35">
        <v>7</v>
      </c>
      <c r="N160" s="35">
        <v>7</v>
      </c>
      <c r="O160" s="35">
        <v>1</v>
      </c>
      <c r="P160" s="35">
        <v>2</v>
      </c>
      <c r="Q160" s="35">
        <v>1</v>
      </c>
      <c r="R160" s="35" t="s">
        <v>73</v>
      </c>
      <c r="S160" s="35" t="s">
        <v>73</v>
      </c>
      <c r="T160" s="36">
        <v>44901</v>
      </c>
      <c r="U160" s="36">
        <v>2958465</v>
      </c>
      <c r="V160" s="35" t="s">
        <v>282</v>
      </c>
      <c r="W160" s="35" t="s">
        <v>145</v>
      </c>
      <c r="X160" s="35"/>
      <c r="Y160" s="35" t="s">
        <v>143</v>
      </c>
      <c r="Z160" s="35">
        <v>7589154</v>
      </c>
      <c r="AA160" s="35">
        <v>206</v>
      </c>
      <c r="AB160" s="35">
        <v>103</v>
      </c>
      <c r="AC160" s="35"/>
      <c r="AE160" s="51">
        <f>M160/O160</f>
        <v>7</v>
      </c>
      <c r="AG160" s="6" t="str">
        <f>C160</f>
        <v>90MB1BJ0-C1BAY0</v>
      </c>
      <c r="AH160" s="6" t="str">
        <f>IF($D160&lt;=AH$4,"",IF(AND($D159=AH$4,$D160&gt;AH$4),$F159,AH159))</f>
        <v>59MB1BJB-MB0A02S</v>
      </c>
      <c r="AI160" s="6" t="str">
        <f>IF($D160&lt;=AI$4,"",IF(AND($D159=AI$4,$D160&gt;AI$4),$F159,AI159))</f>
        <v/>
      </c>
      <c r="AJ160" s="6" t="str">
        <f>IF($D160&lt;=AJ$4,"",IF(AND($D159=AJ$4,$D160&gt;AJ$4),$F159,AJ159))</f>
        <v/>
      </c>
      <c r="AK160" s="6" t="str">
        <f>IF($D160&lt;=AK$4,"",IF(AND($D159=AK$4,$D160&gt;AK$4),$F159,AK159))</f>
        <v/>
      </c>
      <c r="AL160" s="6" t="str">
        <f>IF($D160&lt;=AL$4,"",IF(AND($D159=AL$4,$D160&gt;AL$4),$F159,AL159))</f>
        <v/>
      </c>
      <c r="AM160" s="6" t="str">
        <f>IF($D160&lt;=AM$4,"",IF(AND($D159=AM$4,$D160&gt;AM$4),$F159,AM159))</f>
        <v/>
      </c>
      <c r="AN160" s="6" t="str">
        <f>IF($D160&lt;=AN$4,"",IF(AND($D159=AN$4,$D160&gt;AN$4),$F159,AN159))</f>
        <v/>
      </c>
      <c r="AO160" s="6" t="str">
        <f>CONCATENATE(AG160," | ",AH160," | ",AI160," | ",AJ160," | ",AK160," | ",AL160," | ",AM160," | ",AN160)</f>
        <v xml:space="preserve">90MB1BJ0-C1BAY0 | 59MB1BJB-MB0A02S |  |  |  |  |  | </v>
      </c>
      <c r="AP160" s="6">
        <f>IF(TRIM(H160)="",100,J160)</f>
        <v>100</v>
      </c>
      <c r="AQ160" s="4"/>
      <c r="AR160" s="6" t="b">
        <f>NOT(TRIM(W160)&lt;&gt;"F")</f>
        <v>1</v>
      </c>
      <c r="AS160" s="6" t="str">
        <f>$B160&amp;" | "&amp;$AO160&amp;" | "&amp;IF(TRIM(H160)="","uniq"&amp;ROW(),TRIM(H160))</f>
        <v>461E | 90MB1BJ0-C1BAY0 | 59MB1BJB-MB0A02S |  |  |  |  |  |  | 54</v>
      </c>
      <c r="AT160" s="63">
        <f>IF(NOT(AR160),IF(TRIM($H160)="","Assembly","Phantom Alt"),VLOOKUP(F160,ZPCS04!B:G,6,0))</f>
        <v>813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>SUMIF(AS:AS,AS160,AP:AP)=100</f>
        <v>1</v>
      </c>
      <c r="AZ160" s="6" t="b">
        <f>SUMIF(AS:AS,AS160,AE:AE)/COUNTIF(AS:AS,AS160)=AE160</f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>C160&amp;" | "&amp;F160</f>
        <v>90MB1BJ0-C1BAY0 | 07013-00160700</v>
      </c>
      <c r="BE160" s="55" t="str">
        <f ca="1">C160&amp;" | "&amp;OFFSET($AF160,0,8-COUNTBLANK($AG160:$AN160))</f>
        <v>90MB1BJ0-C1BAY0 | 59MB1BJB-MB0A02S</v>
      </c>
      <c r="BF160" s="57">
        <f ca="1">IFERROR(VLOOKUP($BE160,$BD$5:$BF159,3,0)*$AE160,VLOOKUP($C160,Demanda!$A:$B,2,0)*$AE160)*IF(AT160="Phantom Alt",$BC160,TRUE)</f>
        <v>7000</v>
      </c>
      <c r="BG160" s="57">
        <f ca="1">BF160*(AP160/100)</f>
        <v>7000</v>
      </c>
      <c r="BH160" s="57">
        <f>SUMIF(Invoice!A:A,F160,Invoice!B:B)</f>
        <v>0</v>
      </c>
      <c r="BI160" s="57">
        <f ca="1">SUMIF(AS:AS,AS160,BG:BG)</f>
        <v>7000</v>
      </c>
      <c r="BJ160" s="57">
        <f ca="1">MIN((BI160-SUMIF($AS$5:AS159,AS160,$BJ$5:BJ159)),MAX(0,BH160-SUMIF($F$5:F159,F160,$BJ$5:BJ159)))</f>
        <v>0</v>
      </c>
      <c r="BK160" s="57">
        <f ca="1">(-SUMIF(AS:AS,AS160,BG:BG)+SUMIF(AS:AS,AS160,BJ:BJ))*(AP160=100)*AR160</f>
        <v>0</v>
      </c>
      <c r="BL160" s="57">
        <f ca="1">MAX(0,SUMIF(Invoice!A:A,F160,Invoice!B:B)-SUMIF(F:F,F160,BJ:BJ))*(COUNTIF(F:F,F160)=COUNTIF($F$5:F160,F160))</f>
        <v>0</v>
      </c>
    </row>
    <row r="161" spans="1:64" hidden="1">
      <c r="A161" s="43">
        <v>161</v>
      </c>
      <c r="B161" s="35" t="s">
        <v>147</v>
      </c>
      <c r="C161" s="35" t="s">
        <v>146</v>
      </c>
      <c r="D161" s="35">
        <v>2</v>
      </c>
      <c r="E161" s="35">
        <v>550</v>
      </c>
      <c r="F161" s="64" t="s">
        <v>487</v>
      </c>
      <c r="G161" s="73" t="s">
        <v>488</v>
      </c>
      <c r="H161" s="35">
        <v>55</v>
      </c>
      <c r="I161" s="35" t="s">
        <v>54</v>
      </c>
      <c r="J161" s="35">
        <v>100</v>
      </c>
      <c r="K161" s="35" t="s">
        <v>489</v>
      </c>
      <c r="L161" s="35" t="s">
        <v>53</v>
      </c>
      <c r="M161" s="35">
        <v>2</v>
      </c>
      <c r="N161" s="35">
        <v>2</v>
      </c>
      <c r="O161" s="35">
        <v>1</v>
      </c>
      <c r="P161" s="35">
        <v>2</v>
      </c>
      <c r="Q161" s="35">
        <v>1</v>
      </c>
      <c r="R161" s="35" t="s">
        <v>73</v>
      </c>
      <c r="S161" s="35" t="s">
        <v>73</v>
      </c>
      <c r="T161" s="36">
        <v>44901</v>
      </c>
      <c r="U161" s="36">
        <v>2958465</v>
      </c>
      <c r="V161" s="35" t="s">
        <v>282</v>
      </c>
      <c r="W161" s="35" t="s">
        <v>145</v>
      </c>
      <c r="X161" s="35"/>
      <c r="Y161" s="35" t="s">
        <v>143</v>
      </c>
      <c r="Z161" s="35">
        <v>7589154</v>
      </c>
      <c r="AA161" s="35">
        <v>210</v>
      </c>
      <c r="AB161" s="35">
        <v>105</v>
      </c>
      <c r="AC161" s="35"/>
      <c r="AE161" s="51">
        <f>M161/O161</f>
        <v>2</v>
      </c>
      <c r="AG161" s="6" t="str">
        <f>C161</f>
        <v>90MB1BJ0-C1BAY0</v>
      </c>
      <c r="AH161" s="6" t="str">
        <f>IF($D161&lt;=AH$4,"",IF(AND($D160=AH$4,$D161&gt;AH$4),$F160,AH160))</f>
        <v>59MB1BJB-MB0A02S</v>
      </c>
      <c r="AI161" s="6" t="str">
        <f>IF($D161&lt;=AI$4,"",IF(AND($D160=AI$4,$D161&gt;AI$4),$F160,AI160))</f>
        <v/>
      </c>
      <c r="AJ161" s="6" t="str">
        <f>IF($D161&lt;=AJ$4,"",IF(AND($D160=AJ$4,$D161&gt;AJ$4),$F160,AJ160))</f>
        <v/>
      </c>
      <c r="AK161" s="6" t="str">
        <f>IF($D161&lt;=AK$4,"",IF(AND($D160=AK$4,$D161&gt;AK$4),$F160,AK160))</f>
        <v/>
      </c>
      <c r="AL161" s="6" t="str">
        <f>IF($D161&lt;=AL$4,"",IF(AND($D160=AL$4,$D161&gt;AL$4),$F160,AL160))</f>
        <v/>
      </c>
      <c r="AM161" s="6" t="str">
        <f>IF($D161&lt;=AM$4,"",IF(AND($D160=AM$4,$D161&gt;AM$4),$F160,AM160))</f>
        <v/>
      </c>
      <c r="AN161" s="6" t="str">
        <f>IF($D161&lt;=AN$4,"",IF(AND($D160=AN$4,$D161&gt;AN$4),$F160,AN160))</f>
        <v/>
      </c>
      <c r="AO161" s="6" t="str">
        <f>CONCATENATE(AG161," | ",AH161," | ",AI161," | ",AJ161," | ",AK161," | ",AL161," | ",AM161," | ",AN161)</f>
        <v xml:space="preserve">90MB1BJ0-C1BAY0 | 59MB1BJB-MB0A02S |  |  |  |  |  | </v>
      </c>
      <c r="AP161" s="6">
        <f>IF(TRIM(H161)="",100,J161)</f>
        <v>100</v>
      </c>
      <c r="AQ161" s="4"/>
      <c r="AR161" s="6" t="b">
        <f>NOT(TRIM(W161)&lt;&gt;"F")</f>
        <v>1</v>
      </c>
      <c r="AS161" s="6" t="str">
        <f>$B161&amp;" | "&amp;$AO161&amp;" | "&amp;IF(TRIM(H161)="","uniq"&amp;ROW(),TRIM(H161))</f>
        <v>461E | 90MB1BJ0-C1BAY0 | 59MB1BJB-MB0A02S |  |  |  |  |  |  | 55</v>
      </c>
      <c r="AT161" s="63">
        <f>IF(NOT(AR161),IF(TRIM($H161)="","Assembly","Phantom Alt"),VLOOKUP(F161,ZPCS04!B:G,6,0))</f>
        <v>597</v>
      </c>
      <c r="AU161" s="7"/>
      <c r="AV161" s="38">
        <f ca="1">IF(TRIM($W161)="F",OFFSET($A$5,MATCH($AS161,$AS$5:$AS161,0)-1,0),$A161)</f>
        <v>161</v>
      </c>
      <c r="AW161" s="38">
        <f ca="1">IFERROR(OFFSET(ZPCS04!$A$1,MATCH(F161,ZPCS04!B:B,0)-1,0),100)</f>
        <v>1.9999999800000001</v>
      </c>
      <c r="AX161" s="7"/>
      <c r="AY161" s="6" t="b">
        <f>SUMIF(AS:AS,AS161,AP:AP)=100</f>
        <v>1</v>
      </c>
      <c r="AZ161" s="6" t="b">
        <f>SUMIF(AS:AS,AS161,AE:AE)/COUNTIF(AS:AS,AS161)=AE161</f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>C161&amp;" | "&amp;F161</f>
        <v>90MB1BJ0-C1BAY0 | 07013-00200000</v>
      </c>
      <c r="BE161" s="55" t="str">
        <f ca="1">C161&amp;" | "&amp;OFFSET($AF161,0,8-COUNTBLANK($AG161:$AN161))</f>
        <v>90MB1BJ0-C1BAY0 | 59MB1BJB-MB0A02S</v>
      </c>
      <c r="BF161" s="57">
        <f ca="1">IFERROR(VLOOKUP($BE161,$BD$5:$BF160,3,0)*$AE161,VLOOKUP($C161,Demanda!$A:$B,2,0)*$AE161)*IF(AT161="Phantom Alt",$BC161,TRUE)</f>
        <v>2000</v>
      </c>
      <c r="BG161" s="57">
        <f ca="1">BF161*(AP161/100)</f>
        <v>2000</v>
      </c>
      <c r="BH161" s="57">
        <f>SUMIF(Invoice!A:A,F161,Invoice!B:B)</f>
        <v>2000</v>
      </c>
      <c r="BI161" s="57">
        <f ca="1">SUMIF(AS:AS,AS161,BG:BG)</f>
        <v>2000</v>
      </c>
      <c r="BJ161" s="57">
        <f ca="1">MIN((BI161-SUMIF($AS$5:AS160,AS161,$BJ$5:BJ160)),MAX(0,BH161-SUMIF($F$5:F160,F161,$BJ$5:BJ160)))</f>
        <v>2000</v>
      </c>
      <c r="BK161" s="57">
        <f ca="1">(-SUMIF(AS:AS,AS161,BG:BG)+SUMIF(AS:AS,AS161,BJ:BJ))*(AP161=100)*AR161</f>
        <v>0</v>
      </c>
      <c r="BL161" s="57">
        <f ca="1">MAX(0,SUMIF(Invoice!A:A,F161,Invoice!B:B)-SUMIF(F:F,F161,BJ:BJ))*(COUNTIF(F:F,F161)=COUNTIF($F$5:F161,F161))</f>
        <v>0</v>
      </c>
    </row>
    <row r="162" spans="1:64" hidden="1">
      <c r="A162" s="43">
        <v>162</v>
      </c>
      <c r="B162" s="35" t="s">
        <v>147</v>
      </c>
      <c r="C162" s="35" t="s">
        <v>146</v>
      </c>
      <c r="D162" s="35">
        <v>2</v>
      </c>
      <c r="E162" s="35">
        <v>550</v>
      </c>
      <c r="F162" s="64" t="s">
        <v>490</v>
      </c>
      <c r="G162" s="73" t="s">
        <v>491</v>
      </c>
      <c r="H162" s="35">
        <v>55</v>
      </c>
      <c r="I162" s="35" t="s">
        <v>55</v>
      </c>
      <c r="J162" s="35">
        <v>0</v>
      </c>
      <c r="K162" s="35" t="s">
        <v>150</v>
      </c>
      <c r="L162" s="35" t="s">
        <v>53</v>
      </c>
      <c r="M162" s="35">
        <v>2</v>
      </c>
      <c r="N162" s="35"/>
      <c r="O162" s="35">
        <v>1</v>
      </c>
      <c r="P162" s="35">
        <v>2</v>
      </c>
      <c r="Q162" s="35">
        <v>2</v>
      </c>
      <c r="R162" s="35" t="s">
        <v>73</v>
      </c>
      <c r="S162" s="35" t="s">
        <v>73</v>
      </c>
      <c r="T162" s="36">
        <v>44901</v>
      </c>
      <c r="U162" s="36">
        <v>2958465</v>
      </c>
      <c r="V162" s="35" t="s">
        <v>282</v>
      </c>
      <c r="W162" s="35" t="s">
        <v>145</v>
      </c>
      <c r="X162" s="35"/>
      <c r="Y162" s="35" t="s">
        <v>143</v>
      </c>
      <c r="Z162" s="35">
        <v>7589154</v>
      </c>
      <c r="AA162" s="35">
        <v>212</v>
      </c>
      <c r="AB162" s="35">
        <v>106</v>
      </c>
      <c r="AC162" s="35"/>
      <c r="AE162" s="51">
        <f>M162/O162</f>
        <v>2</v>
      </c>
      <c r="AG162" s="6" t="str">
        <f>C162</f>
        <v>90MB1BJ0-C1BAY0</v>
      </c>
      <c r="AH162" s="6" t="str">
        <f>IF($D162&lt;=AH$4,"",IF(AND($D161=AH$4,$D162&gt;AH$4),$F161,AH161))</f>
        <v>59MB1BJB-MB0A02S</v>
      </c>
      <c r="AI162" s="6" t="str">
        <f>IF($D162&lt;=AI$4,"",IF(AND($D161=AI$4,$D162&gt;AI$4),$F161,AI161))</f>
        <v/>
      </c>
      <c r="AJ162" s="6" t="str">
        <f>IF($D162&lt;=AJ$4,"",IF(AND($D161=AJ$4,$D162&gt;AJ$4),$F161,AJ161))</f>
        <v/>
      </c>
      <c r="AK162" s="6" t="str">
        <f>IF($D162&lt;=AK$4,"",IF(AND($D161=AK$4,$D162&gt;AK$4),$F161,AK161))</f>
        <v/>
      </c>
      <c r="AL162" s="6" t="str">
        <f>IF($D162&lt;=AL$4,"",IF(AND($D161=AL$4,$D162&gt;AL$4),$F161,AL161))</f>
        <v/>
      </c>
      <c r="AM162" s="6" t="str">
        <f>IF($D162&lt;=AM$4,"",IF(AND($D161=AM$4,$D162&gt;AM$4),$F161,AM161))</f>
        <v/>
      </c>
      <c r="AN162" s="6" t="str">
        <f>IF($D162&lt;=AN$4,"",IF(AND($D161=AN$4,$D162&gt;AN$4),$F161,AN161))</f>
        <v/>
      </c>
      <c r="AO162" s="6" t="str">
        <f>CONCATENATE(AG162," | ",AH162," | ",AI162," | ",AJ162," | ",AK162," | ",AL162," | ",AM162," | ",AN162)</f>
        <v xml:space="preserve">90MB1BJ0-C1BAY0 | 59MB1BJB-MB0A02S |  |  |  |  |  | </v>
      </c>
      <c r="AP162" s="6">
        <f>IF(TRIM(H162)="",100,J162)</f>
        <v>0</v>
      </c>
      <c r="AQ162" s="4"/>
      <c r="AR162" s="6" t="b">
        <f>NOT(TRIM(W162)&lt;&gt;"F")</f>
        <v>1</v>
      </c>
      <c r="AS162" s="6" t="str">
        <f>$B162&amp;" | "&amp;$AO162&amp;" | "&amp;IF(TRIM(H162)="","uniq"&amp;ROW(),TRIM(H162))</f>
        <v>461E | 90MB1BJ0-C1BAY0 | 59MB1BJB-MB0A02S |  |  |  |  |  |  | 55</v>
      </c>
      <c r="AT162" s="63">
        <f>IF(NOT(AR162),IF(TRIM($H162)="","Assembly","Phantom Alt"),VLOOKUP(F162,ZPCS04!B:G,6,0))</f>
        <v>597</v>
      </c>
      <c r="AU162" s="7"/>
      <c r="AV162" s="38">
        <f ca="1">IF(TRIM($W162)="F",OFFSET($A$5,MATCH($AS162,$AS$5:$AS162,0)-1,0),$A162)</f>
        <v>161</v>
      </c>
      <c r="AW162" s="38">
        <f ca="1">IFERROR(OFFSET(ZPCS04!$A$1,MATCH(F162,ZPCS04!B:B,0)-1,0),100)</f>
        <v>2</v>
      </c>
      <c r="AX162" s="7"/>
      <c r="AY162" s="6" t="b">
        <f>SUMIF(AS:AS,AS162,AP:AP)=100</f>
        <v>1</v>
      </c>
      <c r="AZ162" s="6" t="b">
        <f>SUMIF(AS:AS,AS162,AE:AE)/COUNTIF(AS:AS,AS162)=AE162</f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>C162&amp;" | "&amp;F162</f>
        <v>90MB1BJ0-C1BAY0 | 07013-00200300</v>
      </c>
      <c r="BE162" s="55" t="str">
        <f ca="1">C162&amp;" | "&amp;OFFSET($AF162,0,8-COUNTBLANK($AG162:$AN162))</f>
        <v>90MB1BJ0-C1BAY0 | 59MB1BJB-MB0A02S</v>
      </c>
      <c r="BF162" s="57">
        <f ca="1">IFERROR(VLOOKUP($BE162,$BD$5:$BF161,3,0)*$AE162,VLOOKUP($C162,Demanda!$A:$B,2,0)*$AE162)*IF(AT162="Phantom Alt",$BC162,TRUE)</f>
        <v>2000</v>
      </c>
      <c r="BG162" s="57">
        <f ca="1">BF162*(AP162/100)</f>
        <v>0</v>
      </c>
      <c r="BH162" s="57">
        <f>SUMIF(Invoice!A:A,F162,Invoice!B:B)</f>
        <v>0</v>
      </c>
      <c r="BI162" s="57">
        <f ca="1">SUMIF(AS:AS,AS162,BG:BG)</f>
        <v>2000</v>
      </c>
      <c r="BJ162" s="57">
        <f ca="1">MIN((BI162-SUMIF($AS$5:AS161,AS162,$BJ$5:BJ161)),MAX(0,BH162-SUMIF($F$5:F161,F162,$BJ$5:BJ161)))</f>
        <v>0</v>
      </c>
      <c r="BK162" s="57">
        <f ca="1">(-SUMIF(AS:AS,AS162,BG:BG)+SUMIF(AS:AS,AS162,BJ:BJ))*(AP162=100)*AR162</f>
        <v>0</v>
      </c>
      <c r="BL162" s="57">
        <f ca="1">MAX(0,SUMIF(Invoice!A:A,F162,Invoice!B:B)-SUMIF(F:F,F162,BJ:BJ))*(COUNTIF(F:F,F162)=COUNTIF($F$5:F162,F162))</f>
        <v>0</v>
      </c>
    </row>
    <row r="163" spans="1:64" hidden="1">
      <c r="A163" s="43">
        <v>163</v>
      </c>
      <c r="B163" s="35" t="s">
        <v>147</v>
      </c>
      <c r="C163" s="35" t="s">
        <v>146</v>
      </c>
      <c r="D163" s="35">
        <v>2</v>
      </c>
      <c r="E163" s="35">
        <v>560</v>
      </c>
      <c r="F163" s="64" t="s">
        <v>492</v>
      </c>
      <c r="G163" s="73" t="s">
        <v>493</v>
      </c>
      <c r="H163" s="35">
        <v>56</v>
      </c>
      <c r="I163" s="35" t="s">
        <v>54</v>
      </c>
      <c r="J163" s="35">
        <v>100</v>
      </c>
      <c r="K163" s="35" t="s">
        <v>150</v>
      </c>
      <c r="L163" s="35" t="s">
        <v>53</v>
      </c>
      <c r="M163" s="35">
        <v>4</v>
      </c>
      <c r="N163" s="35">
        <v>4</v>
      </c>
      <c r="O163" s="35">
        <v>1</v>
      </c>
      <c r="P163" s="35">
        <v>2</v>
      </c>
      <c r="Q163" s="35">
        <v>1</v>
      </c>
      <c r="R163" s="35" t="s">
        <v>73</v>
      </c>
      <c r="S163" s="35" t="s">
        <v>73</v>
      </c>
      <c r="T163" s="36">
        <v>44901</v>
      </c>
      <c r="U163" s="36">
        <v>2958465</v>
      </c>
      <c r="V163" s="35" t="s">
        <v>282</v>
      </c>
      <c r="W163" s="35" t="s">
        <v>145</v>
      </c>
      <c r="X163" s="35"/>
      <c r="Y163" s="35" t="s">
        <v>143</v>
      </c>
      <c r="Z163" s="35">
        <v>7589154</v>
      </c>
      <c r="AA163" s="35">
        <v>214</v>
      </c>
      <c r="AB163" s="35">
        <v>107</v>
      </c>
      <c r="AC163" s="35"/>
      <c r="AE163" s="51">
        <f>M163/O163</f>
        <v>4</v>
      </c>
      <c r="AG163" s="6" t="str">
        <f>C163</f>
        <v>90MB1BJ0-C1BAY0</v>
      </c>
      <c r="AH163" s="6" t="str">
        <f>IF($D163&lt;=AH$4,"",IF(AND($D162=AH$4,$D163&gt;AH$4),$F162,AH162))</f>
        <v>59MB1BJB-MB0A02S</v>
      </c>
      <c r="AI163" s="6" t="str">
        <f>IF($D163&lt;=AI$4,"",IF(AND($D162=AI$4,$D163&gt;AI$4),$F162,AI162))</f>
        <v/>
      </c>
      <c r="AJ163" s="6" t="str">
        <f>IF($D163&lt;=AJ$4,"",IF(AND($D162=AJ$4,$D163&gt;AJ$4),$F162,AJ162))</f>
        <v/>
      </c>
      <c r="AK163" s="6" t="str">
        <f>IF($D163&lt;=AK$4,"",IF(AND($D162=AK$4,$D163&gt;AK$4),$F162,AK162))</f>
        <v/>
      </c>
      <c r="AL163" s="6" t="str">
        <f>IF($D163&lt;=AL$4,"",IF(AND($D162=AL$4,$D163&gt;AL$4),$F162,AL162))</f>
        <v/>
      </c>
      <c r="AM163" s="6" t="str">
        <f>IF($D163&lt;=AM$4,"",IF(AND($D162=AM$4,$D163&gt;AM$4),$F162,AM162))</f>
        <v/>
      </c>
      <c r="AN163" s="6" t="str">
        <f>IF($D163&lt;=AN$4,"",IF(AND($D162=AN$4,$D163&gt;AN$4),$F162,AN162))</f>
        <v/>
      </c>
      <c r="AO163" s="6" t="str">
        <f>CONCATENATE(AG163," | ",AH163," | ",AI163," | ",AJ163," | ",AK163," | ",AL163," | ",AM163," | ",AN163)</f>
        <v xml:space="preserve">90MB1BJ0-C1BAY0 | 59MB1BJB-MB0A02S |  |  |  |  |  | </v>
      </c>
      <c r="AP163" s="6">
        <f>IF(TRIM(H163)="",100,J163)</f>
        <v>100</v>
      </c>
      <c r="AQ163" s="4"/>
      <c r="AR163" s="6" t="b">
        <f>NOT(TRIM(W163)&lt;&gt;"F")</f>
        <v>1</v>
      </c>
      <c r="AS163" s="6" t="str">
        <f>$B163&amp;" | "&amp;$AO163&amp;" | "&amp;IF(TRIM(H163)="","uniq"&amp;ROW(),TRIM(H163))</f>
        <v>461E | 90MB1BJ0-C1BAY0 | 59MB1BJB-MB0A02S |  |  |  |  |  |  | 56</v>
      </c>
      <c r="AT163" s="63">
        <f>IF(NOT(AR163),IF(TRIM($H163)="","Assembly","Phantom Alt"),VLOOKUP(F163,ZPCS04!B:G,6,0))</f>
        <v>602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1.99999996</v>
      </c>
      <c r="AX163" s="7"/>
      <c r="AY163" s="6" t="b">
        <f>SUMIF(AS:AS,AS163,AP:AP)=100</f>
        <v>1</v>
      </c>
      <c r="AZ163" s="6" t="b">
        <f>SUMIF(AS:AS,AS163,AE:AE)/COUNTIF(AS:AS,AS163)=AE163</f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>C163&amp;" | "&amp;F163</f>
        <v>90MB1BJ0-C1BAY0 | 07013-00240000</v>
      </c>
      <c r="BE163" s="55" t="str">
        <f ca="1">C163&amp;" | "&amp;OFFSET($AF163,0,8-COUNTBLANK($AG163:$AN163))</f>
        <v>90MB1BJ0-C1BAY0 | 59MB1BJB-MB0A02S</v>
      </c>
      <c r="BF163" s="57">
        <f ca="1">IFERROR(VLOOKUP($BE163,$BD$5:$BF162,3,0)*$AE163,VLOOKUP($C163,Demanda!$A:$B,2,0)*$AE163)*IF(AT163="Phantom Alt",$BC163,TRUE)</f>
        <v>4000</v>
      </c>
      <c r="BG163" s="57">
        <f ca="1">BF163*(AP163/100)</f>
        <v>4000</v>
      </c>
      <c r="BH163" s="57">
        <f>SUMIF(Invoice!A:A,F163,Invoice!B:B)</f>
        <v>4000</v>
      </c>
      <c r="BI163" s="57">
        <f ca="1">SUMIF(AS:AS,AS163,BG:BG)</f>
        <v>4000</v>
      </c>
      <c r="BJ163" s="57">
        <f ca="1">MIN((BI163-SUMIF($AS$5:AS162,AS163,$BJ$5:BJ162)),MAX(0,BH163-SUMIF($F$5:F162,F163,$BJ$5:BJ162)))</f>
        <v>4000</v>
      </c>
      <c r="BK163" s="57">
        <f ca="1">(-SUMIF(AS:AS,AS163,BG:BG)+SUMIF(AS:AS,AS163,BJ:BJ))*(AP163=100)*AR163</f>
        <v>0</v>
      </c>
      <c r="BL163" s="57">
        <f ca="1">MAX(0,SUMIF(Invoice!A:A,F163,Invoice!B:B)-SUMIF(F:F,F163,BJ:BJ))*(COUNTIF(F:F,F163)=COUNTIF($F$5:F163,F163))</f>
        <v>0</v>
      </c>
    </row>
    <row r="164" spans="1:64" hidden="1">
      <c r="A164" s="43">
        <v>164</v>
      </c>
      <c r="B164" s="35" t="s">
        <v>147</v>
      </c>
      <c r="C164" s="35" t="s">
        <v>146</v>
      </c>
      <c r="D164" s="35">
        <v>2</v>
      </c>
      <c r="E164" s="35">
        <v>560</v>
      </c>
      <c r="F164" s="64" t="s">
        <v>494</v>
      </c>
      <c r="G164" s="73" t="s">
        <v>495</v>
      </c>
      <c r="H164" s="35">
        <v>56</v>
      </c>
      <c r="I164" s="35" t="s">
        <v>55</v>
      </c>
      <c r="J164" s="35">
        <v>0</v>
      </c>
      <c r="K164" s="35" t="s">
        <v>150</v>
      </c>
      <c r="L164" s="35" t="s">
        <v>53</v>
      </c>
      <c r="M164" s="35">
        <v>4</v>
      </c>
      <c r="N164" s="35"/>
      <c r="O164" s="35">
        <v>1</v>
      </c>
      <c r="P164" s="35">
        <v>2</v>
      </c>
      <c r="Q164" s="35">
        <v>2</v>
      </c>
      <c r="R164" s="35" t="s">
        <v>73</v>
      </c>
      <c r="S164" s="35" t="s">
        <v>73</v>
      </c>
      <c r="T164" s="36">
        <v>44901</v>
      </c>
      <c r="U164" s="36">
        <v>2958465</v>
      </c>
      <c r="V164" s="35" t="s">
        <v>282</v>
      </c>
      <c r="W164" s="35" t="s">
        <v>145</v>
      </c>
      <c r="X164" s="35"/>
      <c r="Y164" s="35" t="s">
        <v>143</v>
      </c>
      <c r="Z164" s="35">
        <v>7589154</v>
      </c>
      <c r="AA164" s="35">
        <v>216</v>
      </c>
      <c r="AB164" s="35">
        <v>108</v>
      </c>
      <c r="AC164" s="35" t="s">
        <v>144</v>
      </c>
      <c r="AE164" s="51">
        <f>M164/O164</f>
        <v>4</v>
      </c>
      <c r="AG164" s="6" t="str">
        <f>C164</f>
        <v>90MB1BJ0-C1BAY0</v>
      </c>
      <c r="AH164" s="6" t="str">
        <f>IF($D164&lt;=AH$4,"",IF(AND($D163=AH$4,$D164&gt;AH$4),$F163,AH163))</f>
        <v>59MB1BJB-MB0A02S</v>
      </c>
      <c r="AI164" s="6" t="str">
        <f>IF($D164&lt;=AI$4,"",IF(AND($D163=AI$4,$D164&gt;AI$4),$F163,AI163))</f>
        <v/>
      </c>
      <c r="AJ164" s="6" t="str">
        <f>IF($D164&lt;=AJ$4,"",IF(AND($D163=AJ$4,$D164&gt;AJ$4),$F163,AJ163))</f>
        <v/>
      </c>
      <c r="AK164" s="6" t="str">
        <f>IF($D164&lt;=AK$4,"",IF(AND($D163=AK$4,$D164&gt;AK$4),$F163,AK163))</f>
        <v/>
      </c>
      <c r="AL164" s="6" t="str">
        <f>IF($D164&lt;=AL$4,"",IF(AND($D163=AL$4,$D164&gt;AL$4),$F163,AL163))</f>
        <v/>
      </c>
      <c r="AM164" s="6" t="str">
        <f>IF($D164&lt;=AM$4,"",IF(AND($D163=AM$4,$D164&gt;AM$4),$F163,AM163))</f>
        <v/>
      </c>
      <c r="AN164" s="6" t="str">
        <f>IF($D164&lt;=AN$4,"",IF(AND($D163=AN$4,$D164&gt;AN$4),$F163,AN163))</f>
        <v/>
      </c>
      <c r="AO164" s="6" t="str">
        <f>CONCATENATE(AG164," | ",AH164," | ",AI164," | ",AJ164," | ",AK164," | ",AL164," | ",AM164," | ",AN164)</f>
        <v xml:space="preserve">90MB1BJ0-C1BAY0 | 59MB1BJB-MB0A02S |  |  |  |  |  | </v>
      </c>
      <c r="AP164" s="6">
        <f>IF(TRIM(H164)="",100,J164)</f>
        <v>0</v>
      </c>
      <c r="AQ164" s="4"/>
      <c r="AR164" s="6" t="b">
        <f>NOT(TRIM(W164)&lt;&gt;"F")</f>
        <v>1</v>
      </c>
      <c r="AS164" s="6" t="str">
        <f>$B164&amp;" | "&amp;$AO164&amp;" | "&amp;IF(TRIM(H164)="","uniq"&amp;ROW(),TRIM(H164))</f>
        <v>461E | 90MB1BJ0-C1BAY0 | 59MB1BJB-MB0A02S |  |  |  |  |  |  | 56</v>
      </c>
      <c r="AT164" s="63">
        <f>IF(NOT(AR164),IF(TRIM($H164)="","Assembly","Phantom Alt"),VLOOKUP(F164,ZPCS04!B:G,6,0))</f>
        <v>602</v>
      </c>
      <c r="AU164" s="7"/>
      <c r="AV164" s="38">
        <f ca="1">IF(TRIM($W164)="F",OFFSET($A$5,MATCH($AS164,$AS$5:$AS164,0)-1,0),$A164)</f>
        <v>163</v>
      </c>
      <c r="AW164" s="38">
        <f ca="1">IFERROR(OFFSET(ZPCS04!$A$1,MATCH(F164,ZPCS04!B:B,0)-1,0),100)</f>
        <v>2</v>
      </c>
      <c r="AX164" s="7"/>
      <c r="AY164" s="6" t="b">
        <f>SUMIF(AS:AS,AS164,AP:AP)=100</f>
        <v>1</v>
      </c>
      <c r="AZ164" s="6" t="b">
        <f>SUMIF(AS:AS,AS164,AE:AE)/COUNTIF(AS:AS,AS164)=AE164</f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>C164&amp;" | "&amp;F164</f>
        <v>90MB1BJ0-C1BAY0 | 07013-00240200</v>
      </c>
      <c r="BE164" s="55" t="str">
        <f ca="1">C164&amp;" | "&amp;OFFSET($AF164,0,8-COUNTBLANK($AG164:$AN164))</f>
        <v>90MB1BJ0-C1BAY0 | 59MB1BJB-MB0A02S</v>
      </c>
      <c r="BF164" s="57">
        <f ca="1">IFERROR(VLOOKUP($BE164,$BD$5:$BF163,3,0)*$AE164,VLOOKUP($C164,Demanda!$A:$B,2,0)*$AE164)*IF(AT164="Phantom Alt",$BC164,TRUE)</f>
        <v>4000</v>
      </c>
      <c r="BG164" s="57">
        <f ca="1">BF164*(AP164/100)</f>
        <v>0</v>
      </c>
      <c r="BH164" s="57">
        <f>SUMIF(Invoice!A:A,F164,Invoice!B:B)</f>
        <v>0</v>
      </c>
      <c r="BI164" s="57">
        <f ca="1">SUMIF(AS:AS,AS164,BG:BG)</f>
        <v>4000</v>
      </c>
      <c r="BJ164" s="57">
        <f ca="1">MIN((BI164-SUMIF($AS$5:AS163,AS164,$BJ$5:BJ163)),MAX(0,BH164-SUMIF($F$5:F163,F164,$BJ$5:BJ163)))</f>
        <v>0</v>
      </c>
      <c r="BK164" s="57">
        <f ca="1">(-SUMIF(AS:AS,AS164,BG:BG)+SUMIF(AS:AS,AS164,BJ:BJ))*(AP164=100)*AR164</f>
        <v>0</v>
      </c>
      <c r="BL164" s="57">
        <f ca="1">MAX(0,SUMIF(Invoice!A:A,F164,Invoice!B:B)-SUMIF(F:F,F164,BJ:BJ))*(COUNTIF(F:F,F164)=COUNTIF($F$5:F164,F164))</f>
        <v>0</v>
      </c>
    </row>
    <row r="165" spans="1:64" hidden="1">
      <c r="A165" s="43">
        <v>165</v>
      </c>
      <c r="B165" s="35" t="s">
        <v>147</v>
      </c>
      <c r="C165" s="35" t="s">
        <v>146</v>
      </c>
      <c r="D165" s="35">
        <v>2</v>
      </c>
      <c r="E165" s="35">
        <v>570</v>
      </c>
      <c r="F165" s="64" t="s">
        <v>496</v>
      </c>
      <c r="G165" s="73" t="s">
        <v>497</v>
      </c>
      <c r="H165" s="35">
        <v>57</v>
      </c>
      <c r="I165" s="35" t="s">
        <v>54</v>
      </c>
      <c r="J165" s="35">
        <v>100</v>
      </c>
      <c r="K165" s="35" t="s">
        <v>150</v>
      </c>
      <c r="L165" s="35" t="s">
        <v>53</v>
      </c>
      <c r="M165" s="35">
        <v>4</v>
      </c>
      <c r="N165" s="35">
        <v>4</v>
      </c>
      <c r="O165" s="35">
        <v>1</v>
      </c>
      <c r="P165" s="35">
        <v>2</v>
      </c>
      <c r="Q165" s="35">
        <v>1</v>
      </c>
      <c r="R165" s="35" t="s">
        <v>73</v>
      </c>
      <c r="S165" s="35" t="s">
        <v>73</v>
      </c>
      <c r="T165" s="36">
        <v>44901</v>
      </c>
      <c r="U165" s="36">
        <v>2958465</v>
      </c>
      <c r="V165" s="35" t="s">
        <v>282</v>
      </c>
      <c r="W165" s="35" t="s">
        <v>145</v>
      </c>
      <c r="X165" s="35"/>
      <c r="Y165" s="35" t="s">
        <v>143</v>
      </c>
      <c r="Z165" s="35">
        <v>7589154</v>
      </c>
      <c r="AA165" s="35">
        <v>218</v>
      </c>
      <c r="AB165" s="35">
        <v>109</v>
      </c>
      <c r="AC165" s="35"/>
      <c r="AE165" s="51">
        <f>M165/O165</f>
        <v>4</v>
      </c>
      <c r="AG165" s="6" t="str">
        <f>C165</f>
        <v>90MB1BJ0-C1BAY0</v>
      </c>
      <c r="AH165" s="6" t="str">
        <f>IF($D165&lt;=AH$4,"",IF(AND($D164=AH$4,$D165&gt;AH$4),$F164,AH164))</f>
        <v>59MB1BJB-MB0A02S</v>
      </c>
      <c r="AI165" s="6" t="str">
        <f>IF($D165&lt;=AI$4,"",IF(AND($D164=AI$4,$D165&gt;AI$4),$F164,AI164))</f>
        <v/>
      </c>
      <c r="AJ165" s="6" t="str">
        <f>IF($D165&lt;=AJ$4,"",IF(AND($D164=AJ$4,$D165&gt;AJ$4),$F164,AJ164))</f>
        <v/>
      </c>
      <c r="AK165" s="6" t="str">
        <f>IF($D165&lt;=AK$4,"",IF(AND($D164=AK$4,$D165&gt;AK$4),$F164,AK164))</f>
        <v/>
      </c>
      <c r="AL165" s="6" t="str">
        <f>IF($D165&lt;=AL$4,"",IF(AND($D164=AL$4,$D165&gt;AL$4),$F164,AL164))</f>
        <v/>
      </c>
      <c r="AM165" s="6" t="str">
        <f>IF($D165&lt;=AM$4,"",IF(AND($D164=AM$4,$D165&gt;AM$4),$F164,AM164))</f>
        <v/>
      </c>
      <c r="AN165" s="6" t="str">
        <f>IF($D165&lt;=AN$4,"",IF(AND($D164=AN$4,$D165&gt;AN$4),$F164,AN164))</f>
        <v/>
      </c>
      <c r="AO165" s="6" t="str">
        <f>CONCATENATE(AG165," | ",AH165," | ",AI165," | ",AJ165," | ",AK165," | ",AL165," | ",AM165," | ",AN165)</f>
        <v xml:space="preserve">90MB1BJ0-C1BAY0 | 59MB1BJB-MB0A02S |  |  |  |  |  | </v>
      </c>
      <c r="AP165" s="6">
        <f>IF(TRIM(H165)="",100,J165)</f>
        <v>100</v>
      </c>
      <c r="AQ165" s="4"/>
      <c r="AR165" s="6" t="b">
        <f>NOT(TRIM(W165)&lt;&gt;"F")</f>
        <v>1</v>
      </c>
      <c r="AS165" s="6" t="str">
        <f>$B165&amp;" | "&amp;$AO165&amp;" | "&amp;IF(TRIM(H165)="","uniq"&amp;ROW(),TRIM(H165))</f>
        <v>461E | 90MB1BJ0-C1BAY0 | 59MB1BJB-MB0A02S |  |  |  |  |  |  | 57</v>
      </c>
      <c r="AT165" s="63">
        <f>IF(NOT(AR165),IF(TRIM($H165)="","Assembly","Phantom Alt"),VLOOKUP(F165,ZPCS04!B:G,6,0))</f>
        <v>936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1.99999996</v>
      </c>
      <c r="AX165" s="7"/>
      <c r="AY165" s="6" t="b">
        <f>SUMIF(AS:AS,AS165,AP:AP)=100</f>
        <v>1</v>
      </c>
      <c r="AZ165" s="6" t="b">
        <f>SUMIF(AS:AS,AS165,AE:AE)/COUNTIF(AS:AS,AS165)=AE165</f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>C165&amp;" | "&amp;F165</f>
        <v>90MB1BJ0-C1BAY0 | 07014-00349000</v>
      </c>
      <c r="BE165" s="55" t="str">
        <f ca="1">C165&amp;" | "&amp;OFFSET($AF165,0,8-COUNTBLANK($AG165:$AN165))</f>
        <v>90MB1BJ0-C1BAY0 | 59MB1BJB-MB0A02S</v>
      </c>
      <c r="BF165" s="57">
        <f ca="1">IFERROR(VLOOKUP($BE165,$BD$5:$BF164,3,0)*$AE165,VLOOKUP($C165,Demanda!$A:$B,2,0)*$AE165)*IF(AT165="Phantom Alt",$BC165,TRUE)</f>
        <v>4000</v>
      </c>
      <c r="BG165" s="57">
        <f ca="1">BF165*(AP165/100)</f>
        <v>4000</v>
      </c>
      <c r="BH165" s="57">
        <f>SUMIF(Invoice!A:A,F165,Invoice!B:B)</f>
        <v>4000</v>
      </c>
      <c r="BI165" s="57">
        <f ca="1">SUMIF(AS:AS,AS165,BG:BG)</f>
        <v>4000</v>
      </c>
      <c r="BJ165" s="57">
        <f ca="1">MIN((BI165-SUMIF($AS$5:AS164,AS165,$BJ$5:BJ164)),MAX(0,BH165-SUMIF($F$5:F164,F165,$BJ$5:BJ164)))</f>
        <v>4000</v>
      </c>
      <c r="BK165" s="57">
        <f ca="1">(-SUMIF(AS:AS,AS165,BG:BG)+SUMIF(AS:AS,AS165,BJ:BJ))*(AP165=100)*AR165</f>
        <v>0</v>
      </c>
      <c r="BL165" s="57">
        <f ca="1">MAX(0,SUMIF(Invoice!A:A,F165,Invoice!B:B)-SUMIF(F:F,F165,BJ:BJ))*(COUNTIF(F:F,F165)=COUNTIF($F$5:F165,F165))</f>
        <v>0</v>
      </c>
    </row>
    <row r="166" spans="1:64" hidden="1">
      <c r="A166" s="43">
        <v>166</v>
      </c>
      <c r="B166" s="35" t="s">
        <v>147</v>
      </c>
      <c r="C166" s="35" t="s">
        <v>146</v>
      </c>
      <c r="D166" s="35">
        <v>2</v>
      </c>
      <c r="E166" s="35">
        <v>570</v>
      </c>
      <c r="F166" s="64" t="s">
        <v>498</v>
      </c>
      <c r="G166" s="73" t="s">
        <v>499</v>
      </c>
      <c r="H166" s="35">
        <v>57</v>
      </c>
      <c r="I166" s="35" t="s">
        <v>55</v>
      </c>
      <c r="J166" s="35">
        <v>0</v>
      </c>
      <c r="K166" s="35" t="s">
        <v>150</v>
      </c>
      <c r="L166" s="35" t="s">
        <v>53</v>
      </c>
      <c r="M166" s="35">
        <v>4</v>
      </c>
      <c r="N166" s="35"/>
      <c r="O166" s="35">
        <v>1</v>
      </c>
      <c r="P166" s="35">
        <v>2</v>
      </c>
      <c r="Q166" s="35">
        <v>2</v>
      </c>
      <c r="R166" s="35" t="s">
        <v>73</v>
      </c>
      <c r="S166" s="35" t="s">
        <v>73</v>
      </c>
      <c r="T166" s="36">
        <v>44901</v>
      </c>
      <c r="U166" s="36">
        <v>2958465</v>
      </c>
      <c r="V166" s="35" t="s">
        <v>282</v>
      </c>
      <c r="W166" s="35" t="s">
        <v>145</v>
      </c>
      <c r="X166" s="35"/>
      <c r="Y166" s="35" t="s">
        <v>143</v>
      </c>
      <c r="Z166" s="35">
        <v>7589154</v>
      </c>
      <c r="AA166" s="35">
        <v>220</v>
      </c>
      <c r="AB166" s="35">
        <v>110</v>
      </c>
      <c r="AC166" s="35"/>
      <c r="AE166" s="51">
        <f>M166/O166</f>
        <v>4</v>
      </c>
      <c r="AG166" s="6" t="str">
        <f>C166</f>
        <v>90MB1BJ0-C1BAY0</v>
      </c>
      <c r="AH166" s="6" t="str">
        <f>IF($D166&lt;=AH$4,"",IF(AND($D165=AH$4,$D166&gt;AH$4),$F165,AH165))</f>
        <v>59MB1BJB-MB0A02S</v>
      </c>
      <c r="AI166" s="6" t="str">
        <f>IF($D166&lt;=AI$4,"",IF(AND($D165=AI$4,$D166&gt;AI$4),$F165,AI165))</f>
        <v/>
      </c>
      <c r="AJ166" s="6" t="str">
        <f>IF($D166&lt;=AJ$4,"",IF(AND($D165=AJ$4,$D166&gt;AJ$4),$F165,AJ165))</f>
        <v/>
      </c>
      <c r="AK166" s="6" t="str">
        <f>IF($D166&lt;=AK$4,"",IF(AND($D165=AK$4,$D166&gt;AK$4),$F165,AK165))</f>
        <v/>
      </c>
      <c r="AL166" s="6" t="str">
        <f>IF($D166&lt;=AL$4,"",IF(AND($D165=AL$4,$D166&gt;AL$4),$F165,AL165))</f>
        <v/>
      </c>
      <c r="AM166" s="6" t="str">
        <f>IF($D166&lt;=AM$4,"",IF(AND($D165=AM$4,$D166&gt;AM$4),$F165,AM165))</f>
        <v/>
      </c>
      <c r="AN166" s="6" t="str">
        <f>IF($D166&lt;=AN$4,"",IF(AND($D165=AN$4,$D166&gt;AN$4),$F165,AN165))</f>
        <v/>
      </c>
      <c r="AO166" s="6" t="str">
        <f>CONCATENATE(AG166," | ",AH166," | ",AI166," | ",AJ166," | ",AK166," | ",AL166," | ",AM166," | ",AN166)</f>
        <v xml:space="preserve">90MB1BJ0-C1BAY0 | 59MB1BJB-MB0A02S |  |  |  |  |  | </v>
      </c>
      <c r="AP166" s="6">
        <f>IF(TRIM(H166)="",100,J166)</f>
        <v>0</v>
      </c>
      <c r="AQ166" s="4"/>
      <c r="AR166" s="6" t="b">
        <f>NOT(TRIM(W166)&lt;&gt;"F")</f>
        <v>1</v>
      </c>
      <c r="AS166" s="6" t="str">
        <f>$B166&amp;" | "&amp;$AO166&amp;" | "&amp;IF(TRIM(H166)="","uniq"&amp;ROW(),TRIM(H166))</f>
        <v>461E | 90MB1BJ0-C1BAY0 | 59MB1BJB-MB0A02S |  |  |  |  |  |  | 57</v>
      </c>
      <c r="AT166" s="63">
        <f>IF(NOT(AR166),IF(TRIM($H166)="","Assembly","Phantom Alt"),VLOOKUP(F166,ZPCS04!B:G,6,0))</f>
        <v>936</v>
      </c>
      <c r="AU166" s="7"/>
      <c r="AV166" s="38">
        <f ca="1">IF(TRIM($W166)="F",OFFSET($A$5,MATCH($AS166,$AS$5:$AS166,0)-1,0),$A166)</f>
        <v>165</v>
      </c>
      <c r="AW166" s="38">
        <f ca="1">IFERROR(OFFSET(ZPCS04!$A$1,MATCH(F166,ZPCS04!B:B,0)-1,0),100)</f>
        <v>2</v>
      </c>
      <c r="AX166" s="7"/>
      <c r="AY166" s="6" t="b">
        <f>SUMIF(AS:AS,AS166,AP:AP)=100</f>
        <v>1</v>
      </c>
      <c r="AZ166" s="6" t="b">
        <f>SUMIF(AS:AS,AS166,AE:AE)/COUNTIF(AS:AS,AS166)=AE166</f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>C166&amp;" | "&amp;F166</f>
        <v>90MB1BJ0-C1BAY0 | 07014-00501900</v>
      </c>
      <c r="BE166" s="55" t="str">
        <f ca="1">C166&amp;" | "&amp;OFFSET($AF166,0,8-COUNTBLANK($AG166:$AN166))</f>
        <v>90MB1BJ0-C1BAY0 | 59MB1BJB-MB0A02S</v>
      </c>
      <c r="BF166" s="57">
        <f ca="1">IFERROR(VLOOKUP($BE166,$BD$5:$BF165,3,0)*$AE166,VLOOKUP($C166,Demanda!$A:$B,2,0)*$AE166)*IF(AT166="Phantom Alt",$BC166,TRUE)</f>
        <v>4000</v>
      </c>
      <c r="BG166" s="57">
        <f ca="1">BF166*(AP166/100)</f>
        <v>0</v>
      </c>
      <c r="BH166" s="57">
        <f>SUMIF(Invoice!A:A,F166,Invoice!B:B)</f>
        <v>0</v>
      </c>
      <c r="BI166" s="57">
        <f ca="1">SUMIF(AS:AS,AS166,BG:BG)</f>
        <v>4000</v>
      </c>
      <c r="BJ166" s="57">
        <f ca="1">MIN((BI166-SUMIF($AS$5:AS165,AS166,$BJ$5:BJ165)),MAX(0,BH166-SUMIF($F$5:F165,F166,$BJ$5:BJ165)))</f>
        <v>0</v>
      </c>
      <c r="BK166" s="57">
        <f ca="1">(-SUMIF(AS:AS,AS166,BG:BG)+SUMIF(AS:AS,AS166,BJ:BJ))*(AP166=100)*AR166</f>
        <v>0</v>
      </c>
      <c r="BL166" s="57">
        <f ca="1">MAX(0,SUMIF(Invoice!A:A,F166,Invoice!B:B)-SUMIF(F:F,F166,BJ:BJ))*(COUNTIF(F:F,F166)=COUNTIF($F$5:F166,F166))</f>
        <v>0</v>
      </c>
    </row>
    <row r="167" spans="1:64" hidden="1">
      <c r="A167" s="43">
        <v>167</v>
      </c>
      <c r="B167" s="35" t="s">
        <v>147</v>
      </c>
      <c r="C167" s="35" t="s">
        <v>146</v>
      </c>
      <c r="D167" s="35">
        <v>2</v>
      </c>
      <c r="E167" s="35">
        <v>580</v>
      </c>
      <c r="F167" s="64" t="s">
        <v>500</v>
      </c>
      <c r="G167" s="73" t="s">
        <v>501</v>
      </c>
      <c r="H167" s="35">
        <v>58</v>
      </c>
      <c r="I167" s="35" t="s">
        <v>54</v>
      </c>
      <c r="J167" s="35">
        <v>100</v>
      </c>
      <c r="K167" s="35" t="s">
        <v>150</v>
      </c>
      <c r="L167" s="35" t="s">
        <v>53</v>
      </c>
      <c r="M167" s="35">
        <v>15</v>
      </c>
      <c r="N167" s="35">
        <v>15</v>
      </c>
      <c r="O167" s="35">
        <v>1</v>
      </c>
      <c r="P167" s="35">
        <v>2</v>
      </c>
      <c r="Q167" s="35">
        <v>1</v>
      </c>
      <c r="R167" s="35" t="s">
        <v>73</v>
      </c>
      <c r="S167" s="35" t="s">
        <v>73</v>
      </c>
      <c r="T167" s="36">
        <v>44901</v>
      </c>
      <c r="U167" s="36">
        <v>2958465</v>
      </c>
      <c r="V167" s="35" t="s">
        <v>282</v>
      </c>
      <c r="W167" s="35" t="s">
        <v>145</v>
      </c>
      <c r="X167" s="35"/>
      <c r="Y167" s="35" t="s">
        <v>143</v>
      </c>
      <c r="Z167" s="35">
        <v>7589154</v>
      </c>
      <c r="AA167" s="35">
        <v>222</v>
      </c>
      <c r="AB167" s="35">
        <v>111</v>
      </c>
      <c r="AC167" s="35"/>
      <c r="AE167" s="51">
        <f>M167/O167</f>
        <v>15</v>
      </c>
      <c r="AG167" s="6" t="str">
        <f>C167</f>
        <v>90MB1BJ0-C1BAY0</v>
      </c>
      <c r="AH167" s="6" t="str">
        <f>IF($D167&lt;=AH$4,"",IF(AND($D166=AH$4,$D167&gt;AH$4),$F166,AH166))</f>
        <v>59MB1BJB-MB0A02S</v>
      </c>
      <c r="AI167" s="6" t="str">
        <f>IF($D167&lt;=AI$4,"",IF(AND($D166=AI$4,$D167&gt;AI$4),$F166,AI166))</f>
        <v/>
      </c>
      <c r="AJ167" s="6" t="str">
        <f>IF($D167&lt;=AJ$4,"",IF(AND($D166=AJ$4,$D167&gt;AJ$4),$F166,AJ166))</f>
        <v/>
      </c>
      <c r="AK167" s="6" t="str">
        <f>IF($D167&lt;=AK$4,"",IF(AND($D166=AK$4,$D167&gt;AK$4),$F166,AK166))</f>
        <v/>
      </c>
      <c r="AL167" s="6" t="str">
        <f>IF($D167&lt;=AL$4,"",IF(AND($D166=AL$4,$D167&gt;AL$4),$F166,AL166))</f>
        <v/>
      </c>
      <c r="AM167" s="6" t="str">
        <f>IF($D167&lt;=AM$4,"",IF(AND($D166=AM$4,$D167&gt;AM$4),$F166,AM166))</f>
        <v/>
      </c>
      <c r="AN167" s="6" t="str">
        <f>IF($D167&lt;=AN$4,"",IF(AND($D166=AN$4,$D167&gt;AN$4),$F166,AN166))</f>
        <v/>
      </c>
      <c r="AO167" s="6" t="str">
        <f>CONCATENATE(AG167," | ",AH167," | ",AI167," | ",AJ167," | ",AK167," | ",AL167," | ",AM167," | ",AN167)</f>
        <v xml:space="preserve">90MB1BJ0-C1BAY0 | 59MB1BJB-MB0A02S |  |  |  |  |  | </v>
      </c>
      <c r="AP167" s="6">
        <f>IF(TRIM(H167)="",100,J167)</f>
        <v>100</v>
      </c>
      <c r="AQ167" s="4"/>
      <c r="AR167" s="6" t="b">
        <f>NOT(TRIM(W167)&lt;&gt;"F")</f>
        <v>1</v>
      </c>
      <c r="AS167" s="6" t="str">
        <f>$B167&amp;" | "&amp;$AO167&amp;" | "&amp;IF(TRIM(H167)="","uniq"&amp;ROW(),TRIM(H167))</f>
        <v>461E | 90MB1BJ0-C1BAY0 | 59MB1BJB-MB0A02S |  |  |  |  |  |  | 58</v>
      </c>
      <c r="AT167" s="63">
        <f>IF(NOT(AR167),IF(TRIM($H167)="","Assembly","Phantom Alt"),VLOOKUP(F167,ZPCS04!B:G,6,0))</f>
        <v>816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1.99999985</v>
      </c>
      <c r="AX167" s="7"/>
      <c r="AY167" s="6" t="b">
        <f>SUMIF(AS:AS,AS167,AP:AP)=100</f>
        <v>1</v>
      </c>
      <c r="AZ167" s="6" t="b">
        <f>SUMIF(AS:AS,AS167,AE:AE)/COUNTIF(AS:AS,AS167)=AE167</f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>C167&amp;" | "&amp;F167</f>
        <v>90MB1BJ0-C1BAY0 | 07024-01210000</v>
      </c>
      <c r="BE167" s="55" t="str">
        <f ca="1">C167&amp;" | "&amp;OFFSET($AF167,0,8-COUNTBLANK($AG167:$AN167))</f>
        <v>90MB1BJ0-C1BAY0 | 59MB1BJB-MB0A02S</v>
      </c>
      <c r="BF167" s="57">
        <f ca="1">IFERROR(VLOOKUP($BE167,$BD$5:$BF166,3,0)*$AE167,VLOOKUP($C167,Demanda!$A:$B,2,0)*$AE167)*IF(AT167="Phantom Alt",$BC167,TRUE)</f>
        <v>15000</v>
      </c>
      <c r="BG167" s="57">
        <f ca="1">BF167*(AP167/100)</f>
        <v>15000</v>
      </c>
      <c r="BH167" s="57">
        <f>SUMIF(Invoice!A:A,F167,Invoice!B:B)</f>
        <v>15000</v>
      </c>
      <c r="BI167" s="57">
        <f ca="1">SUMIF(AS:AS,AS167,BG:BG)</f>
        <v>15000</v>
      </c>
      <c r="BJ167" s="57">
        <f ca="1">MIN((BI167-SUMIF($AS$5:AS166,AS167,$BJ$5:BJ166)),MAX(0,BH167-SUMIF($F$5:F166,F167,$BJ$5:BJ166)))</f>
        <v>15000</v>
      </c>
      <c r="BK167" s="57">
        <f ca="1">(-SUMIF(AS:AS,AS167,BG:BG)+SUMIF(AS:AS,AS167,BJ:BJ))*(AP167=100)*AR167</f>
        <v>0</v>
      </c>
      <c r="BL167" s="57">
        <f ca="1">MAX(0,SUMIF(Invoice!A:A,F167,Invoice!B:B)-SUMIF(F:F,F167,BJ:BJ))*(COUNTIF(F:F,F167)=COUNTIF($F$5:F167,F167))</f>
        <v>0</v>
      </c>
    </row>
    <row r="168" spans="1:64" hidden="1">
      <c r="A168" s="43">
        <v>168</v>
      </c>
      <c r="B168" s="35" t="s">
        <v>147</v>
      </c>
      <c r="C168" s="35" t="s">
        <v>146</v>
      </c>
      <c r="D168" s="35">
        <v>2</v>
      </c>
      <c r="E168" s="35">
        <v>580</v>
      </c>
      <c r="F168" s="64" t="s">
        <v>502</v>
      </c>
      <c r="G168" s="73" t="s">
        <v>503</v>
      </c>
      <c r="H168" s="35">
        <v>58</v>
      </c>
      <c r="I168" s="35" t="s">
        <v>55</v>
      </c>
      <c r="J168" s="35">
        <v>0</v>
      </c>
      <c r="K168" s="35" t="s">
        <v>489</v>
      </c>
      <c r="L168" s="35" t="s">
        <v>53</v>
      </c>
      <c r="M168" s="35">
        <v>15</v>
      </c>
      <c r="N168" s="35"/>
      <c r="O168" s="35">
        <v>1</v>
      </c>
      <c r="P168" s="35">
        <v>2</v>
      </c>
      <c r="Q168" s="35">
        <v>2</v>
      </c>
      <c r="R168" s="35" t="s">
        <v>122</v>
      </c>
      <c r="S168" s="35" t="s">
        <v>122</v>
      </c>
      <c r="T168" s="36">
        <v>44901</v>
      </c>
      <c r="U168" s="36">
        <v>2958465</v>
      </c>
      <c r="V168" s="35" t="s">
        <v>282</v>
      </c>
      <c r="W168" s="35" t="s">
        <v>145</v>
      </c>
      <c r="X168" s="35"/>
      <c r="Y168" s="35" t="s">
        <v>143</v>
      </c>
      <c r="Z168" s="35">
        <v>7589154</v>
      </c>
      <c r="AA168" s="35">
        <v>224</v>
      </c>
      <c r="AB168" s="35">
        <v>112</v>
      </c>
      <c r="AC168" s="35"/>
      <c r="AE168" s="51">
        <f>M168/O168</f>
        <v>15</v>
      </c>
      <c r="AG168" s="6" t="str">
        <f>C168</f>
        <v>90MB1BJ0-C1BAY0</v>
      </c>
      <c r="AH168" s="6" t="str">
        <f>IF($D168&lt;=AH$4,"",IF(AND($D167=AH$4,$D168&gt;AH$4),$F167,AH167))</f>
        <v>59MB1BJB-MB0A02S</v>
      </c>
      <c r="AI168" s="6" t="str">
        <f>IF($D168&lt;=AI$4,"",IF(AND($D167=AI$4,$D168&gt;AI$4),$F167,AI167))</f>
        <v/>
      </c>
      <c r="AJ168" s="6" t="str">
        <f>IF($D168&lt;=AJ$4,"",IF(AND($D167=AJ$4,$D168&gt;AJ$4),$F167,AJ167))</f>
        <v/>
      </c>
      <c r="AK168" s="6" t="str">
        <f>IF($D168&lt;=AK$4,"",IF(AND($D167=AK$4,$D168&gt;AK$4),$F167,AK167))</f>
        <v/>
      </c>
      <c r="AL168" s="6" t="str">
        <f>IF($D168&lt;=AL$4,"",IF(AND($D167=AL$4,$D168&gt;AL$4),$F167,AL167))</f>
        <v/>
      </c>
      <c r="AM168" s="6" t="str">
        <f>IF($D168&lt;=AM$4,"",IF(AND($D167=AM$4,$D168&gt;AM$4),$F167,AM167))</f>
        <v/>
      </c>
      <c r="AN168" s="6" t="str">
        <f>IF($D168&lt;=AN$4,"",IF(AND($D167=AN$4,$D168&gt;AN$4),$F167,AN167))</f>
        <v/>
      </c>
      <c r="AO168" s="6" t="str">
        <f>CONCATENATE(AG168," | ",AH168," | ",AI168," | ",AJ168," | ",AK168," | ",AL168," | ",AM168," | ",AN168)</f>
        <v xml:space="preserve">90MB1BJ0-C1BAY0 | 59MB1BJB-MB0A02S |  |  |  |  |  | </v>
      </c>
      <c r="AP168" s="6">
        <f>IF(TRIM(H168)="",100,J168)</f>
        <v>0</v>
      </c>
      <c r="AQ168" s="4"/>
      <c r="AR168" s="6" t="b">
        <f>NOT(TRIM(W168)&lt;&gt;"F")</f>
        <v>1</v>
      </c>
      <c r="AS168" s="6" t="str">
        <f>$B168&amp;" | "&amp;$AO168&amp;" | "&amp;IF(TRIM(H168)="","uniq"&amp;ROW(),TRIM(H168))</f>
        <v>461E | 90MB1BJ0-C1BAY0 | 59MB1BJB-MB0A02S |  |  |  |  |  |  | 58</v>
      </c>
      <c r="AT168" s="63">
        <f>IF(NOT(AR168),IF(TRIM($H168)="","Assembly","Phantom Alt"),VLOOKUP(F168,ZPCS04!B:G,6,0))</f>
        <v>816</v>
      </c>
      <c r="AU168" s="7"/>
      <c r="AV168" s="38">
        <f ca="1">IF(TRIM($W168)="F",OFFSET($A$5,MATCH($AS168,$AS$5:$AS168,0)-1,0),$A168)</f>
        <v>167</v>
      </c>
      <c r="AW168" s="38">
        <f ca="1">IFERROR(OFFSET(ZPCS04!$A$1,MATCH(F168,ZPCS04!B:B,0)-1,0),100)</f>
        <v>2</v>
      </c>
      <c r="AX168" s="7"/>
      <c r="AY168" s="6" t="b">
        <f>SUMIF(AS:AS,AS168,AP:AP)=100</f>
        <v>1</v>
      </c>
      <c r="AZ168" s="6" t="b">
        <f>SUMIF(AS:AS,AS168,AE:AE)/COUNTIF(AS:AS,AS168)=AE168</f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>C168&amp;" | "&amp;F168</f>
        <v>90MB1BJ0-C1BAY0 | 07G022005N30</v>
      </c>
      <c r="BE168" s="55" t="str">
        <f ca="1">C168&amp;" | "&amp;OFFSET($AF168,0,8-COUNTBLANK($AG168:$AN168))</f>
        <v>90MB1BJ0-C1BAY0 | 59MB1BJB-MB0A02S</v>
      </c>
      <c r="BF168" s="57">
        <f ca="1">IFERROR(VLOOKUP($BE168,$BD$5:$BF167,3,0)*$AE168,VLOOKUP($C168,Demanda!$A:$B,2,0)*$AE168)*IF(AT168="Phantom Alt",$BC168,TRUE)</f>
        <v>15000</v>
      </c>
      <c r="BG168" s="57">
        <f ca="1">BF168*(AP168/100)</f>
        <v>0</v>
      </c>
      <c r="BH168" s="57">
        <f>SUMIF(Invoice!A:A,F168,Invoice!B:B)</f>
        <v>0</v>
      </c>
      <c r="BI168" s="57">
        <f ca="1">SUMIF(AS:AS,AS168,BG:BG)</f>
        <v>15000</v>
      </c>
      <c r="BJ168" s="57">
        <f ca="1">MIN((BI168-SUMIF($AS$5:AS167,AS168,$BJ$5:BJ167)),MAX(0,BH168-SUMIF($F$5:F167,F168,$BJ$5:BJ167)))</f>
        <v>0</v>
      </c>
      <c r="BK168" s="57">
        <f ca="1">(-SUMIF(AS:AS,AS168,BG:BG)+SUMIF(AS:AS,AS168,BJ:BJ))*(AP168=100)*AR168</f>
        <v>0</v>
      </c>
      <c r="BL168" s="57">
        <f ca="1">MAX(0,SUMIF(Invoice!A:A,F168,Invoice!B:B)-SUMIF(F:F,F168,BJ:BJ))*(COUNTIF(F:F,F168)=COUNTIF($F$5:F168,F168))</f>
        <v>0</v>
      </c>
    </row>
    <row r="169" spans="1:64" hidden="1">
      <c r="A169" s="43">
        <v>169</v>
      </c>
      <c r="B169" s="35" t="s">
        <v>147</v>
      </c>
      <c r="C169" s="35" t="s">
        <v>146</v>
      </c>
      <c r="D169" s="35">
        <v>2</v>
      </c>
      <c r="E169" s="35">
        <v>590</v>
      </c>
      <c r="F169" s="64" t="s">
        <v>504</v>
      </c>
      <c r="G169" s="73" t="s">
        <v>505</v>
      </c>
      <c r="H169" s="35">
        <v>59</v>
      </c>
      <c r="I169" s="35" t="s">
        <v>54</v>
      </c>
      <c r="J169" s="35">
        <v>100</v>
      </c>
      <c r="K169" s="35" t="s">
        <v>150</v>
      </c>
      <c r="L169" s="35" t="s">
        <v>53</v>
      </c>
      <c r="M169" s="35">
        <v>19</v>
      </c>
      <c r="N169" s="35">
        <v>19</v>
      </c>
      <c r="O169" s="35">
        <v>1</v>
      </c>
      <c r="P169" s="35">
        <v>2</v>
      </c>
      <c r="Q169" s="35">
        <v>1</v>
      </c>
      <c r="R169" s="35" t="s">
        <v>73</v>
      </c>
      <c r="S169" s="35" t="s">
        <v>73</v>
      </c>
      <c r="T169" s="36">
        <v>44901</v>
      </c>
      <c r="U169" s="36">
        <v>2958465</v>
      </c>
      <c r="V169" s="35" t="s">
        <v>282</v>
      </c>
      <c r="W169" s="35" t="s">
        <v>145</v>
      </c>
      <c r="X169" s="35"/>
      <c r="Y169" s="35" t="s">
        <v>143</v>
      </c>
      <c r="Z169" s="35">
        <v>7589154</v>
      </c>
      <c r="AA169" s="35">
        <v>226</v>
      </c>
      <c r="AB169" s="35">
        <v>113</v>
      </c>
      <c r="AC169" s="35"/>
      <c r="AE169" s="51">
        <f>M169/O169</f>
        <v>19</v>
      </c>
      <c r="AG169" s="6" t="str">
        <f>C169</f>
        <v>90MB1BJ0-C1BAY0</v>
      </c>
      <c r="AH169" s="6" t="str">
        <f>IF($D169&lt;=AH$4,"",IF(AND($D168=AH$4,$D169&gt;AH$4),$F168,AH168))</f>
        <v>59MB1BJB-MB0A02S</v>
      </c>
      <c r="AI169" s="6" t="str">
        <f>IF($D169&lt;=AI$4,"",IF(AND($D168=AI$4,$D169&gt;AI$4),$F168,AI168))</f>
        <v/>
      </c>
      <c r="AJ169" s="6" t="str">
        <f>IF($D169&lt;=AJ$4,"",IF(AND($D168=AJ$4,$D169&gt;AJ$4),$F168,AJ168))</f>
        <v/>
      </c>
      <c r="AK169" s="6" t="str">
        <f>IF($D169&lt;=AK$4,"",IF(AND($D168=AK$4,$D169&gt;AK$4),$F168,AK168))</f>
        <v/>
      </c>
      <c r="AL169" s="6" t="str">
        <f>IF($D169&lt;=AL$4,"",IF(AND($D168=AL$4,$D169&gt;AL$4),$F168,AL168))</f>
        <v/>
      </c>
      <c r="AM169" s="6" t="str">
        <f>IF($D169&lt;=AM$4,"",IF(AND($D168=AM$4,$D169&gt;AM$4),$F168,AM168))</f>
        <v/>
      </c>
      <c r="AN169" s="6" t="str">
        <f>IF($D169&lt;=AN$4,"",IF(AND($D168=AN$4,$D169&gt;AN$4),$F168,AN168))</f>
        <v/>
      </c>
      <c r="AO169" s="6" t="str">
        <f>CONCATENATE(AG169," | ",AH169," | ",AI169," | ",AJ169," | ",AK169," | ",AL169," | ",AM169," | ",AN169)</f>
        <v xml:space="preserve">90MB1BJ0-C1BAY0 | 59MB1BJB-MB0A02S |  |  |  |  |  | </v>
      </c>
      <c r="AP169" s="6">
        <f>IF(TRIM(H169)="",100,J169)</f>
        <v>100</v>
      </c>
      <c r="AQ169" s="4"/>
      <c r="AR169" s="6" t="b">
        <f>NOT(TRIM(W169)&lt;&gt;"F")</f>
        <v>1</v>
      </c>
      <c r="AS169" s="6" t="str">
        <f>$B169&amp;" | "&amp;$AO169&amp;" | "&amp;IF(TRIM(H169)="","uniq"&amp;ROW(),TRIM(H169))</f>
        <v>461E | 90MB1BJ0-C1BAY0 | 59MB1BJB-MB0A02S |  |  |  |  |  |  | 59</v>
      </c>
      <c r="AT169" s="63">
        <f>IF(NOT(AR169),IF(TRIM($H169)="","Assembly","Phantom Alt"),VLOOKUP(F169,ZPCS04!B:G,6,0))</f>
        <v>932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1.99999981</v>
      </c>
      <c r="AX169" s="7"/>
      <c r="AY169" s="6" t="b">
        <f>SUMIF(AS:AS,AS169,AP:AP)=100</f>
        <v>1</v>
      </c>
      <c r="AZ169" s="6" t="b">
        <f>SUMIF(AS:AS,AS169,AE:AE)/COUNTIF(AS:AS,AS169)=AE169</f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>C169&amp;" | "&amp;F169</f>
        <v>90MB1BJ0-C1BAY0 | 07024-01800000</v>
      </c>
      <c r="BE169" s="55" t="str">
        <f ca="1">C169&amp;" | "&amp;OFFSET($AF169,0,8-COUNTBLANK($AG169:$AN169))</f>
        <v>90MB1BJ0-C1BAY0 | 59MB1BJB-MB0A02S</v>
      </c>
      <c r="BF169" s="57">
        <f ca="1">IFERROR(VLOOKUP($BE169,$BD$5:$BF168,3,0)*$AE169,VLOOKUP($C169,Demanda!$A:$B,2,0)*$AE169)*IF(AT169="Phantom Alt",$BC169,TRUE)</f>
        <v>19000</v>
      </c>
      <c r="BG169" s="57">
        <f ca="1">BF169*(AP169/100)</f>
        <v>19000</v>
      </c>
      <c r="BH169" s="57">
        <f>SUMIF(Invoice!A:A,F169,Invoice!B:B)</f>
        <v>19000</v>
      </c>
      <c r="BI169" s="57">
        <f ca="1">SUMIF(AS:AS,AS169,BG:BG)</f>
        <v>19000</v>
      </c>
      <c r="BJ169" s="57">
        <f ca="1">MIN((BI169-SUMIF($AS$5:AS168,AS169,$BJ$5:BJ168)),MAX(0,BH169-SUMIF($F$5:F168,F169,$BJ$5:BJ168)))</f>
        <v>19000</v>
      </c>
      <c r="BK169" s="57">
        <f ca="1">(-SUMIF(AS:AS,AS169,BG:BG)+SUMIF(AS:AS,AS169,BJ:BJ))*(AP169=100)*AR169</f>
        <v>0</v>
      </c>
      <c r="BL169" s="57">
        <f ca="1">MAX(0,SUMIF(Invoice!A:A,F169,Invoice!B:B)-SUMIF(F:F,F169,BJ:BJ))*(COUNTIF(F:F,F169)=COUNTIF($F$5:F169,F169))</f>
        <v>0</v>
      </c>
    </row>
    <row r="170" spans="1:64" hidden="1">
      <c r="A170" s="43">
        <v>170</v>
      </c>
      <c r="B170" s="35" t="s">
        <v>147</v>
      </c>
      <c r="C170" s="35" t="s">
        <v>146</v>
      </c>
      <c r="D170" s="35">
        <v>2</v>
      </c>
      <c r="E170" s="35">
        <v>590</v>
      </c>
      <c r="F170" s="64" t="s">
        <v>506</v>
      </c>
      <c r="G170" s="73" t="s">
        <v>507</v>
      </c>
      <c r="H170" s="35">
        <v>59</v>
      </c>
      <c r="I170" s="35" t="s">
        <v>55</v>
      </c>
      <c r="J170" s="35">
        <v>0</v>
      </c>
      <c r="K170" s="35" t="s">
        <v>508</v>
      </c>
      <c r="L170" s="35" t="s">
        <v>53</v>
      </c>
      <c r="M170" s="35">
        <v>19</v>
      </c>
      <c r="N170" s="35"/>
      <c r="O170" s="35">
        <v>1</v>
      </c>
      <c r="P170" s="35">
        <v>2</v>
      </c>
      <c r="Q170" s="35">
        <v>2</v>
      </c>
      <c r="R170" s="35" t="s">
        <v>73</v>
      </c>
      <c r="S170" s="35" t="s">
        <v>73</v>
      </c>
      <c r="T170" s="36">
        <v>44901</v>
      </c>
      <c r="U170" s="36">
        <v>2958465</v>
      </c>
      <c r="V170" s="35" t="s">
        <v>282</v>
      </c>
      <c r="W170" s="35" t="s">
        <v>145</v>
      </c>
      <c r="X170" s="35"/>
      <c r="Y170" s="35" t="s">
        <v>143</v>
      </c>
      <c r="Z170" s="35">
        <v>7589154</v>
      </c>
      <c r="AA170" s="35">
        <v>228</v>
      </c>
      <c r="AB170" s="35">
        <v>114</v>
      </c>
      <c r="AC170" s="35"/>
      <c r="AE170" s="51">
        <f>M170/O170</f>
        <v>19</v>
      </c>
      <c r="AG170" s="6" t="str">
        <f>C170</f>
        <v>90MB1BJ0-C1BAY0</v>
      </c>
      <c r="AH170" s="6" t="str">
        <f>IF($D170&lt;=AH$4,"",IF(AND($D169=AH$4,$D170&gt;AH$4),$F169,AH169))</f>
        <v>59MB1BJB-MB0A02S</v>
      </c>
      <c r="AI170" s="6" t="str">
        <f>IF($D170&lt;=AI$4,"",IF(AND($D169=AI$4,$D170&gt;AI$4),$F169,AI169))</f>
        <v/>
      </c>
      <c r="AJ170" s="6" t="str">
        <f>IF($D170&lt;=AJ$4,"",IF(AND($D169=AJ$4,$D170&gt;AJ$4),$F169,AJ169))</f>
        <v/>
      </c>
      <c r="AK170" s="6" t="str">
        <f>IF($D170&lt;=AK$4,"",IF(AND($D169=AK$4,$D170&gt;AK$4),$F169,AK169))</f>
        <v/>
      </c>
      <c r="AL170" s="6" t="str">
        <f>IF($D170&lt;=AL$4,"",IF(AND($D169=AL$4,$D170&gt;AL$4),$F169,AL169))</f>
        <v/>
      </c>
      <c r="AM170" s="6" t="str">
        <f>IF($D170&lt;=AM$4,"",IF(AND($D169=AM$4,$D170&gt;AM$4),$F169,AM169))</f>
        <v/>
      </c>
      <c r="AN170" s="6" t="str">
        <f>IF($D170&lt;=AN$4,"",IF(AND($D169=AN$4,$D170&gt;AN$4),$F169,AN169))</f>
        <v/>
      </c>
      <c r="AO170" s="6" t="str">
        <f>CONCATENATE(AG170," | ",AH170," | ",AI170," | ",AJ170," | ",AK170," | ",AL170," | ",AM170," | ",AN170)</f>
        <v xml:space="preserve">90MB1BJ0-C1BAY0 | 59MB1BJB-MB0A02S |  |  |  |  |  | </v>
      </c>
      <c r="AP170" s="6">
        <f>IF(TRIM(H170)="",100,J170)</f>
        <v>0</v>
      </c>
      <c r="AQ170" s="4"/>
      <c r="AR170" s="6" t="b">
        <f>NOT(TRIM(W170)&lt;&gt;"F")</f>
        <v>1</v>
      </c>
      <c r="AS170" s="6" t="str">
        <f>$B170&amp;" | "&amp;$AO170&amp;" | "&amp;IF(TRIM(H170)="","uniq"&amp;ROW(),TRIM(H170))</f>
        <v>461E | 90MB1BJ0-C1BAY0 | 59MB1BJB-MB0A02S |  |  |  |  |  |  | 59</v>
      </c>
      <c r="AT170" s="63">
        <f>IF(NOT(AR170),IF(TRIM($H170)="","Assembly","Phantom Alt"),VLOOKUP(F170,ZPCS04!B:G,6,0))</f>
        <v>932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2</v>
      </c>
      <c r="AX170" s="7"/>
      <c r="AY170" s="6" t="b">
        <f>SUMIF(AS:AS,AS170,AP:AP)=100</f>
        <v>1</v>
      </c>
      <c r="AZ170" s="6" t="b">
        <f>SUMIF(AS:AS,AS170,AE:AE)/COUNTIF(AS:AS,AS170)=AE170</f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>C170&amp;" | "&amp;F170</f>
        <v>90MB1BJ0-C1BAY0 | 07024-01830400</v>
      </c>
      <c r="BE170" s="55" t="str">
        <f ca="1">C170&amp;" | "&amp;OFFSET($AF170,0,8-COUNTBLANK($AG170:$AN170))</f>
        <v>90MB1BJ0-C1BAY0 | 59MB1BJB-MB0A02S</v>
      </c>
      <c r="BF170" s="57">
        <f ca="1">IFERROR(VLOOKUP($BE170,$BD$5:$BF169,3,0)*$AE170,VLOOKUP($C170,Demanda!$A:$B,2,0)*$AE170)*IF(AT170="Phantom Alt",$BC170,TRUE)</f>
        <v>19000</v>
      </c>
      <c r="BG170" s="57">
        <f ca="1">BF170*(AP170/100)</f>
        <v>0</v>
      </c>
      <c r="BH170" s="57">
        <f>SUMIF(Invoice!A:A,F170,Invoice!B:B)</f>
        <v>0</v>
      </c>
      <c r="BI170" s="57">
        <f ca="1">SUMIF(AS:AS,AS170,BG:BG)</f>
        <v>19000</v>
      </c>
      <c r="BJ170" s="57">
        <f ca="1">MIN((BI170-SUMIF($AS$5:AS169,AS170,$BJ$5:BJ169)),MAX(0,BH170-SUMIF($F$5:F169,F170,$BJ$5:BJ169)))</f>
        <v>0</v>
      </c>
      <c r="BK170" s="57">
        <f ca="1">(-SUMIF(AS:AS,AS170,BG:BG)+SUMIF(AS:AS,AS170,BJ:BJ))*(AP170=100)*AR170</f>
        <v>0</v>
      </c>
      <c r="BL170" s="57">
        <f ca="1">MAX(0,SUMIF(Invoice!A:A,F170,Invoice!B:B)-SUMIF(F:F,F170,BJ:BJ))*(COUNTIF(F:F,F170)=COUNTIF($F$5:F170,F170))</f>
        <v>0</v>
      </c>
    </row>
    <row r="171" spans="1:64" hidden="1">
      <c r="A171" s="43">
        <v>173</v>
      </c>
      <c r="B171" s="35" t="s">
        <v>147</v>
      </c>
      <c r="C171" s="35" t="s">
        <v>146</v>
      </c>
      <c r="D171" s="35">
        <v>2</v>
      </c>
      <c r="E171" s="35">
        <v>600</v>
      </c>
      <c r="F171" s="64" t="s">
        <v>513</v>
      </c>
      <c r="G171" s="73" t="s">
        <v>514</v>
      </c>
      <c r="H171" s="35">
        <v>60</v>
      </c>
      <c r="I171" s="35" t="s">
        <v>54</v>
      </c>
      <c r="J171" s="35">
        <v>100</v>
      </c>
      <c r="K171" s="35" t="s">
        <v>150</v>
      </c>
      <c r="L171" s="35" t="s">
        <v>53</v>
      </c>
      <c r="M171" s="35">
        <v>18</v>
      </c>
      <c r="N171" s="35">
        <v>18</v>
      </c>
      <c r="O171" s="35">
        <v>1</v>
      </c>
      <c r="P171" s="35">
        <v>2</v>
      </c>
      <c r="Q171" s="35">
        <v>1</v>
      </c>
      <c r="R171" s="35" t="s">
        <v>73</v>
      </c>
      <c r="S171" s="35" t="s">
        <v>73</v>
      </c>
      <c r="T171" s="36">
        <v>44901</v>
      </c>
      <c r="U171" s="36">
        <v>2958465</v>
      </c>
      <c r="V171" s="35" t="s">
        <v>282</v>
      </c>
      <c r="W171" s="35" t="s">
        <v>145</v>
      </c>
      <c r="X171" s="35"/>
      <c r="Y171" s="35" t="s">
        <v>143</v>
      </c>
      <c r="Z171" s="35">
        <v>7589154</v>
      </c>
      <c r="AA171" s="35">
        <v>230</v>
      </c>
      <c r="AB171" s="35">
        <v>115</v>
      </c>
      <c r="AC171" s="35"/>
      <c r="AE171" s="51">
        <f>M171/O171</f>
        <v>18</v>
      </c>
      <c r="AG171" s="6" t="str">
        <f>C171</f>
        <v>90MB1BJ0-C1BAY0</v>
      </c>
      <c r="AH171" s="6" t="str">
        <f>IF($D171&lt;=AH$4,"",IF(AND($D170=AH$4,$D171&gt;AH$4),$F170,AH170))</f>
        <v>59MB1BJB-MB0A02S</v>
      </c>
      <c r="AI171" s="6" t="str">
        <f>IF($D171&lt;=AI$4,"",IF(AND($D170=AI$4,$D171&gt;AI$4),$F170,AI170))</f>
        <v/>
      </c>
      <c r="AJ171" s="6" t="str">
        <f>IF($D171&lt;=AJ$4,"",IF(AND($D170=AJ$4,$D171&gt;AJ$4),$F170,AJ170))</f>
        <v/>
      </c>
      <c r="AK171" s="6" t="str">
        <f>IF($D171&lt;=AK$4,"",IF(AND($D170=AK$4,$D171&gt;AK$4),$F170,AK170))</f>
        <v/>
      </c>
      <c r="AL171" s="6" t="str">
        <f>IF($D171&lt;=AL$4,"",IF(AND($D170=AL$4,$D171&gt;AL$4),$F170,AL170))</f>
        <v/>
      </c>
      <c r="AM171" s="6" t="str">
        <f>IF($D171&lt;=AM$4,"",IF(AND($D170=AM$4,$D171&gt;AM$4),$F170,AM170))</f>
        <v/>
      </c>
      <c r="AN171" s="6" t="str">
        <f>IF($D171&lt;=AN$4,"",IF(AND($D170=AN$4,$D171&gt;AN$4),$F170,AN170))</f>
        <v/>
      </c>
      <c r="AO171" s="6" t="str">
        <f>CONCATENATE(AG171," | ",AH171," | ",AI171," | ",AJ171," | ",AK171," | ",AL171," | ",AM171," | ",AN171)</f>
        <v xml:space="preserve">90MB1BJ0-C1BAY0 | 59MB1BJB-MB0A02S |  |  |  |  |  | </v>
      </c>
      <c r="AP171" s="6">
        <f>IF(TRIM(H171)="",100,J171)</f>
        <v>100</v>
      </c>
      <c r="AQ171" s="4"/>
      <c r="AR171" s="6" t="b">
        <f>NOT(TRIM(W171)&lt;&gt;"F")</f>
        <v>1</v>
      </c>
      <c r="AS171" s="6" t="str">
        <f>$B171&amp;" | "&amp;$AO171&amp;" | "&amp;IF(TRIM(H171)="","uniq"&amp;ROW(),TRIM(H171))</f>
        <v>461E | 90MB1BJ0-C1BAY0 | 59MB1BJB-MB0A02S |  |  |  |  |  |  | 60</v>
      </c>
      <c r="AT171" s="63">
        <f>IF(NOT(AR171),IF(TRIM($H171)="","Assembly","Phantom Alt"),VLOOKUP(F171,ZPCS04!B:G,6,0))</f>
        <v>299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1.99999982</v>
      </c>
      <c r="AX171" s="7"/>
      <c r="AY171" s="6" t="b">
        <f>SUMIF(AS:AS,AS171,AP:AP)=100</f>
        <v>1</v>
      </c>
      <c r="AZ171" s="6" t="b">
        <f>SUMIF(AS:AS,AS171,AE:AE)/COUNTIF(AS:AS,AS171)=AE171</f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>C171&amp;" | "&amp;F171</f>
        <v>90MB1BJ0-C1BAY0 | 07024-02060000</v>
      </c>
      <c r="BE171" s="55" t="str">
        <f ca="1">C171&amp;" | "&amp;OFFSET($AF171,0,8-COUNTBLANK($AG171:$AN171))</f>
        <v>90MB1BJ0-C1BAY0 | 59MB1BJB-MB0A02S</v>
      </c>
      <c r="BF171" s="57">
        <f ca="1">IFERROR(VLOOKUP($BE171,$BD$5:$BF170,3,0)*$AE171,VLOOKUP($C171,Demanda!$A:$B,2,0)*$AE171)*IF(AT171="Phantom Alt",$BC171,TRUE)</f>
        <v>18000</v>
      </c>
      <c r="BG171" s="57">
        <f ca="1">BF171*(AP171/100)</f>
        <v>18000</v>
      </c>
      <c r="BH171" s="57">
        <f>SUMIF(Invoice!A:A,F171,Invoice!B:B)</f>
        <v>18000</v>
      </c>
      <c r="BI171" s="57">
        <f ca="1">SUMIF(AS:AS,AS171,BG:BG)</f>
        <v>18000</v>
      </c>
      <c r="BJ171" s="57">
        <f ca="1">MIN((BI171-SUMIF($AS$5:AS170,AS171,$BJ$5:BJ170)),MAX(0,BH171-SUMIF($F$5:F170,F171,$BJ$5:BJ170)))</f>
        <v>18000</v>
      </c>
      <c r="BK171" s="57">
        <f ca="1">(-SUMIF(AS:AS,AS171,BG:BG)+SUMIF(AS:AS,AS171,BJ:BJ))*(AP171=100)*AR171</f>
        <v>0</v>
      </c>
      <c r="BL171" s="57">
        <f ca="1">MAX(0,SUMIF(Invoice!A:A,F171,Invoice!B:B)-SUMIF(F:F,F171,BJ:BJ))*(COUNTIF(F:F,F171)=COUNTIF($F$5:F171,F171))</f>
        <v>0</v>
      </c>
    </row>
    <row r="172" spans="1:64" hidden="1">
      <c r="A172" s="43">
        <v>171</v>
      </c>
      <c r="B172" s="35" t="s">
        <v>147</v>
      </c>
      <c r="C172" s="35" t="s">
        <v>146</v>
      </c>
      <c r="D172" s="35">
        <v>2</v>
      </c>
      <c r="E172" s="35">
        <v>600</v>
      </c>
      <c r="F172" s="64" t="s">
        <v>509</v>
      </c>
      <c r="G172" s="73" t="s">
        <v>510</v>
      </c>
      <c r="H172" s="35">
        <v>60</v>
      </c>
      <c r="I172" s="35" t="s">
        <v>55</v>
      </c>
      <c r="J172" s="35">
        <v>0</v>
      </c>
      <c r="K172" s="35" t="s">
        <v>508</v>
      </c>
      <c r="L172" s="35" t="s">
        <v>53</v>
      </c>
      <c r="M172" s="35">
        <v>18</v>
      </c>
      <c r="N172" s="35"/>
      <c r="O172" s="35">
        <v>1</v>
      </c>
      <c r="P172" s="35">
        <v>2</v>
      </c>
      <c r="Q172" s="35">
        <v>2</v>
      </c>
      <c r="R172" s="35" t="s">
        <v>73</v>
      </c>
      <c r="S172" s="35" t="s">
        <v>73</v>
      </c>
      <c r="T172" s="36">
        <v>44901</v>
      </c>
      <c r="U172" s="36">
        <v>2958465</v>
      </c>
      <c r="V172" s="35" t="s">
        <v>282</v>
      </c>
      <c r="W172" s="35" t="s">
        <v>145</v>
      </c>
      <c r="X172" s="35"/>
      <c r="Y172" s="35" t="s">
        <v>143</v>
      </c>
      <c r="Z172" s="35">
        <v>7589154</v>
      </c>
      <c r="AA172" s="35">
        <v>232</v>
      </c>
      <c r="AB172" s="35">
        <v>116</v>
      </c>
      <c r="AC172" s="35"/>
      <c r="AE172" s="51">
        <f>M172/O172</f>
        <v>18</v>
      </c>
      <c r="AG172" s="6" t="str">
        <f>C172</f>
        <v>90MB1BJ0-C1BAY0</v>
      </c>
      <c r="AH172" s="6" t="str">
        <f>IF($D172&lt;=AH$4,"",IF(AND($D171=AH$4,$D172&gt;AH$4),$F171,AH171))</f>
        <v>59MB1BJB-MB0A02S</v>
      </c>
      <c r="AI172" s="6" t="str">
        <f>IF($D172&lt;=AI$4,"",IF(AND($D171=AI$4,$D172&gt;AI$4),$F171,AI171))</f>
        <v/>
      </c>
      <c r="AJ172" s="6" t="str">
        <f>IF($D172&lt;=AJ$4,"",IF(AND($D171=AJ$4,$D172&gt;AJ$4),$F171,AJ171))</f>
        <v/>
      </c>
      <c r="AK172" s="6" t="str">
        <f>IF($D172&lt;=AK$4,"",IF(AND($D171=AK$4,$D172&gt;AK$4),$F171,AK171))</f>
        <v/>
      </c>
      <c r="AL172" s="6" t="str">
        <f>IF($D172&lt;=AL$4,"",IF(AND($D171=AL$4,$D172&gt;AL$4),$F171,AL171))</f>
        <v/>
      </c>
      <c r="AM172" s="6" t="str">
        <f>IF($D172&lt;=AM$4,"",IF(AND($D171=AM$4,$D172&gt;AM$4),$F171,AM171))</f>
        <v/>
      </c>
      <c r="AN172" s="6" t="str">
        <f>IF($D172&lt;=AN$4,"",IF(AND($D171=AN$4,$D172&gt;AN$4),$F171,AN171))</f>
        <v/>
      </c>
      <c r="AO172" s="6" t="str">
        <f>CONCATENATE(AG172," | ",AH172," | ",AI172," | ",AJ172," | ",AK172," | ",AL172," | ",AM172," | ",AN172)</f>
        <v xml:space="preserve">90MB1BJ0-C1BAY0 | 59MB1BJB-MB0A02S |  |  |  |  |  | </v>
      </c>
      <c r="AP172" s="6">
        <f>IF(TRIM(H172)="",100,J172)</f>
        <v>0</v>
      </c>
      <c r="AQ172" s="4"/>
      <c r="AR172" s="6" t="b">
        <f>NOT(TRIM(W172)&lt;&gt;"F")</f>
        <v>1</v>
      </c>
      <c r="AS172" s="6" t="str">
        <f>$B172&amp;" | "&amp;$AO172&amp;" | "&amp;IF(TRIM(H172)="","uniq"&amp;ROW(),TRIM(H172))</f>
        <v>461E | 90MB1BJ0-C1BAY0 | 59MB1BJB-MB0A02S |  |  |  |  |  |  | 60</v>
      </c>
      <c r="AT172" s="63">
        <f>IF(NOT(AR172),IF(TRIM($H172)="","Assembly","Phantom Alt"),VLOOKUP(F172,ZPCS04!B:G,6,0))</f>
        <v>299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>SUMIF(AS:AS,AS172,AP:AP)=100</f>
        <v>1</v>
      </c>
      <c r="AZ172" s="6" t="b">
        <f>SUMIF(AS:AS,AS172,AE:AE)/COUNTIF(AS:AS,AS172)=AE172</f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>C172&amp;" | "&amp;F172</f>
        <v>90MB1BJ0-C1BAY0 | 07024-01153600</v>
      </c>
      <c r="BE172" s="55" t="str">
        <f ca="1">C172&amp;" | "&amp;OFFSET($AF172,0,8-COUNTBLANK($AG172:$AN172))</f>
        <v>90MB1BJ0-C1BAY0 | 59MB1BJB-MB0A02S</v>
      </c>
      <c r="BF172" s="57">
        <f ca="1">IFERROR(VLOOKUP($BE172,$BD$5:$BF171,3,0)*$AE172,VLOOKUP($C172,Demanda!$A:$B,2,0)*$AE172)*IF(AT172="Phantom Alt",$BC172,TRUE)</f>
        <v>18000</v>
      </c>
      <c r="BG172" s="57">
        <f ca="1">BF172*(AP172/100)</f>
        <v>0</v>
      </c>
      <c r="BH172" s="57">
        <f>SUMIF(Invoice!A:A,F172,Invoice!B:B)</f>
        <v>0</v>
      </c>
      <c r="BI172" s="57">
        <f ca="1">SUMIF(AS:AS,AS172,BG:BG)</f>
        <v>18000</v>
      </c>
      <c r="BJ172" s="57">
        <f ca="1">MIN((BI172-SUMIF($AS$5:AS171,AS172,$BJ$5:BJ171)),MAX(0,BH172-SUMIF($F$5:F171,F172,$BJ$5:BJ171)))</f>
        <v>0</v>
      </c>
      <c r="BK172" s="57">
        <f ca="1">(-SUMIF(AS:AS,AS172,BG:BG)+SUMIF(AS:AS,AS172,BJ:BJ))*(AP172=100)*AR172</f>
        <v>0</v>
      </c>
      <c r="BL172" s="57">
        <f ca="1">MAX(0,SUMIF(Invoice!A:A,F172,Invoice!B:B)-SUMIF(F:F,F172,BJ:BJ))*(COUNTIF(F:F,F172)=COUNTIF($F$5:F172,F172))</f>
        <v>0</v>
      </c>
    </row>
    <row r="173" spans="1:64" hidden="1">
      <c r="A173" s="43">
        <v>172</v>
      </c>
      <c r="B173" s="35" t="s">
        <v>147</v>
      </c>
      <c r="C173" s="35" t="s">
        <v>146</v>
      </c>
      <c r="D173" s="35">
        <v>2</v>
      </c>
      <c r="E173" s="35">
        <v>600</v>
      </c>
      <c r="F173" s="64" t="s">
        <v>511</v>
      </c>
      <c r="G173" s="73" t="s">
        <v>512</v>
      </c>
      <c r="H173" s="35">
        <v>60</v>
      </c>
      <c r="I173" s="35" t="s">
        <v>55</v>
      </c>
      <c r="J173" s="35">
        <v>0</v>
      </c>
      <c r="K173" s="35" t="s">
        <v>508</v>
      </c>
      <c r="L173" s="35" t="s">
        <v>53</v>
      </c>
      <c r="M173" s="35">
        <v>18</v>
      </c>
      <c r="N173" s="35"/>
      <c r="O173" s="35">
        <v>1</v>
      </c>
      <c r="P173" s="35">
        <v>2</v>
      </c>
      <c r="Q173" s="35">
        <v>3</v>
      </c>
      <c r="R173" s="35" t="s">
        <v>73</v>
      </c>
      <c r="S173" s="35" t="s">
        <v>73</v>
      </c>
      <c r="T173" s="36">
        <v>44901</v>
      </c>
      <c r="U173" s="36">
        <v>2958465</v>
      </c>
      <c r="V173" s="35" t="s">
        <v>282</v>
      </c>
      <c r="W173" s="35" t="s">
        <v>145</v>
      </c>
      <c r="X173" s="35"/>
      <c r="Y173" s="35" t="s">
        <v>143</v>
      </c>
      <c r="Z173" s="35">
        <v>7589154</v>
      </c>
      <c r="AA173" s="35">
        <v>234</v>
      </c>
      <c r="AB173" s="35">
        <v>117</v>
      </c>
      <c r="AC173" s="35"/>
      <c r="AE173" s="51">
        <f>M173/O173</f>
        <v>18</v>
      </c>
      <c r="AG173" s="6" t="str">
        <f>C173</f>
        <v>90MB1BJ0-C1BAY0</v>
      </c>
      <c r="AH173" s="6" t="str">
        <f>IF($D173&lt;=AH$4,"",IF(AND($D172=AH$4,$D173&gt;AH$4),$F172,AH172))</f>
        <v>59MB1BJB-MB0A02S</v>
      </c>
      <c r="AI173" s="6" t="str">
        <f>IF($D173&lt;=AI$4,"",IF(AND($D172=AI$4,$D173&gt;AI$4),$F172,AI172))</f>
        <v/>
      </c>
      <c r="AJ173" s="6" t="str">
        <f>IF($D173&lt;=AJ$4,"",IF(AND($D172=AJ$4,$D173&gt;AJ$4),$F172,AJ172))</f>
        <v/>
      </c>
      <c r="AK173" s="6" t="str">
        <f>IF($D173&lt;=AK$4,"",IF(AND($D172=AK$4,$D173&gt;AK$4),$F172,AK172))</f>
        <v/>
      </c>
      <c r="AL173" s="6" t="str">
        <f>IF($D173&lt;=AL$4,"",IF(AND($D172=AL$4,$D173&gt;AL$4),$F172,AL172))</f>
        <v/>
      </c>
      <c r="AM173" s="6" t="str">
        <f>IF($D173&lt;=AM$4,"",IF(AND($D172=AM$4,$D173&gt;AM$4),$F172,AM172))</f>
        <v/>
      </c>
      <c r="AN173" s="6" t="str">
        <f>IF($D173&lt;=AN$4,"",IF(AND($D172=AN$4,$D173&gt;AN$4),$F172,AN172))</f>
        <v/>
      </c>
      <c r="AO173" s="6" t="str">
        <f>CONCATENATE(AG173," | ",AH173," | ",AI173," | ",AJ173," | ",AK173," | ",AL173," | ",AM173," | ",AN173)</f>
        <v xml:space="preserve">90MB1BJ0-C1BAY0 | 59MB1BJB-MB0A02S |  |  |  |  |  | </v>
      </c>
      <c r="AP173" s="6">
        <f>IF(TRIM(H173)="",100,J173)</f>
        <v>0</v>
      </c>
      <c r="AQ173" s="4"/>
      <c r="AR173" s="6" t="b">
        <f>NOT(TRIM(W173)&lt;&gt;"F")</f>
        <v>1</v>
      </c>
      <c r="AS173" s="6" t="str">
        <f>$B173&amp;" | "&amp;$AO173&amp;" | "&amp;IF(TRIM(H173)="","uniq"&amp;ROW(),TRIM(H173))</f>
        <v>461E | 90MB1BJ0-C1BAY0 | 59MB1BJB-MB0A02S |  |  |  |  |  |  | 60</v>
      </c>
      <c r="AT173" s="63">
        <f>IF(NOT(AR173),IF(TRIM($H173)="","Assembly","Phantom Alt"),VLOOKUP(F173,ZPCS04!B:G,6,0))</f>
        <v>299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>SUMIF(AS:AS,AS173,AP:AP)=100</f>
        <v>1</v>
      </c>
      <c r="AZ173" s="6" t="b">
        <f>SUMIF(AS:AS,AS173,AE:AE)/COUNTIF(AS:AS,AS173)=AE173</f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>C173&amp;" | "&amp;F173</f>
        <v>90MB1BJ0-C1BAY0 | 07024-01950200</v>
      </c>
      <c r="BE173" s="55" t="str">
        <f ca="1">C173&amp;" | "&amp;OFFSET($AF173,0,8-COUNTBLANK($AG173:$AN173))</f>
        <v>90MB1BJ0-C1BAY0 | 59MB1BJB-MB0A02S</v>
      </c>
      <c r="BF173" s="57">
        <f ca="1">IFERROR(VLOOKUP($BE173,$BD$5:$BF172,3,0)*$AE173,VLOOKUP($C173,Demanda!$A:$B,2,0)*$AE173)*IF(AT173="Phantom Alt",$BC173,TRUE)</f>
        <v>18000</v>
      </c>
      <c r="BG173" s="57">
        <f ca="1">BF173*(AP173/100)</f>
        <v>0</v>
      </c>
      <c r="BH173" s="57">
        <f>SUMIF(Invoice!A:A,F173,Invoice!B:B)</f>
        <v>0</v>
      </c>
      <c r="BI173" s="57">
        <f ca="1">SUMIF(AS:AS,AS173,BG:BG)</f>
        <v>18000</v>
      </c>
      <c r="BJ173" s="57">
        <f ca="1">MIN((BI173-SUMIF($AS$5:AS172,AS173,$BJ$5:BJ172)),MAX(0,BH173-SUMIF($F$5:F172,F173,$BJ$5:BJ172)))</f>
        <v>0</v>
      </c>
      <c r="BK173" s="57">
        <f ca="1">(-SUMIF(AS:AS,AS173,BG:BG)+SUMIF(AS:AS,AS173,BJ:BJ))*(AP173=100)*AR173</f>
        <v>0</v>
      </c>
      <c r="BL173" s="57">
        <f ca="1">MAX(0,SUMIF(Invoice!A:A,F173,Invoice!B:B)-SUMIF(F:F,F173,BJ:BJ))*(COUNTIF(F:F,F173)=COUNTIF($F$5:F173,F173))</f>
        <v>0</v>
      </c>
    </row>
    <row r="174" spans="1:64" hidden="1">
      <c r="A174" s="43">
        <v>174</v>
      </c>
      <c r="B174" s="35" t="s">
        <v>147</v>
      </c>
      <c r="C174" s="35" t="s">
        <v>146</v>
      </c>
      <c r="D174" s="35">
        <v>2</v>
      </c>
      <c r="E174" s="35">
        <v>610</v>
      </c>
      <c r="F174" s="64" t="s">
        <v>515</v>
      </c>
      <c r="G174" s="73" t="s">
        <v>516</v>
      </c>
      <c r="H174" s="35">
        <v>61</v>
      </c>
      <c r="I174" s="35" t="s">
        <v>54</v>
      </c>
      <c r="J174" s="35">
        <v>100</v>
      </c>
      <c r="K174" s="35" t="s">
        <v>150</v>
      </c>
      <c r="L174" s="35" t="s">
        <v>53</v>
      </c>
      <c r="M174" s="35">
        <v>16</v>
      </c>
      <c r="N174" s="35">
        <v>16</v>
      </c>
      <c r="O174" s="35">
        <v>1</v>
      </c>
      <c r="P174" s="35">
        <v>2</v>
      </c>
      <c r="Q174" s="35">
        <v>1</v>
      </c>
      <c r="R174" s="35" t="s">
        <v>73</v>
      </c>
      <c r="S174" s="35" t="s">
        <v>73</v>
      </c>
      <c r="T174" s="36">
        <v>44901</v>
      </c>
      <c r="U174" s="36">
        <v>2958465</v>
      </c>
      <c r="V174" s="35" t="s">
        <v>282</v>
      </c>
      <c r="W174" s="35" t="s">
        <v>145</v>
      </c>
      <c r="X174" s="35"/>
      <c r="Y174" s="35" t="s">
        <v>143</v>
      </c>
      <c r="Z174" s="35">
        <v>7589154</v>
      </c>
      <c r="AA174" s="35">
        <v>236</v>
      </c>
      <c r="AB174" s="35">
        <v>118</v>
      </c>
      <c r="AC174" s="35"/>
      <c r="AE174" s="51">
        <f>M174/O174</f>
        <v>16</v>
      </c>
      <c r="AG174" s="6" t="str">
        <f>C174</f>
        <v>90MB1BJ0-C1BAY0</v>
      </c>
      <c r="AH174" s="6" t="str">
        <f>IF($D174&lt;=AH$4,"",IF(AND($D173=AH$4,$D174&gt;AH$4),$F173,AH173))</f>
        <v>59MB1BJB-MB0A02S</v>
      </c>
      <c r="AI174" s="6" t="str">
        <f>IF($D174&lt;=AI$4,"",IF(AND($D173=AI$4,$D174&gt;AI$4),$F173,AI173))</f>
        <v/>
      </c>
      <c r="AJ174" s="6" t="str">
        <f>IF($D174&lt;=AJ$4,"",IF(AND($D173=AJ$4,$D174&gt;AJ$4),$F173,AJ173))</f>
        <v/>
      </c>
      <c r="AK174" s="6" t="str">
        <f>IF($D174&lt;=AK$4,"",IF(AND($D173=AK$4,$D174&gt;AK$4),$F173,AK173))</f>
        <v/>
      </c>
      <c r="AL174" s="6" t="str">
        <f>IF($D174&lt;=AL$4,"",IF(AND($D173=AL$4,$D174&gt;AL$4),$F173,AL173))</f>
        <v/>
      </c>
      <c r="AM174" s="6" t="str">
        <f>IF($D174&lt;=AM$4,"",IF(AND($D173=AM$4,$D174&gt;AM$4),$F173,AM173))</f>
        <v/>
      </c>
      <c r="AN174" s="6" t="str">
        <f>IF($D174&lt;=AN$4,"",IF(AND($D173=AN$4,$D174&gt;AN$4),$F173,AN173))</f>
        <v/>
      </c>
      <c r="AO174" s="6" t="str">
        <f>CONCATENATE(AG174," | ",AH174," | ",AI174," | ",AJ174," | ",AK174," | ",AL174," | ",AM174," | ",AN174)</f>
        <v xml:space="preserve">90MB1BJ0-C1BAY0 | 59MB1BJB-MB0A02S |  |  |  |  |  | </v>
      </c>
      <c r="AP174" s="6">
        <f>IF(TRIM(H174)="",100,J174)</f>
        <v>100</v>
      </c>
      <c r="AQ174" s="4"/>
      <c r="AR174" s="6" t="b">
        <f>NOT(TRIM(W174)&lt;&gt;"F")</f>
        <v>1</v>
      </c>
      <c r="AS174" s="6" t="str">
        <f>$B174&amp;" | "&amp;$AO174&amp;" | "&amp;IF(TRIM(H174)="","uniq"&amp;ROW(),TRIM(H174))</f>
        <v>461E | 90MB1BJ0-C1BAY0 | 59MB1BJB-MB0A02S |  |  |  |  |  |  | 61</v>
      </c>
      <c r="AT174" s="63">
        <f>IF(NOT(AR174),IF(TRIM($H174)="","Assembly","Phantom Alt"),VLOOKUP(F174,ZPCS04!B:G,6,0))</f>
        <v>1258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1.9999998400000001</v>
      </c>
      <c r="AX174" s="7"/>
      <c r="AY174" s="6" t="b">
        <f>SUMIF(AS:AS,AS174,AP:AP)=100</f>
        <v>1</v>
      </c>
      <c r="AZ174" s="6" t="b">
        <f>SUMIF(AS:AS,AS174,AE:AE)/COUNTIF(AS:AS,AS174)=AE174</f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>C174&amp;" | "&amp;F174</f>
        <v>90MB1BJ0-C1BAY0 | 07035-00390000</v>
      </c>
      <c r="BE174" s="55" t="str">
        <f ca="1">C174&amp;" | "&amp;OFFSET($AF174,0,8-COUNTBLANK($AG174:$AN174))</f>
        <v>90MB1BJ0-C1BAY0 | 59MB1BJB-MB0A02S</v>
      </c>
      <c r="BF174" s="57">
        <f ca="1">IFERROR(VLOOKUP($BE174,$BD$5:$BF173,3,0)*$AE174,VLOOKUP($C174,Demanda!$A:$B,2,0)*$AE174)*IF(AT174="Phantom Alt",$BC174,TRUE)</f>
        <v>16000</v>
      </c>
      <c r="BG174" s="57">
        <f ca="1">BF174*(AP174/100)</f>
        <v>16000</v>
      </c>
      <c r="BH174" s="57">
        <f>SUMIF(Invoice!A:A,F174,Invoice!B:B)</f>
        <v>16000</v>
      </c>
      <c r="BI174" s="57">
        <f ca="1">SUMIF(AS:AS,AS174,BG:BG)</f>
        <v>16000</v>
      </c>
      <c r="BJ174" s="57">
        <f ca="1">MIN((BI174-SUMIF($AS$5:AS173,AS174,$BJ$5:BJ173)),MAX(0,BH174-SUMIF($F$5:F173,F174,$BJ$5:BJ173)))</f>
        <v>16000</v>
      </c>
      <c r="BK174" s="57">
        <f ca="1">(-SUMIF(AS:AS,AS174,BG:BG)+SUMIF(AS:AS,AS174,BJ:BJ))*(AP174=100)*AR174</f>
        <v>0</v>
      </c>
      <c r="BL174" s="57">
        <f ca="1">MAX(0,SUMIF(Invoice!A:A,F174,Invoice!B:B)-SUMIF(F:F,F174,BJ:BJ))*(COUNTIF(F:F,F174)=COUNTIF($F$5:F174,F174))</f>
        <v>0</v>
      </c>
    </row>
    <row r="175" spans="1:64" hidden="1">
      <c r="A175" s="43">
        <v>175</v>
      </c>
      <c r="B175" s="35" t="s">
        <v>147</v>
      </c>
      <c r="C175" s="35" t="s">
        <v>146</v>
      </c>
      <c r="D175" s="35">
        <v>2</v>
      </c>
      <c r="E175" s="35">
        <v>610</v>
      </c>
      <c r="F175" s="64" t="s">
        <v>517</v>
      </c>
      <c r="G175" s="73" t="s">
        <v>518</v>
      </c>
      <c r="H175" s="35">
        <v>61</v>
      </c>
      <c r="I175" s="35" t="s">
        <v>55</v>
      </c>
      <c r="J175" s="35">
        <v>0</v>
      </c>
      <c r="K175" s="35" t="s">
        <v>150</v>
      </c>
      <c r="L175" s="35" t="s">
        <v>53</v>
      </c>
      <c r="M175" s="35">
        <v>16</v>
      </c>
      <c r="N175" s="35"/>
      <c r="O175" s="35">
        <v>1</v>
      </c>
      <c r="P175" s="35">
        <v>2</v>
      </c>
      <c r="Q175" s="35">
        <v>2</v>
      </c>
      <c r="R175" s="35" t="s">
        <v>73</v>
      </c>
      <c r="S175" s="35" t="s">
        <v>73</v>
      </c>
      <c r="T175" s="36">
        <v>44901</v>
      </c>
      <c r="U175" s="36">
        <v>2958465</v>
      </c>
      <c r="V175" s="35" t="s">
        <v>282</v>
      </c>
      <c r="W175" s="35" t="s">
        <v>145</v>
      </c>
      <c r="X175" s="35"/>
      <c r="Y175" s="35" t="s">
        <v>143</v>
      </c>
      <c r="Z175" s="35">
        <v>7589154</v>
      </c>
      <c r="AA175" s="35">
        <v>238</v>
      </c>
      <c r="AB175" s="35">
        <v>119</v>
      </c>
      <c r="AC175" s="35" t="s">
        <v>144</v>
      </c>
      <c r="AE175" s="51">
        <f>M175/O175</f>
        <v>16</v>
      </c>
      <c r="AG175" s="6" t="str">
        <f>C175</f>
        <v>90MB1BJ0-C1BAY0</v>
      </c>
      <c r="AH175" s="6" t="str">
        <f>IF($D175&lt;=AH$4,"",IF(AND($D174=AH$4,$D175&gt;AH$4),$F174,AH174))</f>
        <v>59MB1BJB-MB0A02S</v>
      </c>
      <c r="AI175" s="6" t="str">
        <f>IF($D175&lt;=AI$4,"",IF(AND($D174=AI$4,$D175&gt;AI$4),$F174,AI174))</f>
        <v/>
      </c>
      <c r="AJ175" s="6" t="str">
        <f>IF($D175&lt;=AJ$4,"",IF(AND($D174=AJ$4,$D175&gt;AJ$4),$F174,AJ174))</f>
        <v/>
      </c>
      <c r="AK175" s="6" t="str">
        <f>IF($D175&lt;=AK$4,"",IF(AND($D174=AK$4,$D175&gt;AK$4),$F174,AK174))</f>
        <v/>
      </c>
      <c r="AL175" s="6" t="str">
        <f>IF($D175&lt;=AL$4,"",IF(AND($D174=AL$4,$D175&gt;AL$4),$F174,AL174))</f>
        <v/>
      </c>
      <c r="AM175" s="6" t="str">
        <f>IF($D175&lt;=AM$4,"",IF(AND($D174=AM$4,$D175&gt;AM$4),$F174,AM174))</f>
        <v/>
      </c>
      <c r="AN175" s="6" t="str">
        <f>IF($D175&lt;=AN$4,"",IF(AND($D174=AN$4,$D175&gt;AN$4),$F174,AN174))</f>
        <v/>
      </c>
      <c r="AO175" s="6" t="str">
        <f>CONCATENATE(AG175," | ",AH175," | ",AI175," | ",AJ175," | ",AK175," | ",AL175," | ",AM175," | ",AN175)</f>
        <v xml:space="preserve">90MB1BJ0-C1BAY0 | 59MB1BJB-MB0A02S |  |  |  |  |  | </v>
      </c>
      <c r="AP175" s="6">
        <f>IF(TRIM(H175)="",100,J175)</f>
        <v>0</v>
      </c>
      <c r="AQ175" s="4"/>
      <c r="AR175" s="6" t="b">
        <f>NOT(TRIM(W175)&lt;&gt;"F")</f>
        <v>1</v>
      </c>
      <c r="AS175" s="6" t="str">
        <f>$B175&amp;" | "&amp;$AO175&amp;" | "&amp;IF(TRIM(H175)="","uniq"&amp;ROW(),TRIM(H175))</f>
        <v>461E | 90MB1BJ0-C1BAY0 | 59MB1BJB-MB0A02S |  |  |  |  |  |  | 61</v>
      </c>
      <c r="AT175" s="63">
        <f>IF(NOT(AR175),IF(TRIM($H175)="","Assembly","Phantom Alt"),VLOOKUP(F175,ZPCS04!B:G,6,0))</f>
        <v>1258</v>
      </c>
      <c r="AU175" s="7"/>
      <c r="AV175" s="38">
        <f ca="1">IF(TRIM($W175)="F",OFFSET($A$5,MATCH($AS175,$AS$5:$AS175,0)-1,0),$A175)</f>
        <v>174</v>
      </c>
      <c r="AW175" s="38">
        <f ca="1">IFERROR(OFFSET(ZPCS04!$A$1,MATCH(F175,ZPCS04!B:B,0)-1,0),100)</f>
        <v>2</v>
      </c>
      <c r="AX175" s="7"/>
      <c r="AY175" s="6" t="b">
        <f>SUMIF(AS:AS,AS175,AP:AP)=100</f>
        <v>1</v>
      </c>
      <c r="AZ175" s="6" t="b">
        <f>SUMIF(AS:AS,AS175,AE:AE)/COUNTIF(AS:AS,AS175)=AE175</f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>C175&amp;" | "&amp;F175</f>
        <v>90MB1BJ0-C1BAY0 | 07035-00740000</v>
      </c>
      <c r="BE175" s="55" t="str">
        <f ca="1">C175&amp;" | "&amp;OFFSET($AF175,0,8-COUNTBLANK($AG175:$AN175))</f>
        <v>90MB1BJ0-C1BAY0 | 59MB1BJB-MB0A02S</v>
      </c>
      <c r="BF175" s="57">
        <f ca="1">IFERROR(VLOOKUP($BE175,$BD$5:$BF174,3,0)*$AE175,VLOOKUP($C175,Demanda!$A:$B,2,0)*$AE175)*IF(AT175="Phantom Alt",$BC175,TRUE)</f>
        <v>16000</v>
      </c>
      <c r="BG175" s="57">
        <f ca="1">BF175*(AP175/100)</f>
        <v>0</v>
      </c>
      <c r="BH175" s="57">
        <f>SUMIF(Invoice!A:A,F175,Invoice!B:B)</f>
        <v>0</v>
      </c>
      <c r="BI175" s="57">
        <f ca="1">SUMIF(AS:AS,AS175,BG:BG)</f>
        <v>16000</v>
      </c>
      <c r="BJ175" s="57">
        <f ca="1">MIN((BI175-SUMIF($AS$5:AS174,AS175,$BJ$5:BJ174)),MAX(0,BH175-SUMIF($F$5:F174,F175,$BJ$5:BJ174)))</f>
        <v>0</v>
      </c>
      <c r="BK175" s="57">
        <f ca="1">(-SUMIF(AS:AS,AS175,BG:BG)+SUMIF(AS:AS,AS175,BJ:BJ))*(AP175=100)*AR175</f>
        <v>0</v>
      </c>
      <c r="BL175" s="57">
        <f ca="1">MAX(0,SUMIF(Invoice!A:A,F175,Invoice!B:B)-SUMIF(F:F,F175,BJ:BJ))*(COUNTIF(F:F,F175)=COUNTIF($F$5:F175,F175))</f>
        <v>0</v>
      </c>
    </row>
    <row r="176" spans="1:64" hidden="1">
      <c r="A176" s="43">
        <v>176</v>
      </c>
      <c r="B176" s="35" t="s">
        <v>147</v>
      </c>
      <c r="C176" s="35" t="s">
        <v>146</v>
      </c>
      <c r="D176" s="35">
        <v>2</v>
      </c>
      <c r="E176" s="35">
        <v>620</v>
      </c>
      <c r="F176" s="64" t="s">
        <v>519</v>
      </c>
      <c r="G176" s="73" t="s">
        <v>520</v>
      </c>
      <c r="H176" s="35"/>
      <c r="I176" s="35" t="s">
        <v>54</v>
      </c>
      <c r="J176" s="35">
        <v>0</v>
      </c>
      <c r="K176" s="35" t="s">
        <v>150</v>
      </c>
      <c r="L176" s="35" t="s">
        <v>53</v>
      </c>
      <c r="M176" s="35">
        <v>2</v>
      </c>
      <c r="N176" s="35">
        <v>2</v>
      </c>
      <c r="O176" s="35">
        <v>1</v>
      </c>
      <c r="P176" s="35"/>
      <c r="Q176" s="35"/>
      <c r="R176" s="35" t="s">
        <v>73</v>
      </c>
      <c r="S176" s="35" t="s">
        <v>73</v>
      </c>
      <c r="T176" s="36">
        <v>44901</v>
      </c>
      <c r="U176" s="36">
        <v>2958465</v>
      </c>
      <c r="V176" s="35" t="s">
        <v>282</v>
      </c>
      <c r="W176" s="35" t="s">
        <v>145</v>
      </c>
      <c r="X176" s="35"/>
      <c r="Y176" s="35" t="s">
        <v>143</v>
      </c>
      <c r="Z176" s="35">
        <v>7589154</v>
      </c>
      <c r="AA176" s="35">
        <v>240</v>
      </c>
      <c r="AB176" s="35">
        <v>120</v>
      </c>
      <c r="AC176" s="35"/>
      <c r="AE176" s="51">
        <f>M176/O176</f>
        <v>2</v>
      </c>
      <c r="AG176" s="6" t="str">
        <f>C176</f>
        <v>90MB1BJ0-C1BAY0</v>
      </c>
      <c r="AH176" s="6" t="str">
        <f>IF($D176&lt;=AH$4,"",IF(AND($D175=AH$4,$D176&gt;AH$4),$F175,AH175))</f>
        <v>59MB1BJB-MB0A02S</v>
      </c>
      <c r="AI176" s="6" t="str">
        <f>IF($D176&lt;=AI$4,"",IF(AND($D175=AI$4,$D176&gt;AI$4),$F175,AI175))</f>
        <v/>
      </c>
      <c r="AJ176" s="6" t="str">
        <f>IF($D176&lt;=AJ$4,"",IF(AND($D175=AJ$4,$D176&gt;AJ$4),$F175,AJ175))</f>
        <v/>
      </c>
      <c r="AK176" s="6" t="str">
        <f>IF($D176&lt;=AK$4,"",IF(AND($D175=AK$4,$D176&gt;AK$4),$F175,AK175))</f>
        <v/>
      </c>
      <c r="AL176" s="6" t="str">
        <f>IF($D176&lt;=AL$4,"",IF(AND($D175=AL$4,$D176&gt;AL$4),$F175,AL175))</f>
        <v/>
      </c>
      <c r="AM176" s="6" t="str">
        <f>IF($D176&lt;=AM$4,"",IF(AND($D175=AM$4,$D176&gt;AM$4),$F175,AM175))</f>
        <v/>
      </c>
      <c r="AN176" s="6" t="str">
        <f>IF($D176&lt;=AN$4,"",IF(AND($D175=AN$4,$D176&gt;AN$4),$F175,AN175))</f>
        <v/>
      </c>
      <c r="AO176" s="6" t="str">
        <f>CONCATENATE(AG176," | ",AH176," | ",AI176," | ",AJ176," | ",AK176," | ",AL176," | ",AM176," | ",AN176)</f>
        <v xml:space="preserve">90MB1BJ0-C1BAY0 | 59MB1BJB-MB0A02S |  |  |  |  |  | </v>
      </c>
      <c r="AP176" s="6">
        <f>IF(TRIM(H176)="",100,J176)</f>
        <v>100</v>
      </c>
      <c r="AQ176" s="4"/>
      <c r="AR176" s="6" t="b">
        <f>NOT(TRIM(W176)&lt;&gt;"F")</f>
        <v>1</v>
      </c>
      <c r="AS176" s="6" t="str">
        <f>$B176&amp;" | "&amp;$AO176&amp;" | "&amp;IF(TRIM(H176)="","uniq"&amp;ROW(),TRIM(H176))</f>
        <v>461E | 90MB1BJ0-C1BAY0 | 59MB1BJB-MB0A02S |  |  |  |  |  |  | uniq176</v>
      </c>
      <c r="AT176" s="63">
        <f>IF(NOT(AR176),IF(TRIM($H176)="","Assembly","Phantom Alt"),VLOOKUP(F176,ZPCS04!B:G,6,0))</f>
        <v>88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1.9999999800000001</v>
      </c>
      <c r="AX176" s="7"/>
      <c r="AY176" s="6" t="b">
        <f>SUMIF(AS:AS,AS176,AP:AP)=100</f>
        <v>1</v>
      </c>
      <c r="AZ176" s="6" t="b">
        <f>SUMIF(AS:AS,AS176,AE:AE)/COUNTIF(AS:AS,AS176)=AE176</f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>C176&amp;" | "&amp;F176</f>
        <v>90MB1BJ0-C1BAY0 | 07035-00480000</v>
      </c>
      <c r="BE176" s="55" t="str">
        <f ca="1">C176&amp;" | "&amp;OFFSET($AF176,0,8-COUNTBLANK($AG176:$AN176))</f>
        <v>90MB1BJ0-C1BAY0 | 59MB1BJB-MB0A02S</v>
      </c>
      <c r="BF176" s="57">
        <f ca="1">IFERROR(VLOOKUP($BE176,$BD$5:$BF175,3,0)*$AE176,VLOOKUP($C176,Demanda!$A:$B,2,0)*$AE176)*IF(AT176="Phantom Alt",$BC176,TRUE)</f>
        <v>2000</v>
      </c>
      <c r="BG176" s="57">
        <f ca="1">BF176*(AP176/100)</f>
        <v>2000</v>
      </c>
      <c r="BH176" s="57">
        <f>SUMIF(Invoice!A:A,F176,Invoice!B:B)</f>
        <v>2000</v>
      </c>
      <c r="BI176" s="57">
        <f ca="1">SUMIF(AS:AS,AS176,BG:BG)</f>
        <v>2000</v>
      </c>
      <c r="BJ176" s="57">
        <f ca="1">MIN((BI176-SUMIF($AS$5:AS175,AS176,$BJ$5:BJ175)),MAX(0,BH176-SUMIF($F$5:F175,F176,$BJ$5:BJ175)))</f>
        <v>2000</v>
      </c>
      <c r="BK176" s="57">
        <f ca="1">(-SUMIF(AS:AS,AS176,BG:BG)+SUMIF(AS:AS,AS176,BJ:BJ))*(AP176=100)*AR176</f>
        <v>0</v>
      </c>
      <c r="BL176" s="57">
        <f ca="1">MAX(0,SUMIF(Invoice!A:A,F176,Invoice!B:B)-SUMIF(F:F,F176,BJ:BJ))*(COUNTIF(F:F,F176)=COUNTIF($F$5:F176,F176))</f>
        <v>0</v>
      </c>
    </row>
    <row r="177" spans="1:64" hidden="1">
      <c r="A177" s="43">
        <v>177</v>
      </c>
      <c r="B177" s="35" t="s">
        <v>147</v>
      </c>
      <c r="C177" s="35" t="s">
        <v>146</v>
      </c>
      <c r="D177" s="35">
        <v>2</v>
      </c>
      <c r="E177" s="35">
        <v>630</v>
      </c>
      <c r="F177" s="64" t="s">
        <v>521</v>
      </c>
      <c r="G177" s="73" t="s">
        <v>522</v>
      </c>
      <c r="H177" s="35">
        <v>63</v>
      </c>
      <c r="I177" s="35" t="s">
        <v>54</v>
      </c>
      <c r="J177" s="35">
        <v>100</v>
      </c>
      <c r="K177" s="35" t="s">
        <v>508</v>
      </c>
      <c r="L177" s="35" t="s">
        <v>53</v>
      </c>
      <c r="M177" s="35">
        <v>1</v>
      </c>
      <c r="N177" s="35">
        <v>1</v>
      </c>
      <c r="O177" s="35">
        <v>1</v>
      </c>
      <c r="P177" s="35">
        <v>2</v>
      </c>
      <c r="Q177" s="35">
        <v>1</v>
      </c>
      <c r="R177" s="35" t="s">
        <v>122</v>
      </c>
      <c r="S177" s="35" t="s">
        <v>122</v>
      </c>
      <c r="T177" s="36">
        <v>44901</v>
      </c>
      <c r="U177" s="36">
        <v>2958465</v>
      </c>
      <c r="V177" s="35" t="s">
        <v>282</v>
      </c>
      <c r="W177" s="35" t="s">
        <v>145</v>
      </c>
      <c r="X177" s="35"/>
      <c r="Y177" s="35" t="s">
        <v>143</v>
      </c>
      <c r="Z177" s="35">
        <v>7589154</v>
      </c>
      <c r="AA177" s="35">
        <v>242</v>
      </c>
      <c r="AB177" s="35">
        <v>121</v>
      </c>
      <c r="AC177" s="35"/>
      <c r="AE177" s="51">
        <f>M177/O177</f>
        <v>1</v>
      </c>
      <c r="AG177" s="6" t="str">
        <f>C177</f>
        <v>90MB1BJ0-C1BAY0</v>
      </c>
      <c r="AH177" s="6" t="str">
        <f>IF($D177&lt;=AH$4,"",IF(AND($D176=AH$4,$D177&gt;AH$4),$F176,AH176))</f>
        <v>59MB1BJB-MB0A02S</v>
      </c>
      <c r="AI177" s="6" t="str">
        <f>IF($D177&lt;=AI$4,"",IF(AND($D176=AI$4,$D177&gt;AI$4),$F176,AI176))</f>
        <v/>
      </c>
      <c r="AJ177" s="6" t="str">
        <f>IF($D177&lt;=AJ$4,"",IF(AND($D176=AJ$4,$D177&gt;AJ$4),$F176,AJ176))</f>
        <v/>
      </c>
      <c r="AK177" s="6" t="str">
        <f>IF($D177&lt;=AK$4,"",IF(AND($D176=AK$4,$D177&gt;AK$4),$F176,AK176))</f>
        <v/>
      </c>
      <c r="AL177" s="6" t="str">
        <f>IF($D177&lt;=AL$4,"",IF(AND($D176=AL$4,$D177&gt;AL$4),$F176,AL176))</f>
        <v/>
      </c>
      <c r="AM177" s="6" t="str">
        <f>IF($D177&lt;=AM$4,"",IF(AND($D176=AM$4,$D177&gt;AM$4),$F176,AM176))</f>
        <v/>
      </c>
      <c r="AN177" s="6" t="str">
        <f>IF($D177&lt;=AN$4,"",IF(AND($D176=AN$4,$D177&gt;AN$4),$F176,AN176))</f>
        <v/>
      </c>
      <c r="AO177" s="6" t="str">
        <f>CONCATENATE(AG177," | ",AH177," | ",AI177," | ",AJ177," | ",AK177," | ",AL177," | ",AM177," | ",AN177)</f>
        <v xml:space="preserve">90MB1BJ0-C1BAY0 | 59MB1BJB-MB0A02S |  |  |  |  |  | </v>
      </c>
      <c r="AP177" s="6">
        <f>IF(TRIM(H177)="",100,J177)</f>
        <v>100</v>
      </c>
      <c r="AQ177" s="4"/>
      <c r="AR177" s="6" t="b">
        <f>NOT(TRIM(W177)&lt;&gt;"F")</f>
        <v>1</v>
      </c>
      <c r="AS177" s="6" t="str">
        <f>$B177&amp;" | "&amp;$AO177&amp;" | "&amp;IF(TRIM(H177)="","uniq"&amp;ROW(),TRIM(H177))</f>
        <v>461E | 90MB1BJ0-C1BAY0 | 59MB1BJB-MB0A02S |  |  |  |  |  |  | 63</v>
      </c>
      <c r="AT177" s="63">
        <f>IF(NOT(AR177),IF(TRIM($H177)="","Assembly","Phantom Alt"),VLOOKUP(F177,ZPCS04!B:G,6,0))</f>
        <v>820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1.9999999900000001</v>
      </c>
      <c r="AX177" s="7"/>
      <c r="AY177" s="6" t="b">
        <f>SUMIF(AS:AS,AS177,AP:AP)=100</f>
        <v>1</v>
      </c>
      <c r="AZ177" s="6" t="b">
        <f>SUMIF(AS:AS,AS177,AE:AE)/COUNTIF(AS:AS,AS177)=AE177</f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>C177&amp;" | "&amp;F177</f>
        <v>90MB1BJ0-C1BAY0 | 07G001017120</v>
      </c>
      <c r="BE177" s="55" t="str">
        <f ca="1">C177&amp;" | "&amp;OFFSET($AF177,0,8-COUNTBLANK($AG177:$AN177))</f>
        <v>90MB1BJ0-C1BAY0 | 59MB1BJB-MB0A02S</v>
      </c>
      <c r="BF177" s="57">
        <f ca="1">IFERROR(VLOOKUP($BE177,$BD$5:$BF176,3,0)*$AE177,VLOOKUP($C177,Demanda!$A:$B,2,0)*$AE177)*IF(AT177="Phantom Alt",$BC177,TRUE)</f>
        <v>1000</v>
      </c>
      <c r="BG177" s="57">
        <f ca="1">BF177*(AP177/100)</f>
        <v>1000</v>
      </c>
      <c r="BH177" s="57">
        <f>SUMIF(Invoice!A:A,F177,Invoice!B:B)</f>
        <v>1000</v>
      </c>
      <c r="BI177" s="57">
        <f ca="1">SUMIF(AS:AS,AS177,BG:BG)</f>
        <v>1000</v>
      </c>
      <c r="BJ177" s="57">
        <f ca="1">MIN((BI177-SUMIF($AS$5:AS176,AS177,$BJ$5:BJ176)),MAX(0,BH177-SUMIF($F$5:F176,F177,$BJ$5:BJ176)))</f>
        <v>1000</v>
      </c>
      <c r="BK177" s="57">
        <f ca="1">(-SUMIF(AS:AS,AS177,BG:BG)+SUMIF(AS:AS,AS177,BJ:BJ))*(AP177=100)*AR177</f>
        <v>0</v>
      </c>
      <c r="BL177" s="57">
        <f ca="1">MAX(0,SUMIF(Invoice!A:A,F177,Invoice!B:B)-SUMIF(F:F,F177,BJ:BJ))*(COUNTIF(F:F,F177)=COUNTIF($F$5:F177,F177))</f>
        <v>0</v>
      </c>
    </row>
    <row r="178" spans="1:64" hidden="1">
      <c r="A178" s="43">
        <v>178</v>
      </c>
      <c r="B178" s="35" t="s">
        <v>147</v>
      </c>
      <c r="C178" s="35" t="s">
        <v>146</v>
      </c>
      <c r="D178" s="35">
        <v>2</v>
      </c>
      <c r="E178" s="35">
        <v>630</v>
      </c>
      <c r="F178" s="64" t="s">
        <v>523</v>
      </c>
      <c r="G178" s="73" t="s">
        <v>524</v>
      </c>
      <c r="H178" s="35">
        <v>63</v>
      </c>
      <c r="I178" s="35" t="s">
        <v>55</v>
      </c>
      <c r="J178" s="35">
        <v>0</v>
      </c>
      <c r="K178" s="35" t="s">
        <v>508</v>
      </c>
      <c r="L178" s="35" t="s">
        <v>53</v>
      </c>
      <c r="M178" s="35">
        <v>1</v>
      </c>
      <c r="N178" s="35"/>
      <c r="O178" s="35">
        <v>1</v>
      </c>
      <c r="P178" s="35">
        <v>2</v>
      </c>
      <c r="Q178" s="35">
        <v>2</v>
      </c>
      <c r="R178" s="35" t="s">
        <v>122</v>
      </c>
      <c r="S178" s="35" t="s">
        <v>122</v>
      </c>
      <c r="T178" s="36">
        <v>44901</v>
      </c>
      <c r="U178" s="36">
        <v>2958465</v>
      </c>
      <c r="V178" s="35" t="s">
        <v>282</v>
      </c>
      <c r="W178" s="35" t="s">
        <v>145</v>
      </c>
      <c r="X178" s="35"/>
      <c r="Y178" s="35" t="s">
        <v>143</v>
      </c>
      <c r="Z178" s="35">
        <v>7589154</v>
      </c>
      <c r="AA178" s="35">
        <v>244</v>
      </c>
      <c r="AB178" s="35">
        <v>122</v>
      </c>
      <c r="AC178" s="35"/>
      <c r="AE178" s="51">
        <f>M178/O178</f>
        <v>1</v>
      </c>
      <c r="AG178" s="6" t="str">
        <f>C178</f>
        <v>90MB1BJ0-C1BAY0</v>
      </c>
      <c r="AH178" s="6" t="str">
        <f>IF($D178&lt;=AH$4,"",IF(AND($D177=AH$4,$D178&gt;AH$4),$F177,AH177))</f>
        <v>59MB1BJB-MB0A02S</v>
      </c>
      <c r="AI178" s="6" t="str">
        <f>IF($D178&lt;=AI$4,"",IF(AND($D177=AI$4,$D178&gt;AI$4),$F177,AI177))</f>
        <v/>
      </c>
      <c r="AJ178" s="6" t="str">
        <f>IF($D178&lt;=AJ$4,"",IF(AND($D177=AJ$4,$D178&gt;AJ$4),$F177,AJ177))</f>
        <v/>
      </c>
      <c r="AK178" s="6" t="str">
        <f>IF($D178&lt;=AK$4,"",IF(AND($D177=AK$4,$D178&gt;AK$4),$F177,AK177))</f>
        <v/>
      </c>
      <c r="AL178" s="6" t="str">
        <f>IF($D178&lt;=AL$4,"",IF(AND($D177=AL$4,$D178&gt;AL$4),$F177,AL177))</f>
        <v/>
      </c>
      <c r="AM178" s="6" t="str">
        <f>IF($D178&lt;=AM$4,"",IF(AND($D177=AM$4,$D178&gt;AM$4),$F177,AM177))</f>
        <v/>
      </c>
      <c r="AN178" s="6" t="str">
        <f>IF($D178&lt;=AN$4,"",IF(AND($D177=AN$4,$D178&gt;AN$4),$F177,AN177))</f>
        <v/>
      </c>
      <c r="AO178" s="6" t="str">
        <f>CONCATENATE(AG178," | ",AH178," | ",AI178," | ",AJ178," | ",AK178," | ",AL178," | ",AM178," | ",AN178)</f>
        <v xml:space="preserve">90MB1BJ0-C1BAY0 | 59MB1BJB-MB0A02S |  |  |  |  |  | </v>
      </c>
      <c r="AP178" s="6">
        <f>IF(TRIM(H178)="",100,J178)</f>
        <v>0</v>
      </c>
      <c r="AQ178" s="4"/>
      <c r="AR178" s="6" t="b">
        <f>NOT(TRIM(W178)&lt;&gt;"F")</f>
        <v>1</v>
      </c>
      <c r="AS178" s="6" t="str">
        <f>$B178&amp;" | "&amp;$AO178&amp;" | "&amp;IF(TRIM(H178)="","uniq"&amp;ROW(),TRIM(H178))</f>
        <v>461E | 90MB1BJ0-C1BAY0 | 59MB1BJB-MB0A02S |  |  |  |  |  |  | 63</v>
      </c>
      <c r="AT178" s="63">
        <f>IF(NOT(AR178),IF(TRIM($H178)="","Assembly","Phantom Alt"),VLOOKUP(F178,ZPCS04!B:G,6,0))</f>
        <v>820</v>
      </c>
      <c r="AU178" s="7"/>
      <c r="AV178" s="38">
        <f ca="1">IF(TRIM($W178)="F",OFFSET($A$5,MATCH($AS178,$AS$5:$AS178,0)-1,0),$A178)</f>
        <v>177</v>
      </c>
      <c r="AW178" s="38">
        <f ca="1">IFERROR(OFFSET(ZPCS04!$A$1,MATCH(F178,ZPCS04!B:B,0)-1,0),100)</f>
        <v>2</v>
      </c>
      <c r="AX178" s="7"/>
      <c r="AY178" s="6" t="b">
        <f>SUMIF(AS:AS,AS178,AP:AP)=100</f>
        <v>1</v>
      </c>
      <c r="AZ178" s="6" t="b">
        <f>SUMIF(AS:AS,AS178,AE:AE)/COUNTIF(AS:AS,AS178)=AE178</f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>C178&amp;" | "&amp;F178</f>
        <v>90MB1BJ0-C1BAY0 | 07G00101721L</v>
      </c>
      <c r="BE178" s="55" t="str">
        <f ca="1">C178&amp;" | "&amp;OFFSET($AF178,0,8-COUNTBLANK($AG178:$AN178))</f>
        <v>90MB1BJ0-C1BAY0 | 59MB1BJB-MB0A02S</v>
      </c>
      <c r="BF178" s="57">
        <f ca="1">IFERROR(VLOOKUP($BE178,$BD$5:$BF177,3,0)*$AE178,VLOOKUP($C178,Demanda!$A:$B,2,0)*$AE178)*IF(AT178="Phantom Alt",$BC178,TRUE)</f>
        <v>1000</v>
      </c>
      <c r="BG178" s="57">
        <f ca="1">BF178*(AP178/100)</f>
        <v>0</v>
      </c>
      <c r="BH178" s="57">
        <f>SUMIF(Invoice!A:A,F178,Invoice!B:B)</f>
        <v>0</v>
      </c>
      <c r="BI178" s="57">
        <f ca="1">SUMIF(AS:AS,AS178,BG:BG)</f>
        <v>1000</v>
      </c>
      <c r="BJ178" s="57">
        <f ca="1">MIN((BI178-SUMIF($AS$5:AS177,AS178,$BJ$5:BJ177)),MAX(0,BH178-SUMIF($F$5:F177,F178,$BJ$5:BJ177)))</f>
        <v>0</v>
      </c>
      <c r="BK178" s="57">
        <f ca="1">(-SUMIF(AS:AS,AS178,BG:BG)+SUMIF(AS:AS,AS178,BJ:BJ))*(AP178=100)*AR178</f>
        <v>0</v>
      </c>
      <c r="BL178" s="57">
        <f ca="1">MAX(0,SUMIF(Invoice!A:A,F178,Invoice!B:B)-SUMIF(F:F,F178,BJ:BJ))*(COUNTIF(F:F,F178)=COUNTIF($F$5:F178,F178))</f>
        <v>0</v>
      </c>
    </row>
    <row r="179" spans="1:64" hidden="1">
      <c r="A179" s="43">
        <v>180</v>
      </c>
      <c r="B179" s="35" t="s">
        <v>147</v>
      </c>
      <c r="C179" s="35" t="s">
        <v>146</v>
      </c>
      <c r="D179" s="35">
        <v>2</v>
      </c>
      <c r="E179" s="35">
        <v>640</v>
      </c>
      <c r="F179" s="64" t="s">
        <v>527</v>
      </c>
      <c r="G179" s="73" t="s">
        <v>528</v>
      </c>
      <c r="H179" s="35">
        <v>64</v>
      </c>
      <c r="I179" s="35" t="s">
        <v>55</v>
      </c>
      <c r="J179" s="35">
        <v>0</v>
      </c>
      <c r="K179" s="35" t="s">
        <v>150</v>
      </c>
      <c r="L179" s="35" t="s">
        <v>53</v>
      </c>
      <c r="M179" s="35">
        <v>35</v>
      </c>
      <c r="N179" s="35"/>
      <c r="O179" s="35">
        <v>1</v>
      </c>
      <c r="P179" s="35">
        <v>2</v>
      </c>
      <c r="Q179" s="35">
        <v>2</v>
      </c>
      <c r="R179" s="35" t="s">
        <v>73</v>
      </c>
      <c r="S179" s="35" t="s">
        <v>73</v>
      </c>
      <c r="T179" s="36">
        <v>44901</v>
      </c>
      <c r="U179" s="36">
        <v>2958465</v>
      </c>
      <c r="V179" s="35" t="s">
        <v>282</v>
      </c>
      <c r="W179" s="35" t="s">
        <v>145</v>
      </c>
      <c r="X179" s="35"/>
      <c r="Y179" s="35" t="s">
        <v>143</v>
      </c>
      <c r="Z179" s="35">
        <v>7589154</v>
      </c>
      <c r="AA179" s="35">
        <v>248</v>
      </c>
      <c r="AB179" s="35">
        <v>124</v>
      </c>
      <c r="AC179" s="35"/>
      <c r="AE179" s="51">
        <f>M179/O179</f>
        <v>35</v>
      </c>
      <c r="AG179" s="6" t="str">
        <f>C179</f>
        <v>90MB1BJ0-C1BAY0</v>
      </c>
      <c r="AH179" s="6" t="str">
        <f>IF($D179&lt;=AH$4,"",IF(AND($D178=AH$4,$D179&gt;AH$4),$F178,AH178))</f>
        <v>59MB1BJB-MB0A02S</v>
      </c>
      <c r="AI179" s="6" t="str">
        <f>IF($D179&lt;=AI$4,"",IF(AND($D178=AI$4,$D179&gt;AI$4),$F178,AI178))</f>
        <v/>
      </c>
      <c r="AJ179" s="6" t="str">
        <f>IF($D179&lt;=AJ$4,"",IF(AND($D178=AJ$4,$D179&gt;AJ$4),$F178,AJ178))</f>
        <v/>
      </c>
      <c r="AK179" s="6" t="str">
        <f>IF($D179&lt;=AK$4,"",IF(AND($D178=AK$4,$D179&gt;AK$4),$F178,AK178))</f>
        <v/>
      </c>
      <c r="AL179" s="6" t="str">
        <f>IF($D179&lt;=AL$4,"",IF(AND($D178=AL$4,$D179&gt;AL$4),$F178,AL178))</f>
        <v/>
      </c>
      <c r="AM179" s="6" t="str">
        <f>IF($D179&lt;=AM$4,"",IF(AND($D178=AM$4,$D179&gt;AM$4),$F178,AM178))</f>
        <v/>
      </c>
      <c r="AN179" s="6" t="str">
        <f>IF($D179&lt;=AN$4,"",IF(AND($D178=AN$4,$D179&gt;AN$4),$F178,AN178))</f>
        <v/>
      </c>
      <c r="AO179" s="6" t="str">
        <f>CONCATENATE(AG179," | ",AH179," | ",AI179," | ",AJ179," | ",AK179," | ",AL179," | ",AM179," | ",AN179)</f>
        <v xml:space="preserve">90MB1BJ0-C1BAY0 | 59MB1BJB-MB0A02S |  |  |  |  |  | </v>
      </c>
      <c r="AP179" s="6">
        <f>IF(TRIM(H179)="",100,J179)</f>
        <v>0</v>
      </c>
      <c r="AQ179" s="4"/>
      <c r="AR179" s="6" t="b">
        <f>NOT(TRIM(W179)&lt;&gt;"F")</f>
        <v>1</v>
      </c>
      <c r="AS179" s="6" t="str">
        <f>$B179&amp;" | "&amp;$AO179&amp;" | "&amp;IF(TRIM(H179)="","uniq"&amp;ROW(),TRIM(H179))</f>
        <v>461E | 90MB1BJ0-C1BAY0 | 59MB1BJB-MB0A02S |  |  |  |  |  |  | 64</v>
      </c>
      <c r="AT179" s="63">
        <f>IF(NOT(AR179),IF(TRIM($H179)="","Assembly","Phantom Alt"),VLOOKUP(F179,ZPCS04!B:G,6,0))</f>
        <v>606</v>
      </c>
      <c r="AU179" s="7"/>
      <c r="AV179" s="38">
        <f ca="1">IF(TRIM($W179)="F",OFFSET($A$5,MATCH($AS179,$AS$5:$AS179,0)-1,0),$A179)</f>
        <v>180</v>
      </c>
      <c r="AW179" s="38">
        <f ca="1">IFERROR(OFFSET(ZPCS04!$A$1,MATCH(F179,ZPCS04!B:B,0)-1,0),100)</f>
        <v>1.9999996499999999</v>
      </c>
      <c r="AX179" s="7"/>
      <c r="AY179" s="6" t="b">
        <f>SUMIF(AS:AS,AS179,AP:AP)=100</f>
        <v>1</v>
      </c>
      <c r="AZ179" s="6" t="b">
        <f>SUMIF(AS:AS,AS179,AE:AE)/COUNTIF(AS:AS,AS179)=AE179</f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>C179&amp;" | "&amp;F179</f>
        <v>90MB1BJ0-C1BAY0 | 07003-00030900</v>
      </c>
      <c r="BE179" s="55" t="str">
        <f ca="1">C179&amp;" | "&amp;OFFSET($AF179,0,8-COUNTBLANK($AG179:$AN179))</f>
        <v>90MB1BJ0-C1BAY0 | 59MB1BJB-MB0A02S</v>
      </c>
      <c r="BF179" s="57">
        <f ca="1">IFERROR(VLOOKUP($BE179,$BD$5:$BF178,3,0)*$AE179,VLOOKUP($C179,Demanda!$A:$B,2,0)*$AE179)*IF(AT179="Phantom Alt",$BC179,TRUE)</f>
        <v>35000</v>
      </c>
      <c r="BG179" s="57">
        <f ca="1">BF179*(AP179/100)</f>
        <v>0</v>
      </c>
      <c r="BH179" s="57">
        <f>SUMIF(Invoice!A:A,F179,Invoice!B:B)</f>
        <v>35000</v>
      </c>
      <c r="BI179" s="57">
        <f ca="1">SUMIF(AS:AS,AS179,BG:BG)</f>
        <v>35000</v>
      </c>
      <c r="BJ179" s="57">
        <f ca="1">MIN((BI179-SUMIF($AS$5:AS178,AS179,$BJ$5:BJ178)),MAX(0,BH179-SUMIF($F$5:F178,F179,$BJ$5:BJ178)))</f>
        <v>35000</v>
      </c>
      <c r="BK179" s="57">
        <f ca="1">(-SUMIF(AS:AS,AS179,BG:BG)+SUMIF(AS:AS,AS179,BJ:BJ))*(AP179=100)*AR179</f>
        <v>0</v>
      </c>
      <c r="BL179" s="57">
        <f ca="1">MAX(0,SUMIF(Invoice!A:A,F179,Invoice!B:B)-SUMIF(F:F,F179,BJ:BJ))*(COUNTIF(F:F,F179)=COUNTIF($F$5:F179,F179))</f>
        <v>0</v>
      </c>
    </row>
    <row r="180" spans="1:64" hidden="1">
      <c r="A180" s="43">
        <v>179</v>
      </c>
      <c r="B180" s="35" t="s">
        <v>147</v>
      </c>
      <c r="C180" s="35" t="s">
        <v>146</v>
      </c>
      <c r="D180" s="35">
        <v>2</v>
      </c>
      <c r="E180" s="35">
        <v>640</v>
      </c>
      <c r="F180" s="64" t="s">
        <v>525</v>
      </c>
      <c r="G180" s="73" t="s">
        <v>526</v>
      </c>
      <c r="H180" s="35">
        <v>64</v>
      </c>
      <c r="I180" s="35" t="s">
        <v>55</v>
      </c>
      <c r="J180" s="35">
        <v>0</v>
      </c>
      <c r="K180" s="35" t="s">
        <v>150</v>
      </c>
      <c r="L180" s="35" t="s">
        <v>53</v>
      </c>
      <c r="M180" s="35">
        <v>35</v>
      </c>
      <c r="N180" s="35"/>
      <c r="O180" s="35">
        <v>1</v>
      </c>
      <c r="P180" s="35">
        <v>2</v>
      </c>
      <c r="Q180" s="35">
        <v>3</v>
      </c>
      <c r="R180" s="35" t="s">
        <v>73</v>
      </c>
      <c r="S180" s="35" t="s">
        <v>73</v>
      </c>
      <c r="T180" s="36">
        <v>44901</v>
      </c>
      <c r="U180" s="36">
        <v>2958465</v>
      </c>
      <c r="V180" s="35" t="s">
        <v>282</v>
      </c>
      <c r="W180" s="35" t="s">
        <v>145</v>
      </c>
      <c r="X180" s="35"/>
      <c r="Y180" s="35" t="s">
        <v>143</v>
      </c>
      <c r="Z180" s="35">
        <v>7589154</v>
      </c>
      <c r="AA180" s="35">
        <v>250</v>
      </c>
      <c r="AB180" s="35">
        <v>125</v>
      </c>
      <c r="AC180" s="35" t="s">
        <v>144</v>
      </c>
      <c r="AE180" s="51">
        <f>M180/O180</f>
        <v>35</v>
      </c>
      <c r="AG180" s="6" t="str">
        <f>C180</f>
        <v>90MB1BJ0-C1BAY0</v>
      </c>
      <c r="AH180" s="6" t="str">
        <f>IF($D180&lt;=AH$4,"",IF(AND($D179=AH$4,$D180&gt;AH$4),$F179,AH179))</f>
        <v>59MB1BJB-MB0A02S</v>
      </c>
      <c r="AI180" s="6" t="str">
        <f>IF($D180&lt;=AI$4,"",IF(AND($D179=AI$4,$D180&gt;AI$4),$F179,AI179))</f>
        <v/>
      </c>
      <c r="AJ180" s="6" t="str">
        <f>IF($D180&lt;=AJ$4,"",IF(AND($D179=AJ$4,$D180&gt;AJ$4),$F179,AJ179))</f>
        <v/>
      </c>
      <c r="AK180" s="6" t="str">
        <f>IF($D180&lt;=AK$4,"",IF(AND($D179=AK$4,$D180&gt;AK$4),$F179,AK179))</f>
        <v/>
      </c>
      <c r="AL180" s="6" t="str">
        <f>IF($D180&lt;=AL$4,"",IF(AND($D179=AL$4,$D180&gt;AL$4),$F179,AL179))</f>
        <v/>
      </c>
      <c r="AM180" s="6" t="str">
        <f>IF($D180&lt;=AM$4,"",IF(AND($D179=AM$4,$D180&gt;AM$4),$F179,AM179))</f>
        <v/>
      </c>
      <c r="AN180" s="6" t="str">
        <f>IF($D180&lt;=AN$4,"",IF(AND($D179=AN$4,$D180&gt;AN$4),$F179,AN179))</f>
        <v/>
      </c>
      <c r="AO180" s="6" t="str">
        <f>CONCATENATE(AG180," | ",AH180," | ",AI180," | ",AJ180," | ",AK180," | ",AL180," | ",AM180," | ",AN180)</f>
        <v xml:space="preserve">90MB1BJ0-C1BAY0 | 59MB1BJB-MB0A02S |  |  |  |  |  | </v>
      </c>
      <c r="AP180" s="6">
        <f>IF(TRIM(H180)="",100,J180)</f>
        <v>0</v>
      </c>
      <c r="AQ180" s="4"/>
      <c r="AR180" s="6" t="b">
        <f>NOT(TRIM(W180)&lt;&gt;"F")</f>
        <v>1</v>
      </c>
      <c r="AS180" s="6" t="str">
        <f>$B180&amp;" | "&amp;$AO180&amp;" | "&amp;IF(TRIM(H180)="","uniq"&amp;ROW(),TRIM(H180))</f>
        <v>461E | 90MB1BJ0-C1BAY0 | 59MB1BJB-MB0A02S |  |  |  |  |  |  | 64</v>
      </c>
      <c r="AT180" s="63">
        <f>IF(NOT(AR180),IF(TRIM($H180)="","Assembly","Phantom Alt"),VLOOKUP(F180,ZPCS04!B:G,6,0))</f>
        <v>606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</v>
      </c>
      <c r="AX180" s="7"/>
      <c r="AY180" s="6" t="b">
        <f>SUMIF(AS:AS,AS180,AP:AP)=100</f>
        <v>1</v>
      </c>
      <c r="AZ180" s="6" t="b">
        <f>SUMIF(AS:AS,AS180,AE:AE)/COUNTIF(AS:AS,AS180)=AE180</f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>C180&amp;" | "&amp;F180</f>
        <v>90MB1BJ0-C1BAY0 | 07003-00030800</v>
      </c>
      <c r="BE180" s="55" t="str">
        <f ca="1">C180&amp;" | "&amp;OFFSET($AF180,0,8-COUNTBLANK($AG180:$AN180))</f>
        <v>90MB1BJ0-C1BAY0 | 59MB1BJB-MB0A02S</v>
      </c>
      <c r="BF180" s="57">
        <f ca="1">IFERROR(VLOOKUP($BE180,$BD$5:$BF179,3,0)*$AE180,VLOOKUP($C180,Demanda!$A:$B,2,0)*$AE180)*IF(AT180="Phantom Alt",$BC180,TRUE)</f>
        <v>35000</v>
      </c>
      <c r="BG180" s="57">
        <f ca="1">BF180*(AP180/100)</f>
        <v>0</v>
      </c>
      <c r="BH180" s="57">
        <f>SUMIF(Invoice!A:A,F180,Invoice!B:B)</f>
        <v>0</v>
      </c>
      <c r="BI180" s="57">
        <f ca="1">SUMIF(AS:AS,AS180,BG:BG)</f>
        <v>35000</v>
      </c>
      <c r="BJ180" s="57">
        <f ca="1">MIN((BI180-SUMIF($AS$5:AS179,AS180,$BJ$5:BJ179)),MAX(0,BH180-SUMIF($F$5:F179,F180,$BJ$5:BJ179)))</f>
        <v>0</v>
      </c>
      <c r="BK180" s="57">
        <f ca="1">(-SUMIF(AS:AS,AS180,BG:BG)+SUMIF(AS:AS,AS180,BJ:BJ))*(AP180=100)*AR180</f>
        <v>0</v>
      </c>
      <c r="BL180" s="57">
        <f ca="1">MAX(0,SUMIF(Invoice!A:A,F180,Invoice!B:B)-SUMIF(F:F,F180,BJ:BJ))*(COUNTIF(F:F,F180)=COUNTIF($F$5:F180,F180))</f>
        <v>0</v>
      </c>
    </row>
    <row r="181" spans="1:64" hidden="1">
      <c r="A181" s="43">
        <v>181</v>
      </c>
      <c r="B181" s="35" t="s">
        <v>147</v>
      </c>
      <c r="C181" s="35" t="s">
        <v>146</v>
      </c>
      <c r="D181" s="35">
        <v>2</v>
      </c>
      <c r="E181" s="35">
        <v>640</v>
      </c>
      <c r="F181" s="64" t="s">
        <v>529</v>
      </c>
      <c r="G181" s="73" t="s">
        <v>530</v>
      </c>
      <c r="H181" s="35">
        <v>64</v>
      </c>
      <c r="I181" s="35" t="s">
        <v>54</v>
      </c>
      <c r="J181" s="35">
        <v>100</v>
      </c>
      <c r="K181" s="35" t="s">
        <v>414</v>
      </c>
      <c r="L181" s="35" t="s">
        <v>53</v>
      </c>
      <c r="M181" s="35">
        <v>35</v>
      </c>
      <c r="N181" s="35">
        <v>35</v>
      </c>
      <c r="O181" s="35">
        <v>1</v>
      </c>
      <c r="P181" s="35">
        <v>2</v>
      </c>
      <c r="Q181" s="35">
        <v>1</v>
      </c>
      <c r="R181" s="35" t="s">
        <v>122</v>
      </c>
      <c r="S181" s="35" t="s">
        <v>122</v>
      </c>
      <c r="T181" s="36">
        <v>44901</v>
      </c>
      <c r="U181" s="36">
        <v>2958465</v>
      </c>
      <c r="V181" s="35" t="s">
        <v>282</v>
      </c>
      <c r="W181" s="35" t="s">
        <v>145</v>
      </c>
      <c r="X181" s="35"/>
      <c r="Y181" s="35" t="s">
        <v>143</v>
      </c>
      <c r="Z181" s="35">
        <v>7589154</v>
      </c>
      <c r="AA181" s="35">
        <v>246</v>
      </c>
      <c r="AB181" s="35">
        <v>123</v>
      </c>
      <c r="AC181" s="35"/>
      <c r="AE181" s="51">
        <f>M181/O181</f>
        <v>35</v>
      </c>
      <c r="AG181" s="6" t="str">
        <f>C181</f>
        <v>90MB1BJ0-C1BAY0</v>
      </c>
      <c r="AH181" s="6" t="str">
        <f>IF($D181&lt;=AH$4,"",IF(AND($D180=AH$4,$D181&gt;AH$4),$F180,AH180))</f>
        <v>59MB1BJB-MB0A02S</v>
      </c>
      <c r="AI181" s="6" t="str">
        <f>IF($D181&lt;=AI$4,"",IF(AND($D180=AI$4,$D181&gt;AI$4),$F180,AI180))</f>
        <v/>
      </c>
      <c r="AJ181" s="6" t="str">
        <f>IF($D181&lt;=AJ$4,"",IF(AND($D180=AJ$4,$D181&gt;AJ$4),$F180,AJ180))</f>
        <v/>
      </c>
      <c r="AK181" s="6" t="str">
        <f>IF($D181&lt;=AK$4,"",IF(AND($D180=AK$4,$D181&gt;AK$4),$F180,AK180))</f>
        <v/>
      </c>
      <c r="AL181" s="6" t="str">
        <f>IF($D181&lt;=AL$4,"",IF(AND($D180=AL$4,$D181&gt;AL$4),$F180,AL180))</f>
        <v/>
      </c>
      <c r="AM181" s="6" t="str">
        <f>IF($D181&lt;=AM$4,"",IF(AND($D180=AM$4,$D181&gt;AM$4),$F180,AM180))</f>
        <v/>
      </c>
      <c r="AN181" s="6" t="str">
        <f>IF($D181&lt;=AN$4,"",IF(AND($D180=AN$4,$D181&gt;AN$4),$F180,AN180))</f>
        <v/>
      </c>
      <c r="AO181" s="6" t="str">
        <f>CONCATENATE(AG181," | ",AH181," | ",AI181," | ",AJ181," | ",AK181," | ",AL181," | ",AM181," | ",AN181)</f>
        <v xml:space="preserve">90MB1BJ0-C1BAY0 | 59MB1BJB-MB0A02S |  |  |  |  |  | </v>
      </c>
      <c r="AP181" s="6">
        <f>IF(TRIM(H181)="",100,J181)</f>
        <v>100</v>
      </c>
      <c r="AQ181" s="4"/>
      <c r="AR181" s="6" t="b">
        <f>NOT(TRIM(W181)&lt;&gt;"F")</f>
        <v>1</v>
      </c>
      <c r="AS181" s="6" t="str">
        <f>$B181&amp;" | "&amp;$AO181&amp;" | "&amp;IF(TRIM(H181)="","uniq"&amp;ROW(),TRIM(H181))</f>
        <v>461E | 90MB1BJ0-C1BAY0 | 59MB1BJB-MB0A02S |  |  |  |  |  |  | 64</v>
      </c>
      <c r="AT181" s="63">
        <f>IF(NOT(AR181),IF(TRIM($H181)="","Assembly","Phantom Alt"),VLOOKUP(F181,ZPCS04!B:G,6,0))</f>
        <v>606</v>
      </c>
      <c r="AU181" s="7"/>
      <c r="AV181" s="38">
        <f ca="1">IF(TRIM($W181)="F",OFFSET($A$5,MATCH($AS181,$AS$5:$AS181,0)-1,0),$A181)</f>
        <v>180</v>
      </c>
      <c r="AW181" s="38">
        <f ca="1">IFERROR(OFFSET(ZPCS04!$A$1,MATCH(F181,ZPCS04!B:B,0)-1,0),100)</f>
        <v>2</v>
      </c>
      <c r="AX181" s="7"/>
      <c r="AY181" s="6" t="b">
        <f>SUMIF(AS:AS,AS181,AP:AP)=100</f>
        <v>1</v>
      </c>
      <c r="AZ181" s="6" t="b">
        <f>SUMIF(AS:AS,AS181,AE:AE)/COUNTIF(AS:AS,AS181)=AE181</f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>C181&amp;" | "&amp;F181</f>
        <v>90MB1BJ0-C1BAY0 | 07G003000213</v>
      </c>
      <c r="BE181" s="55" t="str">
        <f ca="1">C181&amp;" | "&amp;OFFSET($AF181,0,8-COUNTBLANK($AG181:$AN181))</f>
        <v>90MB1BJ0-C1BAY0 | 59MB1BJB-MB0A02S</v>
      </c>
      <c r="BF181" s="57">
        <f ca="1">IFERROR(VLOOKUP($BE181,$BD$5:$BF180,3,0)*$AE181,VLOOKUP($C181,Demanda!$A:$B,2,0)*$AE181)*IF(AT181="Phantom Alt",$BC181,TRUE)</f>
        <v>35000</v>
      </c>
      <c r="BG181" s="57">
        <f ca="1">BF181*(AP181/100)</f>
        <v>35000</v>
      </c>
      <c r="BH181" s="57">
        <f>SUMIF(Invoice!A:A,F181,Invoice!B:B)</f>
        <v>0</v>
      </c>
      <c r="BI181" s="57">
        <f ca="1">SUMIF(AS:AS,AS181,BG:BG)</f>
        <v>35000</v>
      </c>
      <c r="BJ181" s="57">
        <f ca="1">MIN((BI181-SUMIF($AS$5:AS180,AS181,$BJ$5:BJ180)),MAX(0,BH181-SUMIF($F$5:F180,F181,$BJ$5:BJ180)))</f>
        <v>0</v>
      </c>
      <c r="BK181" s="57">
        <f ca="1">(-SUMIF(AS:AS,AS181,BG:BG)+SUMIF(AS:AS,AS181,BJ:BJ))*(AP181=100)*AR181</f>
        <v>0</v>
      </c>
      <c r="BL181" s="57">
        <f ca="1">MAX(0,SUMIF(Invoice!A:A,F181,Invoice!B:B)-SUMIF(F:F,F181,BJ:BJ))*(COUNTIF(F:F,F181)=COUNTIF($F$5:F181,F181))</f>
        <v>0</v>
      </c>
    </row>
    <row r="182" spans="1:64" hidden="1">
      <c r="A182" s="43">
        <v>184</v>
      </c>
      <c r="B182" s="35" t="s">
        <v>147</v>
      </c>
      <c r="C182" s="35" t="s">
        <v>146</v>
      </c>
      <c r="D182" s="35">
        <v>2</v>
      </c>
      <c r="E182" s="35">
        <v>650</v>
      </c>
      <c r="F182" s="64" t="s">
        <v>535</v>
      </c>
      <c r="G182" s="73" t="s">
        <v>536</v>
      </c>
      <c r="H182" s="35">
        <v>65</v>
      </c>
      <c r="I182" s="35" t="s">
        <v>54</v>
      </c>
      <c r="J182" s="35">
        <v>100</v>
      </c>
      <c r="K182" s="35" t="s">
        <v>414</v>
      </c>
      <c r="L182" s="35" t="s">
        <v>53</v>
      </c>
      <c r="M182" s="35">
        <v>6</v>
      </c>
      <c r="N182" s="35">
        <v>6</v>
      </c>
      <c r="O182" s="35">
        <v>1</v>
      </c>
      <c r="P182" s="35">
        <v>2</v>
      </c>
      <c r="Q182" s="35">
        <v>1</v>
      </c>
      <c r="R182" s="35" t="s">
        <v>122</v>
      </c>
      <c r="S182" s="35" t="s">
        <v>122</v>
      </c>
      <c r="T182" s="36">
        <v>44901</v>
      </c>
      <c r="U182" s="36">
        <v>2958465</v>
      </c>
      <c r="V182" s="35" t="s">
        <v>282</v>
      </c>
      <c r="W182" s="35" t="s">
        <v>145</v>
      </c>
      <c r="X182" s="35"/>
      <c r="Y182" s="35" t="s">
        <v>143</v>
      </c>
      <c r="Z182" s="35">
        <v>7589154</v>
      </c>
      <c r="AA182" s="35">
        <v>252</v>
      </c>
      <c r="AB182" s="35">
        <v>126</v>
      </c>
      <c r="AC182" s="35"/>
      <c r="AE182" s="51">
        <f>M182/O182</f>
        <v>6</v>
      </c>
      <c r="AG182" s="6" t="str">
        <f>C182</f>
        <v>90MB1BJ0-C1BAY0</v>
      </c>
      <c r="AH182" s="6" t="str">
        <f>IF($D182&lt;=AH$4,"",IF(AND($D181=AH$4,$D182&gt;AH$4),$F181,AH181))</f>
        <v>59MB1BJB-MB0A02S</v>
      </c>
      <c r="AI182" s="6" t="str">
        <f>IF($D182&lt;=AI$4,"",IF(AND($D181=AI$4,$D182&gt;AI$4),$F181,AI181))</f>
        <v/>
      </c>
      <c r="AJ182" s="6" t="str">
        <f>IF($D182&lt;=AJ$4,"",IF(AND($D181=AJ$4,$D182&gt;AJ$4),$F181,AJ181))</f>
        <v/>
      </c>
      <c r="AK182" s="6" t="str">
        <f>IF($D182&lt;=AK$4,"",IF(AND($D181=AK$4,$D182&gt;AK$4),$F181,AK181))</f>
        <v/>
      </c>
      <c r="AL182" s="6" t="str">
        <f>IF($D182&lt;=AL$4,"",IF(AND($D181=AL$4,$D182&gt;AL$4),$F181,AL181))</f>
        <v/>
      </c>
      <c r="AM182" s="6" t="str">
        <f>IF($D182&lt;=AM$4,"",IF(AND($D181=AM$4,$D182&gt;AM$4),$F181,AM181))</f>
        <v/>
      </c>
      <c r="AN182" s="6" t="str">
        <f>IF($D182&lt;=AN$4,"",IF(AND($D181=AN$4,$D182&gt;AN$4),$F181,AN181))</f>
        <v/>
      </c>
      <c r="AO182" s="6" t="str">
        <f>CONCATENATE(AG182," | ",AH182," | ",AI182," | ",AJ182," | ",AK182," | ",AL182," | ",AM182," | ",AN182)</f>
        <v xml:space="preserve">90MB1BJ0-C1BAY0 | 59MB1BJB-MB0A02S |  |  |  |  |  | </v>
      </c>
      <c r="AP182" s="6">
        <f>IF(TRIM(H182)="",100,J182)</f>
        <v>100</v>
      </c>
      <c r="AQ182" s="4"/>
      <c r="AR182" s="6" t="b">
        <f>NOT(TRIM(W182)&lt;&gt;"F")</f>
        <v>1</v>
      </c>
      <c r="AS182" s="6" t="str">
        <f>$B182&amp;" | "&amp;$AO182&amp;" | "&amp;IF(TRIM(H182)="","uniq"&amp;ROW(),TRIM(H182))</f>
        <v>461E | 90MB1BJ0-C1BAY0 | 59MB1BJB-MB0A02S |  |  |  |  |  |  | 65</v>
      </c>
      <c r="AT182" s="63">
        <f>IF(NOT(AR182),IF(TRIM($H182)="","Assembly","Phantom Alt"),VLOOKUP(F182,ZPCS04!B:G,6,0))</f>
        <v>607</v>
      </c>
      <c r="AU182" s="7"/>
      <c r="AV182" s="38">
        <f ca="1">IF(TRIM($W182)="F",OFFSET($A$5,MATCH($AS182,$AS$5:$AS182,0)-1,0),$A182)</f>
        <v>184</v>
      </c>
      <c r="AW182" s="38">
        <f ca="1">IFERROR(OFFSET(ZPCS04!$A$1,MATCH(F182,ZPCS04!B:B,0)-1,0),100)</f>
        <v>1.9999999399999999</v>
      </c>
      <c r="AX182" s="7"/>
      <c r="AY182" s="6" t="b">
        <f>SUMIF(AS:AS,AS182,AP:AP)=100</f>
        <v>1</v>
      </c>
      <c r="AZ182" s="6" t="b">
        <f>SUMIF(AS:AS,AS182,AE:AE)/COUNTIF(AS:AS,AS182)=AE182</f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>C182&amp;" | "&amp;F182</f>
        <v>90MB1BJ0-C1BAY0 | 07G003001120</v>
      </c>
      <c r="BE182" s="55" t="str">
        <f ca="1">C182&amp;" | "&amp;OFFSET($AF182,0,8-COUNTBLANK($AG182:$AN182))</f>
        <v>90MB1BJ0-C1BAY0 | 59MB1BJB-MB0A02S</v>
      </c>
      <c r="BF182" s="57">
        <f ca="1">IFERROR(VLOOKUP($BE182,$BD$5:$BF181,3,0)*$AE182,VLOOKUP($C182,Demanda!$A:$B,2,0)*$AE182)*IF(AT182="Phantom Alt",$BC182,TRUE)</f>
        <v>6000</v>
      </c>
      <c r="BG182" s="57">
        <f ca="1">BF182*(AP182/100)</f>
        <v>6000</v>
      </c>
      <c r="BH182" s="57">
        <f>SUMIF(Invoice!A:A,F182,Invoice!B:B)</f>
        <v>6000</v>
      </c>
      <c r="BI182" s="57">
        <f ca="1">SUMIF(AS:AS,AS182,BG:BG)</f>
        <v>6000</v>
      </c>
      <c r="BJ182" s="57">
        <f ca="1">MIN((BI182-SUMIF($AS$5:AS181,AS182,$BJ$5:BJ181)),MAX(0,BH182-SUMIF($F$5:F181,F182,$BJ$5:BJ181)))</f>
        <v>6000</v>
      </c>
      <c r="BK182" s="57">
        <f ca="1">(-SUMIF(AS:AS,AS182,BG:BG)+SUMIF(AS:AS,AS182,BJ:BJ))*(AP182=100)*AR182</f>
        <v>0</v>
      </c>
      <c r="BL182" s="57">
        <f ca="1">MAX(0,SUMIF(Invoice!A:A,F182,Invoice!B:B)-SUMIF(F:F,F182,BJ:BJ))*(COUNTIF(F:F,F182)=COUNTIF($F$5:F182,F182))</f>
        <v>0</v>
      </c>
    </row>
    <row r="183" spans="1:64" hidden="1">
      <c r="A183" s="43">
        <v>182</v>
      </c>
      <c r="B183" s="35" t="s">
        <v>147</v>
      </c>
      <c r="C183" s="35" t="s">
        <v>146</v>
      </c>
      <c r="D183" s="35">
        <v>2</v>
      </c>
      <c r="E183" s="35">
        <v>650</v>
      </c>
      <c r="F183" s="64" t="s">
        <v>531</v>
      </c>
      <c r="G183" s="73" t="s">
        <v>532</v>
      </c>
      <c r="H183" s="35">
        <v>65</v>
      </c>
      <c r="I183" s="35" t="s">
        <v>55</v>
      </c>
      <c r="J183" s="35">
        <v>0</v>
      </c>
      <c r="K183" s="35" t="s">
        <v>150</v>
      </c>
      <c r="L183" s="35" t="s">
        <v>53</v>
      </c>
      <c r="M183" s="35">
        <v>6</v>
      </c>
      <c r="N183" s="35"/>
      <c r="O183" s="35">
        <v>1</v>
      </c>
      <c r="P183" s="35">
        <v>2</v>
      </c>
      <c r="Q183" s="35">
        <v>3</v>
      </c>
      <c r="R183" s="35" t="s">
        <v>73</v>
      </c>
      <c r="S183" s="35" t="s">
        <v>73</v>
      </c>
      <c r="T183" s="36">
        <v>44901</v>
      </c>
      <c r="U183" s="36">
        <v>2958465</v>
      </c>
      <c r="V183" s="35" t="s">
        <v>282</v>
      </c>
      <c r="W183" s="35" t="s">
        <v>145</v>
      </c>
      <c r="X183" s="35"/>
      <c r="Y183" s="35" t="s">
        <v>143</v>
      </c>
      <c r="Z183" s="35">
        <v>7589154</v>
      </c>
      <c r="AA183" s="35">
        <v>256</v>
      </c>
      <c r="AB183" s="35">
        <v>128</v>
      </c>
      <c r="AC183" s="35"/>
      <c r="AE183" s="51">
        <f>M183/O183</f>
        <v>6</v>
      </c>
      <c r="AG183" s="6" t="str">
        <f>C183</f>
        <v>90MB1BJ0-C1BAY0</v>
      </c>
      <c r="AH183" s="6" t="str">
        <f>IF($D183&lt;=AH$4,"",IF(AND($D182=AH$4,$D183&gt;AH$4),$F182,AH182))</f>
        <v>59MB1BJB-MB0A02S</v>
      </c>
      <c r="AI183" s="6" t="str">
        <f>IF($D183&lt;=AI$4,"",IF(AND($D182=AI$4,$D183&gt;AI$4),$F182,AI182))</f>
        <v/>
      </c>
      <c r="AJ183" s="6" t="str">
        <f>IF($D183&lt;=AJ$4,"",IF(AND($D182=AJ$4,$D183&gt;AJ$4),$F182,AJ182))</f>
        <v/>
      </c>
      <c r="AK183" s="6" t="str">
        <f>IF($D183&lt;=AK$4,"",IF(AND($D182=AK$4,$D183&gt;AK$4),$F182,AK182))</f>
        <v/>
      </c>
      <c r="AL183" s="6" t="str">
        <f>IF($D183&lt;=AL$4,"",IF(AND($D182=AL$4,$D183&gt;AL$4),$F182,AL182))</f>
        <v/>
      </c>
      <c r="AM183" s="6" t="str">
        <f>IF($D183&lt;=AM$4,"",IF(AND($D182=AM$4,$D183&gt;AM$4),$F182,AM182))</f>
        <v/>
      </c>
      <c r="AN183" s="6" t="str">
        <f>IF($D183&lt;=AN$4,"",IF(AND($D182=AN$4,$D183&gt;AN$4),$F182,AN182))</f>
        <v/>
      </c>
      <c r="AO183" s="6" t="str">
        <f>CONCATENATE(AG183," | ",AH183," | ",AI183," | ",AJ183," | ",AK183," | ",AL183," | ",AM183," | ",AN183)</f>
        <v xml:space="preserve">90MB1BJ0-C1BAY0 | 59MB1BJB-MB0A02S |  |  |  |  |  | </v>
      </c>
      <c r="AP183" s="6">
        <f>IF(TRIM(H183)="",100,J183)</f>
        <v>0</v>
      </c>
      <c r="AQ183" s="4"/>
      <c r="AR183" s="6" t="b">
        <f>NOT(TRIM(W183)&lt;&gt;"F")</f>
        <v>1</v>
      </c>
      <c r="AS183" s="6" t="str">
        <f>$B183&amp;" | "&amp;$AO183&amp;" | "&amp;IF(TRIM(H183)="","uniq"&amp;ROW(),TRIM(H183))</f>
        <v>461E | 90MB1BJ0-C1BAY0 | 59MB1BJB-MB0A02S |  |  |  |  |  |  | 65</v>
      </c>
      <c r="AT183" s="63">
        <f>IF(NOT(AR183),IF(TRIM($H183)="","Assembly","Phantom Alt"),VLOOKUP(F183,ZPCS04!B:G,6,0))</f>
        <v>607</v>
      </c>
      <c r="AU183" s="7"/>
      <c r="AV183" s="38">
        <f ca="1">IF(TRIM($W183)="F",OFFSET($A$5,MATCH($AS183,$AS$5:$AS183,0)-1,0),$A183)</f>
        <v>184</v>
      </c>
      <c r="AW183" s="38">
        <f ca="1">IFERROR(OFFSET(ZPCS04!$A$1,MATCH(F183,ZPCS04!B:B,0)-1,0),100)</f>
        <v>2</v>
      </c>
      <c r="AX183" s="7"/>
      <c r="AY183" s="6" t="b">
        <f>SUMIF(AS:AS,AS183,AP:AP)=100</f>
        <v>1</v>
      </c>
      <c r="AZ183" s="6" t="b">
        <f>SUMIF(AS:AS,AS183,AE:AE)/COUNTIF(AS:AS,AS183)=AE183</f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>C183&amp;" | "&amp;F183</f>
        <v>90MB1BJ0-C1BAY0 | 07003-00190600</v>
      </c>
      <c r="BE183" s="55" t="str">
        <f ca="1">C183&amp;" | "&amp;OFFSET($AF183,0,8-COUNTBLANK($AG183:$AN183))</f>
        <v>90MB1BJ0-C1BAY0 | 59MB1BJB-MB0A02S</v>
      </c>
      <c r="BF183" s="57">
        <f ca="1">IFERROR(VLOOKUP($BE183,$BD$5:$BF182,3,0)*$AE183,VLOOKUP($C183,Demanda!$A:$B,2,0)*$AE183)*IF(AT183="Phantom Alt",$BC183,TRUE)</f>
        <v>6000</v>
      </c>
      <c r="BG183" s="57">
        <f ca="1">BF183*(AP183/100)</f>
        <v>0</v>
      </c>
      <c r="BH183" s="57">
        <f>SUMIF(Invoice!A:A,F183,Invoice!B:B)</f>
        <v>0</v>
      </c>
      <c r="BI183" s="57">
        <f ca="1">SUMIF(AS:AS,AS183,BG:BG)</f>
        <v>6000</v>
      </c>
      <c r="BJ183" s="57">
        <f ca="1">MIN((BI183-SUMIF($AS$5:AS182,AS183,$BJ$5:BJ182)),MAX(0,BH183-SUMIF($F$5:F182,F183,$BJ$5:BJ182)))</f>
        <v>0</v>
      </c>
      <c r="BK183" s="57">
        <f ca="1">(-SUMIF(AS:AS,AS183,BG:BG)+SUMIF(AS:AS,AS183,BJ:BJ))*(AP183=100)*AR183</f>
        <v>0</v>
      </c>
      <c r="BL183" s="57">
        <f ca="1">MAX(0,SUMIF(Invoice!A:A,F183,Invoice!B:B)-SUMIF(F:F,F183,BJ:BJ))*(COUNTIF(F:F,F183)=COUNTIF($F$5:F183,F183))</f>
        <v>0</v>
      </c>
    </row>
    <row r="184" spans="1:64" hidden="1">
      <c r="A184" s="43">
        <v>183</v>
      </c>
      <c r="B184" s="35" t="s">
        <v>147</v>
      </c>
      <c r="C184" s="35" t="s">
        <v>146</v>
      </c>
      <c r="D184" s="35">
        <v>2</v>
      </c>
      <c r="E184" s="35">
        <v>650</v>
      </c>
      <c r="F184" s="64" t="s">
        <v>533</v>
      </c>
      <c r="G184" s="73" t="s">
        <v>534</v>
      </c>
      <c r="H184" s="35">
        <v>65</v>
      </c>
      <c r="I184" s="35" t="s">
        <v>55</v>
      </c>
      <c r="J184" s="35">
        <v>0</v>
      </c>
      <c r="K184" s="35" t="s">
        <v>150</v>
      </c>
      <c r="L184" s="35" t="s">
        <v>53</v>
      </c>
      <c r="M184" s="35">
        <v>6</v>
      </c>
      <c r="N184" s="35"/>
      <c r="O184" s="35">
        <v>1</v>
      </c>
      <c r="P184" s="35">
        <v>2</v>
      </c>
      <c r="Q184" s="35">
        <v>4</v>
      </c>
      <c r="R184" s="35" t="s">
        <v>73</v>
      </c>
      <c r="S184" s="35" t="s">
        <v>73</v>
      </c>
      <c r="T184" s="36">
        <v>44901</v>
      </c>
      <c r="U184" s="36">
        <v>2958465</v>
      </c>
      <c r="V184" s="35" t="s">
        <v>282</v>
      </c>
      <c r="W184" s="35" t="s">
        <v>145</v>
      </c>
      <c r="X184" s="35"/>
      <c r="Y184" s="35" t="s">
        <v>143</v>
      </c>
      <c r="Z184" s="35">
        <v>7589154</v>
      </c>
      <c r="AA184" s="35">
        <v>258</v>
      </c>
      <c r="AB184" s="35">
        <v>129</v>
      </c>
      <c r="AC184" s="35"/>
      <c r="AE184" s="51">
        <f>M184/O184</f>
        <v>6</v>
      </c>
      <c r="AG184" s="6" t="str">
        <f>C184</f>
        <v>90MB1BJ0-C1BAY0</v>
      </c>
      <c r="AH184" s="6" t="str">
        <f>IF($D184&lt;=AH$4,"",IF(AND($D183=AH$4,$D184&gt;AH$4),$F183,AH183))</f>
        <v>59MB1BJB-MB0A02S</v>
      </c>
      <c r="AI184" s="6" t="str">
        <f>IF($D184&lt;=AI$4,"",IF(AND($D183=AI$4,$D184&gt;AI$4),$F183,AI183))</f>
        <v/>
      </c>
      <c r="AJ184" s="6" t="str">
        <f>IF($D184&lt;=AJ$4,"",IF(AND($D183=AJ$4,$D184&gt;AJ$4),$F183,AJ183))</f>
        <v/>
      </c>
      <c r="AK184" s="6" t="str">
        <f>IF($D184&lt;=AK$4,"",IF(AND($D183=AK$4,$D184&gt;AK$4),$F183,AK183))</f>
        <v/>
      </c>
      <c r="AL184" s="6" t="str">
        <f>IF($D184&lt;=AL$4,"",IF(AND($D183=AL$4,$D184&gt;AL$4),$F183,AL183))</f>
        <v/>
      </c>
      <c r="AM184" s="6" t="str">
        <f>IF($D184&lt;=AM$4,"",IF(AND($D183=AM$4,$D184&gt;AM$4),$F183,AM183))</f>
        <v/>
      </c>
      <c r="AN184" s="6" t="str">
        <f>IF($D184&lt;=AN$4,"",IF(AND($D183=AN$4,$D184&gt;AN$4),$F183,AN183))</f>
        <v/>
      </c>
      <c r="AO184" s="6" t="str">
        <f>CONCATENATE(AG184," | ",AH184," | ",AI184," | ",AJ184," | ",AK184," | ",AL184," | ",AM184," | ",AN184)</f>
        <v xml:space="preserve">90MB1BJ0-C1BAY0 | 59MB1BJB-MB0A02S |  |  |  |  |  | </v>
      </c>
      <c r="AP184" s="6">
        <f>IF(TRIM(H184)="",100,J184)</f>
        <v>0</v>
      </c>
      <c r="AQ184" s="4"/>
      <c r="AR184" s="6" t="b">
        <f>NOT(TRIM(W184)&lt;&gt;"F")</f>
        <v>1</v>
      </c>
      <c r="AS184" s="6" t="str">
        <f>$B184&amp;" | "&amp;$AO184&amp;" | "&amp;IF(TRIM(H184)="","uniq"&amp;ROW(),TRIM(H184))</f>
        <v>461E | 90MB1BJ0-C1BAY0 | 59MB1BJB-MB0A02S |  |  |  |  |  |  | 65</v>
      </c>
      <c r="AT184" s="63">
        <f>IF(NOT(AR184),IF(TRIM($H184)="","Assembly","Phantom Alt"),VLOOKUP(F184,ZPCS04!B:G,6,0))</f>
        <v>607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</v>
      </c>
      <c r="AX184" s="7"/>
      <c r="AY184" s="6" t="b">
        <f>SUMIF(AS:AS,AS184,AP:AP)=100</f>
        <v>1</v>
      </c>
      <c r="AZ184" s="6" t="b">
        <f>SUMIF(AS:AS,AS184,AE:AE)/COUNTIF(AS:AS,AS184)=AE184</f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>C184&amp;" | "&amp;F184</f>
        <v>90MB1BJ0-C1BAY0 | 07003-00190700</v>
      </c>
      <c r="BE184" s="55" t="str">
        <f ca="1">C184&amp;" | "&amp;OFFSET($AF184,0,8-COUNTBLANK($AG184:$AN184))</f>
        <v>90MB1BJ0-C1BAY0 | 59MB1BJB-MB0A02S</v>
      </c>
      <c r="BF184" s="57">
        <f ca="1">IFERROR(VLOOKUP($BE184,$BD$5:$BF183,3,0)*$AE184,VLOOKUP($C184,Demanda!$A:$B,2,0)*$AE184)*IF(AT184="Phantom Alt",$BC184,TRUE)</f>
        <v>6000</v>
      </c>
      <c r="BG184" s="57">
        <f ca="1">BF184*(AP184/100)</f>
        <v>0</v>
      </c>
      <c r="BH184" s="57">
        <f>SUMIF(Invoice!A:A,F184,Invoice!B:B)</f>
        <v>0</v>
      </c>
      <c r="BI184" s="57">
        <f ca="1">SUMIF(AS:AS,AS184,BG:BG)</f>
        <v>6000</v>
      </c>
      <c r="BJ184" s="57">
        <f ca="1">MIN((BI184-SUMIF($AS$5:AS183,AS184,$BJ$5:BJ183)),MAX(0,BH184-SUMIF($F$5:F183,F184,$BJ$5:BJ183)))</f>
        <v>0</v>
      </c>
      <c r="BK184" s="57">
        <f ca="1">(-SUMIF(AS:AS,AS184,BG:BG)+SUMIF(AS:AS,AS184,BJ:BJ))*(AP184=100)*AR184</f>
        <v>0</v>
      </c>
      <c r="BL184" s="57">
        <f ca="1">MAX(0,SUMIF(Invoice!A:A,F184,Invoice!B:B)-SUMIF(F:F,F184,BJ:BJ))*(COUNTIF(F:F,F184)=COUNTIF($F$5:F184,F184))</f>
        <v>0</v>
      </c>
    </row>
    <row r="185" spans="1:64" hidden="1">
      <c r="A185" s="43">
        <v>185</v>
      </c>
      <c r="B185" s="35" t="s">
        <v>147</v>
      </c>
      <c r="C185" s="35" t="s">
        <v>146</v>
      </c>
      <c r="D185" s="35">
        <v>2</v>
      </c>
      <c r="E185" s="35">
        <v>650</v>
      </c>
      <c r="F185" s="64" t="s">
        <v>537</v>
      </c>
      <c r="G185" s="73" t="s">
        <v>538</v>
      </c>
      <c r="H185" s="35">
        <v>65</v>
      </c>
      <c r="I185" s="35" t="s">
        <v>55</v>
      </c>
      <c r="J185" s="35">
        <v>0</v>
      </c>
      <c r="K185" s="35" t="s">
        <v>414</v>
      </c>
      <c r="L185" s="35" t="s">
        <v>53</v>
      </c>
      <c r="M185" s="35">
        <v>6</v>
      </c>
      <c r="N185" s="35"/>
      <c r="O185" s="35">
        <v>1</v>
      </c>
      <c r="P185" s="35">
        <v>2</v>
      </c>
      <c r="Q185" s="35">
        <v>2</v>
      </c>
      <c r="R185" s="35" t="s">
        <v>122</v>
      </c>
      <c r="S185" s="35" t="s">
        <v>122</v>
      </c>
      <c r="T185" s="36">
        <v>44901</v>
      </c>
      <c r="U185" s="36">
        <v>2958465</v>
      </c>
      <c r="V185" s="35" t="s">
        <v>282</v>
      </c>
      <c r="W185" s="35" t="s">
        <v>145</v>
      </c>
      <c r="X185" s="35"/>
      <c r="Y185" s="35" t="s">
        <v>143</v>
      </c>
      <c r="Z185" s="35">
        <v>7589154</v>
      </c>
      <c r="AA185" s="35">
        <v>254</v>
      </c>
      <c r="AB185" s="35">
        <v>127</v>
      </c>
      <c r="AC185" s="35"/>
      <c r="AE185" s="51">
        <f>M185/O185</f>
        <v>6</v>
      </c>
      <c r="AG185" s="6" t="str">
        <f>C185</f>
        <v>90MB1BJ0-C1BAY0</v>
      </c>
      <c r="AH185" s="6" t="str">
        <f>IF($D185&lt;=AH$4,"",IF(AND($D184=AH$4,$D185&gt;AH$4),$F184,AH184))</f>
        <v>59MB1BJB-MB0A02S</v>
      </c>
      <c r="AI185" s="6" t="str">
        <f>IF($D185&lt;=AI$4,"",IF(AND($D184=AI$4,$D185&gt;AI$4),$F184,AI184))</f>
        <v/>
      </c>
      <c r="AJ185" s="6" t="str">
        <f>IF($D185&lt;=AJ$4,"",IF(AND($D184=AJ$4,$D185&gt;AJ$4),$F184,AJ184))</f>
        <v/>
      </c>
      <c r="AK185" s="6" t="str">
        <f>IF($D185&lt;=AK$4,"",IF(AND($D184=AK$4,$D185&gt;AK$4),$F184,AK184))</f>
        <v/>
      </c>
      <c r="AL185" s="6" t="str">
        <f>IF($D185&lt;=AL$4,"",IF(AND($D184=AL$4,$D185&gt;AL$4),$F184,AL184))</f>
        <v/>
      </c>
      <c r="AM185" s="6" t="str">
        <f>IF($D185&lt;=AM$4,"",IF(AND($D184=AM$4,$D185&gt;AM$4),$F184,AM184))</f>
        <v/>
      </c>
      <c r="AN185" s="6" t="str">
        <f>IF($D185&lt;=AN$4,"",IF(AND($D184=AN$4,$D185&gt;AN$4),$F184,AN184))</f>
        <v/>
      </c>
      <c r="AO185" s="6" t="str">
        <f>CONCATENATE(AG185," | ",AH185," | ",AI185," | ",AJ185," | ",AK185," | ",AL185," | ",AM185," | ",AN185)</f>
        <v xml:space="preserve">90MB1BJ0-C1BAY0 | 59MB1BJB-MB0A02S |  |  |  |  |  | </v>
      </c>
      <c r="AP185" s="6">
        <f>IF(TRIM(H185)="",100,J185)</f>
        <v>0</v>
      </c>
      <c r="AQ185" s="4"/>
      <c r="AR185" s="6" t="b">
        <f>NOT(TRIM(W185)&lt;&gt;"F")</f>
        <v>1</v>
      </c>
      <c r="AS185" s="6" t="str">
        <f>$B185&amp;" | "&amp;$AO185&amp;" | "&amp;IF(TRIM(H185)="","uniq"&amp;ROW(),TRIM(H185))</f>
        <v>461E | 90MB1BJ0-C1BAY0 | 59MB1BJB-MB0A02S |  |  |  |  |  |  | 65</v>
      </c>
      <c r="AT185" s="63">
        <f>IF(NOT(AR185),IF(TRIM($H185)="","Assembly","Phantom Alt"),VLOOKUP(F185,ZPCS04!B:G,6,0))</f>
        <v>607</v>
      </c>
      <c r="AU185" s="7"/>
      <c r="AV185" s="38">
        <f ca="1">IF(TRIM($W185)="F",OFFSET($A$5,MATCH($AS185,$AS$5:$AS185,0)-1,0),$A185)</f>
        <v>184</v>
      </c>
      <c r="AW185" s="38">
        <f ca="1">IFERROR(OFFSET(ZPCS04!$A$1,MATCH(F185,ZPCS04!B:B,0)-1,0),100)</f>
        <v>2</v>
      </c>
      <c r="AX185" s="7"/>
      <c r="AY185" s="6" t="b">
        <f>SUMIF(AS:AS,AS185,AP:AP)=100</f>
        <v>1</v>
      </c>
      <c r="AZ185" s="6" t="b">
        <f>SUMIF(AS:AS,AS185,AE:AE)/COUNTIF(AS:AS,AS185)=AE185</f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>C185&amp;" | "&amp;F185</f>
        <v>90MB1BJ0-C1BAY0 | 07G003001211</v>
      </c>
      <c r="BE185" s="55" t="str">
        <f ca="1">C185&amp;" | "&amp;OFFSET($AF185,0,8-COUNTBLANK($AG185:$AN185))</f>
        <v>90MB1BJ0-C1BAY0 | 59MB1BJB-MB0A02S</v>
      </c>
      <c r="BF185" s="57">
        <f ca="1">IFERROR(VLOOKUP($BE185,$BD$5:$BF184,3,0)*$AE185,VLOOKUP($C185,Demanda!$A:$B,2,0)*$AE185)*IF(AT185="Phantom Alt",$BC185,TRUE)</f>
        <v>6000</v>
      </c>
      <c r="BG185" s="57">
        <f ca="1">BF185*(AP185/100)</f>
        <v>0</v>
      </c>
      <c r="BH185" s="57">
        <f>SUMIF(Invoice!A:A,F185,Invoice!B:B)</f>
        <v>0</v>
      </c>
      <c r="BI185" s="57">
        <f ca="1">SUMIF(AS:AS,AS185,BG:BG)</f>
        <v>6000</v>
      </c>
      <c r="BJ185" s="57">
        <f ca="1">MIN((BI185-SUMIF($AS$5:AS184,AS185,$BJ$5:BJ184)),MAX(0,BH185-SUMIF($F$5:F184,F185,$BJ$5:BJ184)))</f>
        <v>0</v>
      </c>
      <c r="BK185" s="57">
        <f ca="1">(-SUMIF(AS:AS,AS185,BG:BG)+SUMIF(AS:AS,AS185,BJ:BJ))*(AP185=100)*AR185</f>
        <v>0</v>
      </c>
      <c r="BL185" s="57">
        <f ca="1">MAX(0,SUMIF(Invoice!A:A,F185,Invoice!B:B)-SUMIF(F:F,F185,BJ:BJ))*(COUNTIF(F:F,F185)=COUNTIF($F$5:F185,F185))</f>
        <v>0</v>
      </c>
    </row>
    <row r="186" spans="1:64" hidden="1">
      <c r="A186" s="43">
        <v>187</v>
      </c>
      <c r="B186" s="35" t="s">
        <v>147</v>
      </c>
      <c r="C186" s="35" t="s">
        <v>146</v>
      </c>
      <c r="D186" s="35">
        <v>2</v>
      </c>
      <c r="E186" s="35">
        <v>660</v>
      </c>
      <c r="F186" s="64" t="s">
        <v>541</v>
      </c>
      <c r="G186" s="73" t="s">
        <v>542</v>
      </c>
      <c r="H186" s="35">
        <v>66</v>
      </c>
      <c r="I186" s="35" t="s">
        <v>54</v>
      </c>
      <c r="J186" s="35">
        <v>100</v>
      </c>
      <c r="K186" s="35" t="s">
        <v>508</v>
      </c>
      <c r="L186" s="35" t="s">
        <v>53</v>
      </c>
      <c r="M186" s="35">
        <v>13</v>
      </c>
      <c r="N186" s="35">
        <v>13</v>
      </c>
      <c r="O186" s="35">
        <v>1</v>
      </c>
      <c r="P186" s="35">
        <v>2</v>
      </c>
      <c r="Q186" s="35">
        <v>1</v>
      </c>
      <c r="R186" s="35" t="s">
        <v>122</v>
      </c>
      <c r="S186" s="35" t="s">
        <v>122</v>
      </c>
      <c r="T186" s="36">
        <v>44901</v>
      </c>
      <c r="U186" s="36">
        <v>2958465</v>
      </c>
      <c r="V186" s="35" t="s">
        <v>282</v>
      </c>
      <c r="W186" s="35" t="s">
        <v>145</v>
      </c>
      <c r="X186" s="35"/>
      <c r="Y186" s="35" t="s">
        <v>143</v>
      </c>
      <c r="Z186" s="35">
        <v>7589154</v>
      </c>
      <c r="AA186" s="35">
        <v>260</v>
      </c>
      <c r="AB186" s="35">
        <v>130</v>
      </c>
      <c r="AC186" s="35"/>
      <c r="AE186" s="51">
        <f>M186/O186</f>
        <v>13</v>
      </c>
      <c r="AG186" s="6" t="str">
        <f>C186</f>
        <v>90MB1BJ0-C1BAY0</v>
      </c>
      <c r="AH186" s="6" t="str">
        <f>IF($D186&lt;=AH$4,"",IF(AND($D185=AH$4,$D186&gt;AH$4),$F185,AH185))</f>
        <v>59MB1BJB-MB0A02S</v>
      </c>
      <c r="AI186" s="6" t="str">
        <f>IF($D186&lt;=AI$4,"",IF(AND($D185=AI$4,$D186&gt;AI$4),$F185,AI185))</f>
        <v/>
      </c>
      <c r="AJ186" s="6" t="str">
        <f>IF($D186&lt;=AJ$4,"",IF(AND($D185=AJ$4,$D186&gt;AJ$4),$F185,AJ185))</f>
        <v/>
      </c>
      <c r="AK186" s="6" t="str">
        <f>IF($D186&lt;=AK$4,"",IF(AND($D185=AK$4,$D186&gt;AK$4),$F185,AK185))</f>
        <v/>
      </c>
      <c r="AL186" s="6" t="str">
        <f>IF($D186&lt;=AL$4,"",IF(AND($D185=AL$4,$D186&gt;AL$4),$F185,AL185))</f>
        <v/>
      </c>
      <c r="AM186" s="6" t="str">
        <f>IF($D186&lt;=AM$4,"",IF(AND($D185=AM$4,$D186&gt;AM$4),$F185,AM185))</f>
        <v/>
      </c>
      <c r="AN186" s="6" t="str">
        <f>IF($D186&lt;=AN$4,"",IF(AND($D185=AN$4,$D186&gt;AN$4),$F185,AN185))</f>
        <v/>
      </c>
      <c r="AO186" s="6" t="str">
        <f>CONCATENATE(AG186," | ",AH186," | ",AI186," | ",AJ186," | ",AK186," | ",AL186," | ",AM186," | ",AN186)</f>
        <v xml:space="preserve">90MB1BJ0-C1BAY0 | 59MB1BJB-MB0A02S |  |  |  |  |  | </v>
      </c>
      <c r="AP186" s="6">
        <f>IF(TRIM(H186)="",100,J186)</f>
        <v>100</v>
      </c>
      <c r="AQ186" s="4"/>
      <c r="AR186" s="6" t="b">
        <f>NOT(TRIM(W186)&lt;&gt;"F")</f>
        <v>1</v>
      </c>
      <c r="AS186" s="6" t="str">
        <f>$B186&amp;" | "&amp;$AO186&amp;" | "&amp;IF(TRIM(H186)="","uniq"&amp;ROW(),TRIM(H186))</f>
        <v>461E | 90MB1BJ0-C1BAY0 | 59MB1BJB-MB0A02S |  |  |  |  |  |  | 66</v>
      </c>
      <c r="AT186" s="63">
        <f>IF(NOT(AR186),IF(TRIM($H186)="","Assembly","Phantom Alt"),VLOOKUP(F186,ZPCS04!B:G,6,0))</f>
        <v>608</v>
      </c>
      <c r="AU186" s="7"/>
      <c r="AV186" s="38">
        <f ca="1">IF(TRIM($W186)="F",OFFSET($A$5,MATCH($AS186,$AS$5:$AS186,0)-1,0),$A186)</f>
        <v>187</v>
      </c>
      <c r="AW186" s="38">
        <f ca="1">IFERROR(OFFSET(ZPCS04!$A$1,MATCH(F186,ZPCS04!B:B,0)-1,0),100)</f>
        <v>1.9999998699999999</v>
      </c>
      <c r="AX186" s="7"/>
      <c r="AY186" s="6" t="b">
        <f>SUMIF(AS:AS,AS186,AP:AP)=100</f>
        <v>1</v>
      </c>
      <c r="AZ186" s="6" t="b">
        <f>SUMIF(AS:AS,AS186,AE:AE)/COUNTIF(AS:AS,AS186)=AE186</f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>C186&amp;" | "&amp;F186</f>
        <v>90MB1BJ0-C1BAY0 | 07G004051640</v>
      </c>
      <c r="BE186" s="55" t="str">
        <f ca="1">C186&amp;" | "&amp;OFFSET($AF186,0,8-COUNTBLANK($AG186:$AN186))</f>
        <v>90MB1BJ0-C1BAY0 | 59MB1BJB-MB0A02S</v>
      </c>
      <c r="BF186" s="57">
        <f ca="1">IFERROR(VLOOKUP($BE186,$BD$5:$BF185,3,0)*$AE186,VLOOKUP($C186,Demanda!$A:$B,2,0)*$AE186)*IF(AT186="Phantom Alt",$BC186,TRUE)</f>
        <v>13000</v>
      </c>
      <c r="BG186" s="57">
        <f ca="1">BF186*(AP186/100)</f>
        <v>13000</v>
      </c>
      <c r="BH186" s="57">
        <f>SUMIF(Invoice!A:A,F186,Invoice!B:B)</f>
        <v>13000</v>
      </c>
      <c r="BI186" s="57">
        <f ca="1">SUMIF(AS:AS,AS186,BG:BG)</f>
        <v>13000</v>
      </c>
      <c r="BJ186" s="57">
        <f ca="1">MIN((BI186-SUMIF($AS$5:AS185,AS186,$BJ$5:BJ185)),MAX(0,BH186-SUMIF($F$5:F185,F186,$BJ$5:BJ185)))</f>
        <v>13000</v>
      </c>
      <c r="BK186" s="57">
        <f ca="1">(-SUMIF(AS:AS,AS186,BG:BG)+SUMIF(AS:AS,AS186,BJ:BJ))*(AP186=100)*AR186</f>
        <v>0</v>
      </c>
      <c r="BL186" s="57">
        <f ca="1">MAX(0,SUMIF(Invoice!A:A,F186,Invoice!B:B)-SUMIF(F:F,F186,BJ:BJ))*(COUNTIF(F:F,F186)=COUNTIF($F$5:F186,F186))</f>
        <v>0</v>
      </c>
    </row>
    <row r="187" spans="1:64" hidden="1">
      <c r="A187" s="43">
        <v>186</v>
      </c>
      <c r="B187" s="35" t="s">
        <v>147</v>
      </c>
      <c r="C187" s="35" t="s">
        <v>146</v>
      </c>
      <c r="D187" s="35">
        <v>2</v>
      </c>
      <c r="E187" s="35">
        <v>660</v>
      </c>
      <c r="F187" s="64" t="s">
        <v>539</v>
      </c>
      <c r="G187" s="73" t="s">
        <v>540</v>
      </c>
      <c r="H187" s="35">
        <v>66</v>
      </c>
      <c r="I187" s="35" t="s">
        <v>55</v>
      </c>
      <c r="J187" s="35">
        <v>0</v>
      </c>
      <c r="K187" s="35" t="s">
        <v>150</v>
      </c>
      <c r="L187" s="35" t="s">
        <v>53</v>
      </c>
      <c r="M187" s="35">
        <v>13</v>
      </c>
      <c r="N187" s="35"/>
      <c r="O187" s="35">
        <v>1</v>
      </c>
      <c r="P187" s="35">
        <v>2</v>
      </c>
      <c r="Q187" s="35">
        <v>2</v>
      </c>
      <c r="R187" s="35" t="s">
        <v>73</v>
      </c>
      <c r="S187" s="35" t="s">
        <v>73</v>
      </c>
      <c r="T187" s="36">
        <v>44901</v>
      </c>
      <c r="U187" s="36">
        <v>2958465</v>
      </c>
      <c r="V187" s="35" t="s">
        <v>282</v>
      </c>
      <c r="W187" s="35" t="s">
        <v>145</v>
      </c>
      <c r="X187" s="35"/>
      <c r="Y187" s="35" t="s">
        <v>143</v>
      </c>
      <c r="Z187" s="35">
        <v>7589154</v>
      </c>
      <c r="AA187" s="35">
        <v>262</v>
      </c>
      <c r="AB187" s="35">
        <v>131</v>
      </c>
      <c r="AC187" s="35"/>
      <c r="AE187" s="51">
        <f>M187/O187</f>
        <v>13</v>
      </c>
      <c r="AG187" s="6" t="str">
        <f>C187</f>
        <v>90MB1BJ0-C1BAY0</v>
      </c>
      <c r="AH187" s="6" t="str">
        <f>IF($D187&lt;=AH$4,"",IF(AND($D186=AH$4,$D187&gt;AH$4),$F186,AH186))</f>
        <v>59MB1BJB-MB0A02S</v>
      </c>
      <c r="AI187" s="6" t="str">
        <f>IF($D187&lt;=AI$4,"",IF(AND($D186=AI$4,$D187&gt;AI$4),$F186,AI186))</f>
        <v/>
      </c>
      <c r="AJ187" s="6" t="str">
        <f>IF($D187&lt;=AJ$4,"",IF(AND($D186=AJ$4,$D187&gt;AJ$4),$F186,AJ186))</f>
        <v/>
      </c>
      <c r="AK187" s="6" t="str">
        <f>IF($D187&lt;=AK$4,"",IF(AND($D186=AK$4,$D187&gt;AK$4),$F186,AK186))</f>
        <v/>
      </c>
      <c r="AL187" s="6" t="str">
        <f>IF($D187&lt;=AL$4,"",IF(AND($D186=AL$4,$D187&gt;AL$4),$F186,AL186))</f>
        <v/>
      </c>
      <c r="AM187" s="6" t="str">
        <f>IF($D187&lt;=AM$4,"",IF(AND($D186=AM$4,$D187&gt;AM$4),$F186,AM186))</f>
        <v/>
      </c>
      <c r="AN187" s="6" t="str">
        <f>IF($D187&lt;=AN$4,"",IF(AND($D186=AN$4,$D187&gt;AN$4),$F186,AN186))</f>
        <v/>
      </c>
      <c r="AO187" s="6" t="str">
        <f>CONCATENATE(AG187," | ",AH187," | ",AI187," | ",AJ187," | ",AK187," | ",AL187," | ",AM187," | ",AN187)</f>
        <v xml:space="preserve">90MB1BJ0-C1BAY0 | 59MB1BJB-MB0A02S |  |  |  |  |  | </v>
      </c>
      <c r="AP187" s="6">
        <f>IF(TRIM(H187)="",100,J187)</f>
        <v>0</v>
      </c>
      <c r="AQ187" s="4"/>
      <c r="AR187" s="6" t="b">
        <f>NOT(TRIM(W187)&lt;&gt;"F")</f>
        <v>1</v>
      </c>
      <c r="AS187" s="6" t="str">
        <f>$B187&amp;" | "&amp;$AO187&amp;" | "&amp;IF(TRIM(H187)="","uniq"&amp;ROW(),TRIM(H187))</f>
        <v>461E | 90MB1BJ0-C1BAY0 | 59MB1BJB-MB0A02S |  |  |  |  |  |  | 66</v>
      </c>
      <c r="AT187" s="63">
        <f>IF(NOT(AR187),IF(TRIM($H187)="","Assembly","Phantom Alt"),VLOOKUP(F187,ZPCS04!B:G,6,0))</f>
        <v>608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</v>
      </c>
      <c r="AX187" s="7"/>
      <c r="AY187" s="6" t="b">
        <f>SUMIF(AS:AS,AS187,AP:AP)=100</f>
        <v>1</v>
      </c>
      <c r="AZ187" s="6" t="b">
        <f>SUMIF(AS:AS,AS187,AE:AE)/COUNTIF(AS:AS,AS187)=AE187</f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>C187&amp;" | "&amp;F187</f>
        <v>90MB1BJ0-C1BAY0 | 07004-00031800</v>
      </c>
      <c r="BE187" s="55" t="str">
        <f ca="1">C187&amp;" | "&amp;OFFSET($AF187,0,8-COUNTBLANK($AG187:$AN187))</f>
        <v>90MB1BJ0-C1BAY0 | 59MB1BJB-MB0A02S</v>
      </c>
      <c r="BF187" s="57">
        <f ca="1">IFERROR(VLOOKUP($BE187,$BD$5:$BF186,3,0)*$AE187,VLOOKUP($C187,Demanda!$A:$B,2,0)*$AE187)*IF(AT187="Phantom Alt",$BC187,TRUE)</f>
        <v>13000</v>
      </c>
      <c r="BG187" s="57">
        <f ca="1">BF187*(AP187/100)</f>
        <v>0</v>
      </c>
      <c r="BH187" s="57">
        <f>SUMIF(Invoice!A:A,F187,Invoice!B:B)</f>
        <v>0</v>
      </c>
      <c r="BI187" s="57">
        <f ca="1">SUMIF(AS:AS,AS187,BG:BG)</f>
        <v>13000</v>
      </c>
      <c r="BJ187" s="57">
        <f ca="1">MIN((BI187-SUMIF($AS$5:AS186,AS187,$BJ$5:BJ186)),MAX(0,BH187-SUMIF($F$5:F186,F187,$BJ$5:BJ186)))</f>
        <v>0</v>
      </c>
      <c r="BK187" s="57">
        <f ca="1">(-SUMIF(AS:AS,AS187,BG:BG)+SUMIF(AS:AS,AS187,BJ:BJ))*(AP187=100)*AR187</f>
        <v>0</v>
      </c>
      <c r="BL187" s="57">
        <f ca="1">MAX(0,SUMIF(Invoice!A:A,F187,Invoice!B:B)-SUMIF(F:F,F187,BJ:BJ))*(COUNTIF(F:F,F187)=COUNTIF($F$5:F187,F187))</f>
        <v>0</v>
      </c>
    </row>
    <row r="188" spans="1:64" hidden="1">
      <c r="A188" s="43">
        <v>188</v>
      </c>
      <c r="B188" s="35" t="s">
        <v>147</v>
      </c>
      <c r="C188" s="35" t="s">
        <v>146</v>
      </c>
      <c r="D188" s="35">
        <v>2</v>
      </c>
      <c r="E188" s="35">
        <v>660</v>
      </c>
      <c r="F188" s="64" t="s">
        <v>543</v>
      </c>
      <c r="G188" s="73" t="s">
        <v>544</v>
      </c>
      <c r="H188" s="35">
        <v>66</v>
      </c>
      <c r="I188" s="35" t="s">
        <v>55</v>
      </c>
      <c r="J188" s="35">
        <v>0</v>
      </c>
      <c r="K188" s="35" t="s">
        <v>508</v>
      </c>
      <c r="L188" s="35" t="s">
        <v>53</v>
      </c>
      <c r="M188" s="35">
        <v>13</v>
      </c>
      <c r="N188" s="35"/>
      <c r="O188" s="35">
        <v>1</v>
      </c>
      <c r="P188" s="35">
        <v>2</v>
      </c>
      <c r="Q188" s="35">
        <v>3</v>
      </c>
      <c r="R188" s="35" t="s">
        <v>122</v>
      </c>
      <c r="S188" s="35" t="s">
        <v>122</v>
      </c>
      <c r="T188" s="36">
        <v>44901</v>
      </c>
      <c r="U188" s="36">
        <v>2958465</v>
      </c>
      <c r="V188" s="35" t="s">
        <v>282</v>
      </c>
      <c r="W188" s="35" t="s">
        <v>145</v>
      </c>
      <c r="X188" s="35"/>
      <c r="Y188" s="35" t="s">
        <v>143</v>
      </c>
      <c r="Z188" s="35">
        <v>7589154</v>
      </c>
      <c r="AA188" s="35">
        <v>264</v>
      </c>
      <c r="AB188" s="35">
        <v>132</v>
      </c>
      <c r="AC188" s="35"/>
      <c r="AE188" s="51">
        <f>M188/O188</f>
        <v>13</v>
      </c>
      <c r="AG188" s="6" t="str">
        <f>C188</f>
        <v>90MB1BJ0-C1BAY0</v>
      </c>
      <c r="AH188" s="6" t="str">
        <f>IF($D188&lt;=AH$4,"",IF(AND($D187=AH$4,$D188&gt;AH$4),$F187,AH187))</f>
        <v>59MB1BJB-MB0A02S</v>
      </c>
      <c r="AI188" s="6" t="str">
        <f>IF($D188&lt;=AI$4,"",IF(AND($D187=AI$4,$D188&gt;AI$4),$F187,AI187))</f>
        <v/>
      </c>
      <c r="AJ188" s="6" t="str">
        <f>IF($D188&lt;=AJ$4,"",IF(AND($D187=AJ$4,$D188&gt;AJ$4),$F187,AJ187))</f>
        <v/>
      </c>
      <c r="AK188" s="6" t="str">
        <f>IF($D188&lt;=AK$4,"",IF(AND($D187=AK$4,$D188&gt;AK$4),$F187,AK187))</f>
        <v/>
      </c>
      <c r="AL188" s="6" t="str">
        <f>IF($D188&lt;=AL$4,"",IF(AND($D187=AL$4,$D188&gt;AL$4),$F187,AL187))</f>
        <v/>
      </c>
      <c r="AM188" s="6" t="str">
        <f>IF($D188&lt;=AM$4,"",IF(AND($D187=AM$4,$D188&gt;AM$4),$F187,AM187))</f>
        <v/>
      </c>
      <c r="AN188" s="6" t="str">
        <f>IF($D188&lt;=AN$4,"",IF(AND($D187=AN$4,$D188&gt;AN$4),$F187,AN187))</f>
        <v/>
      </c>
      <c r="AO188" s="6" t="str">
        <f>CONCATENATE(AG188," | ",AH188," | ",AI188," | ",AJ188," | ",AK188," | ",AL188," | ",AM188," | ",AN188)</f>
        <v xml:space="preserve">90MB1BJ0-C1BAY0 | 59MB1BJB-MB0A02S |  |  |  |  |  | </v>
      </c>
      <c r="AP188" s="6">
        <f>IF(TRIM(H188)="",100,J188)</f>
        <v>0</v>
      </c>
      <c r="AQ188" s="4"/>
      <c r="AR188" s="6" t="b">
        <f>NOT(TRIM(W188)&lt;&gt;"F")</f>
        <v>1</v>
      </c>
      <c r="AS188" s="6" t="str">
        <f>$B188&amp;" | "&amp;$AO188&amp;" | "&amp;IF(TRIM(H188)="","uniq"&amp;ROW(),TRIM(H188))</f>
        <v>461E | 90MB1BJ0-C1BAY0 | 59MB1BJB-MB0A02S |  |  |  |  |  |  | 66</v>
      </c>
      <c r="AT188" s="63">
        <f>IF(NOT(AR188),IF(TRIM($H188)="","Assembly","Phantom Alt"),VLOOKUP(F188,ZPCS04!B:G,6,0))</f>
        <v>608</v>
      </c>
      <c r="AU188" s="7"/>
      <c r="AV188" s="38">
        <f ca="1">IF(TRIM($W188)="F",OFFSET($A$5,MATCH($AS188,$AS$5:$AS188,0)-1,0),$A188)</f>
        <v>187</v>
      </c>
      <c r="AW188" s="38">
        <f ca="1">IFERROR(OFFSET(ZPCS04!$A$1,MATCH(F188,ZPCS04!B:B,0)-1,0),100)</f>
        <v>2</v>
      </c>
      <c r="AX188" s="7"/>
      <c r="AY188" s="6" t="b">
        <f>SUMIF(AS:AS,AS188,AP:AP)=100</f>
        <v>1</v>
      </c>
      <c r="AZ188" s="6" t="b">
        <f>SUMIF(AS:AS,AS188,AE:AE)/COUNTIF(AS:AS,AS188)=AE188</f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>C188&amp;" | "&amp;F188</f>
        <v>90MB1BJ0-C1BAY0 | 07G004069020</v>
      </c>
      <c r="BE188" s="55" t="str">
        <f ca="1">C188&amp;" | "&amp;OFFSET($AF188,0,8-COUNTBLANK($AG188:$AN188))</f>
        <v>90MB1BJ0-C1BAY0 | 59MB1BJB-MB0A02S</v>
      </c>
      <c r="BF188" s="57">
        <f ca="1">IFERROR(VLOOKUP($BE188,$BD$5:$BF187,3,0)*$AE188,VLOOKUP($C188,Demanda!$A:$B,2,0)*$AE188)*IF(AT188="Phantom Alt",$BC188,TRUE)</f>
        <v>13000</v>
      </c>
      <c r="BG188" s="57">
        <f ca="1">BF188*(AP188/100)</f>
        <v>0</v>
      </c>
      <c r="BH188" s="57">
        <f>SUMIF(Invoice!A:A,F188,Invoice!B:B)</f>
        <v>0</v>
      </c>
      <c r="BI188" s="57">
        <f ca="1">SUMIF(AS:AS,AS188,BG:BG)</f>
        <v>13000</v>
      </c>
      <c r="BJ188" s="57">
        <f ca="1">MIN((BI188-SUMIF($AS$5:AS187,AS188,$BJ$5:BJ187)),MAX(0,BH188-SUMIF($F$5:F187,F188,$BJ$5:BJ187)))</f>
        <v>0</v>
      </c>
      <c r="BK188" s="57">
        <f ca="1">(-SUMIF(AS:AS,AS188,BG:BG)+SUMIF(AS:AS,AS188,BJ:BJ))*(AP188=100)*AR188</f>
        <v>0</v>
      </c>
      <c r="BL188" s="57">
        <f ca="1">MAX(0,SUMIF(Invoice!A:A,F188,Invoice!B:B)-SUMIF(F:F,F188,BJ:BJ))*(COUNTIF(F:F,F188)=COUNTIF($F$5:F188,F188))</f>
        <v>0</v>
      </c>
    </row>
    <row r="189" spans="1:64" hidden="1">
      <c r="A189" s="43">
        <v>191</v>
      </c>
      <c r="B189" s="35" t="s">
        <v>147</v>
      </c>
      <c r="C189" s="35" t="s">
        <v>146</v>
      </c>
      <c r="D189" s="35">
        <v>2</v>
      </c>
      <c r="E189" s="35">
        <v>670</v>
      </c>
      <c r="F189" s="64" t="s">
        <v>549</v>
      </c>
      <c r="G189" s="73" t="s">
        <v>550</v>
      </c>
      <c r="H189" s="35">
        <v>67</v>
      </c>
      <c r="I189" s="35" t="s">
        <v>54</v>
      </c>
      <c r="J189" s="35">
        <v>100</v>
      </c>
      <c r="K189" s="35" t="s">
        <v>508</v>
      </c>
      <c r="L189" s="35" t="s">
        <v>53</v>
      </c>
      <c r="M189" s="35">
        <v>29</v>
      </c>
      <c r="N189" s="35">
        <v>29</v>
      </c>
      <c r="O189" s="35">
        <v>1</v>
      </c>
      <c r="P189" s="35">
        <v>2</v>
      </c>
      <c r="Q189" s="35">
        <v>1</v>
      </c>
      <c r="R189" s="35" t="s">
        <v>122</v>
      </c>
      <c r="S189" s="35" t="s">
        <v>122</v>
      </c>
      <c r="T189" s="36">
        <v>44901</v>
      </c>
      <c r="U189" s="36">
        <v>2958465</v>
      </c>
      <c r="V189" s="35" t="s">
        <v>282</v>
      </c>
      <c r="W189" s="35" t="s">
        <v>145</v>
      </c>
      <c r="X189" s="35"/>
      <c r="Y189" s="35" t="s">
        <v>143</v>
      </c>
      <c r="Z189" s="35">
        <v>7589154</v>
      </c>
      <c r="AA189" s="35">
        <v>266</v>
      </c>
      <c r="AB189" s="35">
        <v>133</v>
      </c>
      <c r="AC189" s="35"/>
      <c r="AE189" s="51">
        <f>M189/O189</f>
        <v>29</v>
      </c>
      <c r="AG189" s="6" t="str">
        <f>C189</f>
        <v>90MB1BJ0-C1BAY0</v>
      </c>
      <c r="AH189" s="6" t="str">
        <f>IF($D189&lt;=AH$4,"",IF(AND($D188=AH$4,$D189&gt;AH$4),$F188,AH188))</f>
        <v>59MB1BJB-MB0A02S</v>
      </c>
      <c r="AI189" s="6" t="str">
        <f>IF($D189&lt;=AI$4,"",IF(AND($D188=AI$4,$D189&gt;AI$4),$F188,AI188))</f>
        <v/>
      </c>
      <c r="AJ189" s="6" t="str">
        <f>IF($D189&lt;=AJ$4,"",IF(AND($D188=AJ$4,$D189&gt;AJ$4),$F188,AJ188))</f>
        <v/>
      </c>
      <c r="AK189" s="6" t="str">
        <f>IF($D189&lt;=AK$4,"",IF(AND($D188=AK$4,$D189&gt;AK$4),$F188,AK188))</f>
        <v/>
      </c>
      <c r="AL189" s="6" t="str">
        <f>IF($D189&lt;=AL$4,"",IF(AND($D188=AL$4,$D189&gt;AL$4),$F188,AL188))</f>
        <v/>
      </c>
      <c r="AM189" s="6" t="str">
        <f>IF($D189&lt;=AM$4,"",IF(AND($D188=AM$4,$D189&gt;AM$4),$F188,AM188))</f>
        <v/>
      </c>
      <c r="AN189" s="6" t="str">
        <f>IF($D189&lt;=AN$4,"",IF(AND($D188=AN$4,$D189&gt;AN$4),$F188,AN188))</f>
        <v/>
      </c>
      <c r="AO189" s="6" t="str">
        <f>CONCATENATE(AG189," | ",AH189," | ",AI189," | ",AJ189," | ",AK189," | ",AL189," | ",AM189," | ",AN189)</f>
        <v xml:space="preserve">90MB1BJ0-C1BAY0 | 59MB1BJB-MB0A02S |  |  |  |  |  | </v>
      </c>
      <c r="AP189" s="6">
        <f>IF(TRIM(H189)="",100,J189)</f>
        <v>100</v>
      </c>
      <c r="AQ189" s="4"/>
      <c r="AR189" s="6" t="b">
        <f>NOT(TRIM(W189)&lt;&gt;"F")</f>
        <v>1</v>
      </c>
      <c r="AS189" s="6" t="str">
        <f>$B189&amp;" | "&amp;$AO189&amp;" | "&amp;IF(TRIM(H189)="","uniq"&amp;ROW(),TRIM(H189))</f>
        <v>461E | 90MB1BJ0-C1BAY0 | 59MB1BJB-MB0A02S |  |  |  |  |  |  | 67</v>
      </c>
      <c r="AT189" s="63">
        <f>IF(NOT(AR189),IF(TRIM($H189)="","Assembly","Phantom Alt"),VLOOKUP(F189,ZPCS04!B:G,6,0))</f>
        <v>609</v>
      </c>
      <c r="AU189" s="7"/>
      <c r="AV189" s="38">
        <f ca="1">IF(TRIM($W189)="F",OFFSET($A$5,MATCH($AS189,$AS$5:$AS189,0)-1,0),$A189)</f>
        <v>191</v>
      </c>
      <c r="AW189" s="38">
        <f ca="1">IFERROR(OFFSET(ZPCS04!$A$1,MATCH(F189,ZPCS04!B:B,0)-1,0),100)</f>
        <v>1.99999971</v>
      </c>
      <c r="AX189" s="7"/>
      <c r="AY189" s="6" t="b">
        <f>SUMIF(AS:AS,AS189,AP:AP)=100</f>
        <v>1</v>
      </c>
      <c r="AZ189" s="6" t="b">
        <f>SUMIF(AS:AS,AS189,AE:AE)/COUNTIF(AS:AS,AS189)=AE189</f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>C189&amp;" | "&amp;F189</f>
        <v>90MB1BJ0-C1BAY0 | 07G004068410</v>
      </c>
      <c r="BE189" s="55" t="str">
        <f ca="1">C189&amp;" | "&amp;OFFSET($AF189,0,8-COUNTBLANK($AG189:$AN189))</f>
        <v>90MB1BJ0-C1BAY0 | 59MB1BJB-MB0A02S</v>
      </c>
      <c r="BF189" s="57">
        <f ca="1">IFERROR(VLOOKUP($BE189,$BD$5:$BF188,3,0)*$AE189,VLOOKUP($C189,Demanda!$A:$B,2,0)*$AE189)*IF(AT189="Phantom Alt",$BC189,TRUE)</f>
        <v>29000</v>
      </c>
      <c r="BG189" s="57">
        <f ca="1">BF189*(AP189/100)</f>
        <v>29000</v>
      </c>
      <c r="BH189" s="57">
        <f>SUMIF(Invoice!A:A,F189,Invoice!B:B)</f>
        <v>29000</v>
      </c>
      <c r="BI189" s="57">
        <f ca="1">SUMIF(AS:AS,AS189,BG:BG)</f>
        <v>29000</v>
      </c>
      <c r="BJ189" s="57">
        <f ca="1">MIN((BI189-SUMIF($AS$5:AS188,AS189,$BJ$5:BJ188)),MAX(0,BH189-SUMIF($F$5:F188,F189,$BJ$5:BJ188)))</f>
        <v>29000</v>
      </c>
      <c r="BK189" s="57">
        <f ca="1">(-SUMIF(AS:AS,AS189,BG:BG)+SUMIF(AS:AS,AS189,BJ:BJ))*(AP189=100)*AR189</f>
        <v>0</v>
      </c>
      <c r="BL189" s="57">
        <f ca="1">MAX(0,SUMIF(Invoice!A:A,F189,Invoice!B:B)-SUMIF(F:F,F189,BJ:BJ))*(COUNTIF(F:F,F189)=COUNTIF($F$5:F189,F189))</f>
        <v>0</v>
      </c>
    </row>
    <row r="190" spans="1:64" hidden="1">
      <c r="A190" s="43">
        <v>189</v>
      </c>
      <c r="B190" s="35" t="s">
        <v>147</v>
      </c>
      <c r="C190" s="35" t="s">
        <v>146</v>
      </c>
      <c r="D190" s="35">
        <v>2</v>
      </c>
      <c r="E190" s="35">
        <v>670</v>
      </c>
      <c r="F190" s="64" t="s">
        <v>545</v>
      </c>
      <c r="G190" s="73" t="s">
        <v>546</v>
      </c>
      <c r="H190" s="35">
        <v>67</v>
      </c>
      <c r="I190" s="35" t="s">
        <v>55</v>
      </c>
      <c r="J190" s="35">
        <v>0</v>
      </c>
      <c r="K190" s="35" t="s">
        <v>150</v>
      </c>
      <c r="L190" s="35" t="s">
        <v>53</v>
      </c>
      <c r="M190" s="35">
        <v>29</v>
      </c>
      <c r="N190" s="35"/>
      <c r="O190" s="35">
        <v>1</v>
      </c>
      <c r="P190" s="35">
        <v>2</v>
      </c>
      <c r="Q190" s="35">
        <v>3</v>
      </c>
      <c r="R190" s="35" t="s">
        <v>73</v>
      </c>
      <c r="S190" s="35" t="s">
        <v>73</v>
      </c>
      <c r="T190" s="36">
        <v>44901</v>
      </c>
      <c r="U190" s="36">
        <v>2958465</v>
      </c>
      <c r="V190" s="35" t="s">
        <v>282</v>
      </c>
      <c r="W190" s="35" t="s">
        <v>145</v>
      </c>
      <c r="X190" s="35"/>
      <c r="Y190" s="35" t="s">
        <v>143</v>
      </c>
      <c r="Z190" s="35">
        <v>7589154</v>
      </c>
      <c r="AA190" s="35">
        <v>270</v>
      </c>
      <c r="AB190" s="35">
        <v>135</v>
      </c>
      <c r="AC190" s="35"/>
      <c r="AE190" s="51">
        <f>M190/O190</f>
        <v>29</v>
      </c>
      <c r="AG190" s="6" t="str">
        <f>C190</f>
        <v>90MB1BJ0-C1BAY0</v>
      </c>
      <c r="AH190" s="6" t="str">
        <f>IF($D190&lt;=AH$4,"",IF(AND($D189=AH$4,$D190&gt;AH$4),$F189,AH189))</f>
        <v>59MB1BJB-MB0A02S</v>
      </c>
      <c r="AI190" s="6" t="str">
        <f>IF($D190&lt;=AI$4,"",IF(AND($D189=AI$4,$D190&gt;AI$4),$F189,AI189))</f>
        <v/>
      </c>
      <c r="AJ190" s="6" t="str">
        <f>IF($D190&lt;=AJ$4,"",IF(AND($D189=AJ$4,$D190&gt;AJ$4),$F189,AJ189))</f>
        <v/>
      </c>
      <c r="AK190" s="6" t="str">
        <f>IF($D190&lt;=AK$4,"",IF(AND($D189=AK$4,$D190&gt;AK$4),$F189,AK189))</f>
        <v/>
      </c>
      <c r="AL190" s="6" t="str">
        <f>IF($D190&lt;=AL$4,"",IF(AND($D189=AL$4,$D190&gt;AL$4),$F189,AL189))</f>
        <v/>
      </c>
      <c r="AM190" s="6" t="str">
        <f>IF($D190&lt;=AM$4,"",IF(AND($D189=AM$4,$D190&gt;AM$4),$F189,AM189))</f>
        <v/>
      </c>
      <c r="AN190" s="6" t="str">
        <f>IF($D190&lt;=AN$4,"",IF(AND($D189=AN$4,$D190&gt;AN$4),$F189,AN189))</f>
        <v/>
      </c>
      <c r="AO190" s="6" t="str">
        <f>CONCATENATE(AG190," | ",AH190," | ",AI190," | ",AJ190," | ",AK190," | ",AL190," | ",AM190," | ",AN190)</f>
        <v xml:space="preserve">90MB1BJ0-C1BAY0 | 59MB1BJB-MB0A02S |  |  |  |  |  | </v>
      </c>
      <c r="AP190" s="6">
        <f>IF(TRIM(H190)="",100,J190)</f>
        <v>0</v>
      </c>
      <c r="AQ190" s="4"/>
      <c r="AR190" s="6" t="b">
        <f>NOT(TRIM(W190)&lt;&gt;"F")</f>
        <v>1</v>
      </c>
      <c r="AS190" s="6" t="str">
        <f>$B190&amp;" | "&amp;$AO190&amp;" | "&amp;IF(TRIM(H190)="","uniq"&amp;ROW(),TRIM(H190))</f>
        <v>461E | 90MB1BJ0-C1BAY0 | 59MB1BJB-MB0A02S |  |  |  |  |  |  | 67</v>
      </c>
      <c r="AT190" s="63">
        <f>IF(NOT(AR190),IF(TRIM($H190)="","Assembly","Phantom Alt"),VLOOKUP(F190,ZPCS04!B:G,6,0))</f>
        <v>609</v>
      </c>
      <c r="AU190" s="7"/>
      <c r="AV190" s="38">
        <f ca="1">IF(TRIM($W190)="F",OFFSET($A$5,MATCH($AS190,$AS$5:$AS190,0)-1,0),$A190)</f>
        <v>191</v>
      </c>
      <c r="AW190" s="38">
        <f ca="1">IFERROR(OFFSET(ZPCS04!$A$1,MATCH(F190,ZPCS04!B:B,0)-1,0),100)</f>
        <v>2</v>
      </c>
      <c r="AX190" s="7"/>
      <c r="AY190" s="6" t="b">
        <f>SUMIF(AS:AS,AS190,AP:AP)=100</f>
        <v>1</v>
      </c>
      <c r="AZ190" s="6" t="b">
        <f>SUMIF(AS:AS,AS190,AE:AE)/COUNTIF(AS:AS,AS190)=AE190</f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>C190&amp;" | "&amp;F190</f>
        <v>90MB1BJ0-C1BAY0 | 07004-00031700</v>
      </c>
      <c r="BE190" s="55" t="str">
        <f ca="1">C190&amp;" | "&amp;OFFSET($AF190,0,8-COUNTBLANK($AG190:$AN190))</f>
        <v>90MB1BJ0-C1BAY0 | 59MB1BJB-MB0A02S</v>
      </c>
      <c r="BF190" s="57">
        <f ca="1">IFERROR(VLOOKUP($BE190,$BD$5:$BF189,3,0)*$AE190,VLOOKUP($C190,Demanda!$A:$B,2,0)*$AE190)*IF(AT190="Phantom Alt",$BC190,TRUE)</f>
        <v>29000</v>
      </c>
      <c r="BG190" s="57">
        <f ca="1">BF190*(AP190/100)</f>
        <v>0</v>
      </c>
      <c r="BH190" s="57">
        <f>SUMIF(Invoice!A:A,F190,Invoice!B:B)</f>
        <v>0</v>
      </c>
      <c r="BI190" s="57">
        <f ca="1">SUMIF(AS:AS,AS190,BG:BG)</f>
        <v>29000</v>
      </c>
      <c r="BJ190" s="57">
        <f ca="1">MIN((BI190-SUMIF($AS$5:AS189,AS190,$BJ$5:BJ189)),MAX(0,BH190-SUMIF($F$5:F189,F190,$BJ$5:BJ189)))</f>
        <v>0</v>
      </c>
      <c r="BK190" s="57">
        <f ca="1">(-SUMIF(AS:AS,AS190,BG:BG)+SUMIF(AS:AS,AS190,BJ:BJ))*(AP190=100)*AR190</f>
        <v>0</v>
      </c>
      <c r="BL190" s="57">
        <f ca="1">MAX(0,SUMIF(Invoice!A:A,F190,Invoice!B:B)-SUMIF(F:F,F190,BJ:BJ))*(COUNTIF(F:F,F190)=COUNTIF($F$5:F190,F190))</f>
        <v>0</v>
      </c>
    </row>
    <row r="191" spans="1:64" hidden="1">
      <c r="A191" s="43">
        <v>190</v>
      </c>
      <c r="B191" s="35" t="s">
        <v>147</v>
      </c>
      <c r="C191" s="35" t="s">
        <v>146</v>
      </c>
      <c r="D191" s="35">
        <v>2</v>
      </c>
      <c r="E191" s="35">
        <v>670</v>
      </c>
      <c r="F191" s="64" t="s">
        <v>547</v>
      </c>
      <c r="G191" s="73" t="s">
        <v>548</v>
      </c>
      <c r="H191" s="35">
        <v>67</v>
      </c>
      <c r="I191" s="35" t="s">
        <v>55</v>
      </c>
      <c r="J191" s="35">
        <v>0</v>
      </c>
      <c r="K191" s="35" t="s">
        <v>508</v>
      </c>
      <c r="L191" s="35" t="s">
        <v>53</v>
      </c>
      <c r="M191" s="35">
        <v>29</v>
      </c>
      <c r="N191" s="35"/>
      <c r="O191" s="35">
        <v>1</v>
      </c>
      <c r="P191" s="35">
        <v>2</v>
      </c>
      <c r="Q191" s="35">
        <v>2</v>
      </c>
      <c r="R191" s="35" t="s">
        <v>122</v>
      </c>
      <c r="S191" s="35" t="s">
        <v>122</v>
      </c>
      <c r="T191" s="36">
        <v>44901</v>
      </c>
      <c r="U191" s="36">
        <v>2958465</v>
      </c>
      <c r="V191" s="35" t="s">
        <v>282</v>
      </c>
      <c r="W191" s="35" t="s">
        <v>145</v>
      </c>
      <c r="X191" s="35"/>
      <c r="Y191" s="35" t="s">
        <v>143</v>
      </c>
      <c r="Z191" s="35">
        <v>7589154</v>
      </c>
      <c r="AA191" s="35">
        <v>268</v>
      </c>
      <c r="AB191" s="35">
        <v>134</v>
      </c>
      <c r="AC191" s="35"/>
      <c r="AE191" s="51">
        <f>M191/O191</f>
        <v>29</v>
      </c>
      <c r="AG191" s="6" t="str">
        <f>C191</f>
        <v>90MB1BJ0-C1BAY0</v>
      </c>
      <c r="AH191" s="6" t="str">
        <f>IF($D191&lt;=AH$4,"",IF(AND($D190=AH$4,$D191&gt;AH$4),$F190,AH190))</f>
        <v>59MB1BJB-MB0A02S</v>
      </c>
      <c r="AI191" s="6" t="str">
        <f>IF($D191&lt;=AI$4,"",IF(AND($D190=AI$4,$D191&gt;AI$4),$F190,AI190))</f>
        <v/>
      </c>
      <c r="AJ191" s="6" t="str">
        <f>IF($D191&lt;=AJ$4,"",IF(AND($D190=AJ$4,$D191&gt;AJ$4),$F190,AJ190))</f>
        <v/>
      </c>
      <c r="AK191" s="6" t="str">
        <f>IF($D191&lt;=AK$4,"",IF(AND($D190=AK$4,$D191&gt;AK$4),$F190,AK190))</f>
        <v/>
      </c>
      <c r="AL191" s="6" t="str">
        <f>IF($D191&lt;=AL$4,"",IF(AND($D190=AL$4,$D191&gt;AL$4),$F190,AL190))</f>
        <v/>
      </c>
      <c r="AM191" s="6" t="str">
        <f>IF($D191&lt;=AM$4,"",IF(AND($D190=AM$4,$D191&gt;AM$4),$F190,AM190))</f>
        <v/>
      </c>
      <c r="AN191" s="6" t="str">
        <f>IF($D191&lt;=AN$4,"",IF(AND($D190=AN$4,$D191&gt;AN$4),$F190,AN190))</f>
        <v/>
      </c>
      <c r="AO191" s="6" t="str">
        <f>CONCATENATE(AG191," | ",AH191," | ",AI191," | ",AJ191," | ",AK191," | ",AL191," | ",AM191," | ",AN191)</f>
        <v xml:space="preserve">90MB1BJ0-C1BAY0 | 59MB1BJB-MB0A02S |  |  |  |  |  | </v>
      </c>
      <c r="AP191" s="6">
        <f>IF(TRIM(H191)="",100,J191)</f>
        <v>0</v>
      </c>
      <c r="AQ191" s="4"/>
      <c r="AR191" s="6" t="b">
        <f>NOT(TRIM(W191)&lt;&gt;"F")</f>
        <v>1</v>
      </c>
      <c r="AS191" s="6" t="str">
        <f>$B191&amp;" | "&amp;$AO191&amp;" | "&amp;IF(TRIM(H191)="","uniq"&amp;ROW(),TRIM(H191))</f>
        <v>461E | 90MB1BJ0-C1BAY0 | 59MB1BJB-MB0A02S |  |  |  |  |  |  | 67</v>
      </c>
      <c r="AT191" s="63">
        <f>IF(NOT(AR191),IF(TRIM($H191)="","Assembly","Phantom Alt"),VLOOKUP(F191,ZPCS04!B:G,6,0))</f>
        <v>609</v>
      </c>
      <c r="AU191" s="7"/>
      <c r="AV191" s="38">
        <f ca="1">IF(TRIM($W191)="F",OFFSET($A$5,MATCH($AS191,$AS$5:$AS191,0)-1,0),$A191)</f>
        <v>191</v>
      </c>
      <c r="AW191" s="38">
        <f ca="1">IFERROR(OFFSET(ZPCS04!$A$1,MATCH(F191,ZPCS04!B:B,0)-1,0),100)</f>
        <v>2</v>
      </c>
      <c r="AX191" s="7"/>
      <c r="AY191" s="6" t="b">
        <f>SUMIF(AS:AS,AS191,AP:AP)=100</f>
        <v>1</v>
      </c>
      <c r="AZ191" s="6" t="b">
        <f>SUMIF(AS:AS,AS191,AE:AE)/COUNTIF(AS:AS,AS191)=AE191</f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>C191&amp;" | "&amp;F191</f>
        <v>90MB1BJ0-C1BAY0 | 07G004068011</v>
      </c>
      <c r="BE191" s="55" t="str">
        <f ca="1">C191&amp;" | "&amp;OFFSET($AF191,0,8-COUNTBLANK($AG191:$AN191))</f>
        <v>90MB1BJ0-C1BAY0 | 59MB1BJB-MB0A02S</v>
      </c>
      <c r="BF191" s="57">
        <f ca="1">IFERROR(VLOOKUP($BE191,$BD$5:$BF190,3,0)*$AE191,VLOOKUP($C191,Demanda!$A:$B,2,0)*$AE191)*IF(AT191="Phantom Alt",$BC191,TRUE)</f>
        <v>29000</v>
      </c>
      <c r="BG191" s="57">
        <f ca="1">BF191*(AP191/100)</f>
        <v>0</v>
      </c>
      <c r="BH191" s="57">
        <f>SUMIF(Invoice!A:A,F191,Invoice!B:B)</f>
        <v>0</v>
      </c>
      <c r="BI191" s="57">
        <f ca="1">SUMIF(AS:AS,AS191,BG:BG)</f>
        <v>29000</v>
      </c>
      <c r="BJ191" s="57">
        <f ca="1">MIN((BI191-SUMIF($AS$5:AS190,AS191,$BJ$5:BJ190)),MAX(0,BH191-SUMIF($F$5:F190,F191,$BJ$5:BJ190)))</f>
        <v>0</v>
      </c>
      <c r="BK191" s="57">
        <f ca="1">(-SUMIF(AS:AS,AS191,BG:BG)+SUMIF(AS:AS,AS191,BJ:BJ))*(AP191=100)*AR191</f>
        <v>0</v>
      </c>
      <c r="BL191" s="57">
        <f ca="1">MAX(0,SUMIF(Invoice!A:A,F191,Invoice!B:B)-SUMIF(F:F,F191,BJ:BJ))*(COUNTIF(F:F,F191)=COUNTIF($F$5:F191,F191))</f>
        <v>0</v>
      </c>
    </row>
    <row r="192" spans="1:64" hidden="1">
      <c r="A192" s="43">
        <v>195</v>
      </c>
      <c r="B192" s="35" t="s">
        <v>147</v>
      </c>
      <c r="C192" s="35" t="s">
        <v>146</v>
      </c>
      <c r="D192" s="35">
        <v>2</v>
      </c>
      <c r="E192" s="35">
        <v>680</v>
      </c>
      <c r="F192" s="64" t="s">
        <v>557</v>
      </c>
      <c r="G192" s="73" t="s">
        <v>558</v>
      </c>
      <c r="H192" s="35">
        <v>68</v>
      </c>
      <c r="I192" s="35" t="s">
        <v>54</v>
      </c>
      <c r="J192" s="35">
        <v>100</v>
      </c>
      <c r="K192" s="35" t="s">
        <v>150</v>
      </c>
      <c r="L192" s="35" t="s">
        <v>53</v>
      </c>
      <c r="M192" s="35">
        <v>5</v>
      </c>
      <c r="N192" s="35">
        <v>5</v>
      </c>
      <c r="O192" s="35">
        <v>1</v>
      </c>
      <c r="P192" s="35">
        <v>2</v>
      </c>
      <c r="Q192" s="35">
        <v>1</v>
      </c>
      <c r="R192" s="35" t="s">
        <v>73</v>
      </c>
      <c r="S192" s="35" t="s">
        <v>73</v>
      </c>
      <c r="T192" s="36">
        <v>44901</v>
      </c>
      <c r="U192" s="36">
        <v>2958465</v>
      </c>
      <c r="V192" s="35" t="s">
        <v>282</v>
      </c>
      <c r="W192" s="35" t="s">
        <v>145</v>
      </c>
      <c r="X192" s="35"/>
      <c r="Y192" s="35" t="s">
        <v>143</v>
      </c>
      <c r="Z192" s="35">
        <v>7589154</v>
      </c>
      <c r="AA192" s="35">
        <v>272</v>
      </c>
      <c r="AB192" s="35">
        <v>136</v>
      </c>
      <c r="AC192" s="35"/>
      <c r="AE192" s="51">
        <f>M192/O192</f>
        <v>5</v>
      </c>
      <c r="AG192" s="6" t="str">
        <f>C192</f>
        <v>90MB1BJ0-C1BAY0</v>
      </c>
      <c r="AH192" s="6" t="str">
        <f>IF($D192&lt;=AH$4,"",IF(AND($D191=AH$4,$D192&gt;AH$4),$F191,AH191))</f>
        <v>59MB1BJB-MB0A02S</v>
      </c>
      <c r="AI192" s="6" t="str">
        <f>IF($D192&lt;=AI$4,"",IF(AND($D191=AI$4,$D192&gt;AI$4),$F191,AI191))</f>
        <v/>
      </c>
      <c r="AJ192" s="6" t="str">
        <f>IF($D192&lt;=AJ$4,"",IF(AND($D191=AJ$4,$D192&gt;AJ$4),$F191,AJ191))</f>
        <v/>
      </c>
      <c r="AK192" s="6" t="str">
        <f>IF($D192&lt;=AK$4,"",IF(AND($D191=AK$4,$D192&gt;AK$4),$F191,AK191))</f>
        <v/>
      </c>
      <c r="AL192" s="6" t="str">
        <f>IF($D192&lt;=AL$4,"",IF(AND($D191=AL$4,$D192&gt;AL$4),$F191,AL191))</f>
        <v/>
      </c>
      <c r="AM192" s="6" t="str">
        <f>IF($D192&lt;=AM$4,"",IF(AND($D191=AM$4,$D192&gt;AM$4),$F191,AM191))</f>
        <v/>
      </c>
      <c r="AN192" s="6" t="str">
        <f>IF($D192&lt;=AN$4,"",IF(AND($D191=AN$4,$D192&gt;AN$4),$F191,AN191))</f>
        <v/>
      </c>
      <c r="AO192" s="6" t="str">
        <f>CONCATENATE(AG192," | ",AH192," | ",AI192," | ",AJ192," | ",AK192," | ",AL192," | ",AM192," | ",AN192)</f>
        <v xml:space="preserve">90MB1BJ0-C1BAY0 | 59MB1BJB-MB0A02S |  |  |  |  |  | </v>
      </c>
      <c r="AP192" s="6">
        <f>IF(TRIM(H192)="",100,J192)</f>
        <v>100</v>
      </c>
      <c r="AQ192" s="4"/>
      <c r="AR192" s="6" t="b">
        <f>NOT(TRIM(W192)&lt;&gt;"F")</f>
        <v>1</v>
      </c>
      <c r="AS192" s="6" t="str">
        <f>$B192&amp;" | "&amp;$AO192&amp;" | "&amp;IF(TRIM(H192)="","uniq"&amp;ROW(),TRIM(H192))</f>
        <v>461E | 90MB1BJ0-C1BAY0 | 59MB1BJB-MB0A02S |  |  |  |  |  |  | 68</v>
      </c>
      <c r="AT192" s="63">
        <f>IF(NOT(AR192),IF(TRIM($H192)="","Assembly","Phantom Alt"),VLOOKUP(F192,ZPCS04!B:G,6,0))</f>
        <v>612</v>
      </c>
      <c r="AU192" s="7"/>
      <c r="AV192" s="38">
        <f ca="1">IF(TRIM($W192)="F",OFFSET($A$5,MATCH($AS192,$AS$5:$AS192,0)-1,0),$A192)</f>
        <v>195</v>
      </c>
      <c r="AW192" s="38">
        <f ca="1">IFERROR(OFFSET(ZPCS04!$A$1,MATCH(F192,ZPCS04!B:B,0)-1,0),100)</f>
        <v>1.9999999499999999</v>
      </c>
      <c r="AX192" s="7"/>
      <c r="AY192" s="6" t="b">
        <f>SUMIF(AS:AS,AS192,AP:AP)=100</f>
        <v>1</v>
      </c>
      <c r="AZ192" s="6" t="b">
        <f>SUMIF(AS:AS,AS192,AE:AE)/COUNTIF(AS:AS,AS192)=AE192</f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>C192&amp;" | "&amp;F192</f>
        <v>90MB1BJ0-C1BAY0 | 07G005788010</v>
      </c>
      <c r="BE192" s="55" t="str">
        <f ca="1">C192&amp;" | "&amp;OFFSET($AF192,0,8-COUNTBLANK($AG192:$AN192))</f>
        <v>90MB1BJ0-C1BAY0 | 59MB1BJB-MB0A02S</v>
      </c>
      <c r="BF192" s="57">
        <f ca="1">IFERROR(VLOOKUP($BE192,$BD$5:$BF191,3,0)*$AE192,VLOOKUP($C192,Demanda!$A:$B,2,0)*$AE192)*IF(AT192="Phantom Alt",$BC192,TRUE)</f>
        <v>5000</v>
      </c>
      <c r="BG192" s="57">
        <f ca="1">BF192*(AP192/100)</f>
        <v>5000</v>
      </c>
      <c r="BH192" s="57">
        <f>SUMIF(Invoice!A:A,F192,Invoice!B:B)</f>
        <v>5000</v>
      </c>
      <c r="BI192" s="57">
        <f ca="1">SUMIF(AS:AS,AS192,BG:BG)</f>
        <v>5000</v>
      </c>
      <c r="BJ192" s="57">
        <f ca="1">MIN((BI192-SUMIF($AS$5:AS191,AS192,$BJ$5:BJ191)),MAX(0,BH192-SUMIF($F$5:F191,F192,$BJ$5:BJ191)))</f>
        <v>5000</v>
      </c>
      <c r="BK192" s="57">
        <f ca="1">(-SUMIF(AS:AS,AS192,BG:BG)+SUMIF(AS:AS,AS192,BJ:BJ))*(AP192=100)*AR192</f>
        <v>0</v>
      </c>
      <c r="BL192" s="57">
        <f ca="1">MAX(0,SUMIF(Invoice!A:A,F192,Invoice!B:B)-SUMIF(F:F,F192,BJ:BJ))*(COUNTIF(F:F,F192)=COUNTIF($F$5:F192,F192))</f>
        <v>0</v>
      </c>
    </row>
    <row r="193" spans="1:64" hidden="1">
      <c r="A193" s="43">
        <v>192</v>
      </c>
      <c r="B193" s="35" t="s">
        <v>147</v>
      </c>
      <c r="C193" s="35" t="s">
        <v>146</v>
      </c>
      <c r="D193" s="35">
        <v>2</v>
      </c>
      <c r="E193" s="35">
        <v>680</v>
      </c>
      <c r="F193" s="64" t="s">
        <v>551</v>
      </c>
      <c r="G193" s="73" t="s">
        <v>552</v>
      </c>
      <c r="H193" s="35">
        <v>68</v>
      </c>
      <c r="I193" s="35" t="s">
        <v>55</v>
      </c>
      <c r="J193" s="35">
        <v>0</v>
      </c>
      <c r="K193" s="35" t="s">
        <v>150</v>
      </c>
      <c r="L193" s="35" t="s">
        <v>53</v>
      </c>
      <c r="M193" s="35">
        <v>5</v>
      </c>
      <c r="N193" s="35"/>
      <c r="O193" s="35">
        <v>1</v>
      </c>
      <c r="P193" s="35">
        <v>2</v>
      </c>
      <c r="Q193" s="35">
        <v>3</v>
      </c>
      <c r="R193" s="35" t="s">
        <v>73</v>
      </c>
      <c r="S193" s="35" t="s">
        <v>73</v>
      </c>
      <c r="T193" s="36">
        <v>44901</v>
      </c>
      <c r="U193" s="36">
        <v>2958465</v>
      </c>
      <c r="V193" s="35" t="s">
        <v>282</v>
      </c>
      <c r="W193" s="35" t="s">
        <v>145</v>
      </c>
      <c r="X193" s="35"/>
      <c r="Y193" s="35" t="s">
        <v>143</v>
      </c>
      <c r="Z193" s="35">
        <v>7589154</v>
      </c>
      <c r="AA193" s="35">
        <v>276</v>
      </c>
      <c r="AB193" s="35">
        <v>138</v>
      </c>
      <c r="AC193" s="35"/>
      <c r="AE193" s="51">
        <f>M193/O193</f>
        <v>5</v>
      </c>
      <c r="AG193" s="6" t="str">
        <f>C193</f>
        <v>90MB1BJ0-C1BAY0</v>
      </c>
      <c r="AH193" s="6" t="str">
        <f>IF($D193&lt;=AH$4,"",IF(AND($D192=AH$4,$D193&gt;AH$4),$F192,AH192))</f>
        <v>59MB1BJB-MB0A02S</v>
      </c>
      <c r="AI193" s="6" t="str">
        <f>IF($D193&lt;=AI$4,"",IF(AND($D192=AI$4,$D193&gt;AI$4),$F192,AI192))</f>
        <v/>
      </c>
      <c r="AJ193" s="6" t="str">
        <f>IF($D193&lt;=AJ$4,"",IF(AND($D192=AJ$4,$D193&gt;AJ$4),$F192,AJ192))</f>
        <v/>
      </c>
      <c r="AK193" s="6" t="str">
        <f>IF($D193&lt;=AK$4,"",IF(AND($D192=AK$4,$D193&gt;AK$4),$F192,AK192))</f>
        <v/>
      </c>
      <c r="AL193" s="6" t="str">
        <f>IF($D193&lt;=AL$4,"",IF(AND($D192=AL$4,$D193&gt;AL$4),$F192,AL192))</f>
        <v/>
      </c>
      <c r="AM193" s="6" t="str">
        <f>IF($D193&lt;=AM$4,"",IF(AND($D192=AM$4,$D193&gt;AM$4),$F192,AM192))</f>
        <v/>
      </c>
      <c r="AN193" s="6" t="str">
        <f>IF($D193&lt;=AN$4,"",IF(AND($D192=AN$4,$D193&gt;AN$4),$F192,AN192))</f>
        <v/>
      </c>
      <c r="AO193" s="6" t="str">
        <f>CONCATENATE(AG193," | ",AH193," | ",AI193," | ",AJ193," | ",AK193," | ",AL193," | ",AM193," | ",AN193)</f>
        <v xml:space="preserve">90MB1BJ0-C1BAY0 | 59MB1BJB-MB0A02S |  |  |  |  |  | </v>
      </c>
      <c r="AP193" s="6">
        <f>IF(TRIM(H193)="",100,J193)</f>
        <v>0</v>
      </c>
      <c r="AQ193" s="4"/>
      <c r="AR193" s="6" t="b">
        <f>NOT(TRIM(W193)&lt;&gt;"F")</f>
        <v>1</v>
      </c>
      <c r="AS193" s="6" t="str">
        <f>$B193&amp;" | "&amp;$AO193&amp;" | "&amp;IF(TRIM(H193)="","uniq"&amp;ROW(),TRIM(H193))</f>
        <v>461E | 90MB1BJ0-C1BAY0 | 59MB1BJB-MB0A02S |  |  |  |  |  |  | 68</v>
      </c>
      <c r="AT193" s="63">
        <f>IF(NOT(AR193),IF(TRIM($H193)="","Assembly","Phantom Alt"),VLOOKUP(F193,ZPCS04!B:G,6,0))</f>
        <v>612</v>
      </c>
      <c r="AU193" s="7"/>
      <c r="AV193" s="38">
        <f ca="1">IF(TRIM($W193)="F",OFFSET($A$5,MATCH($AS193,$AS$5:$AS193,0)-1,0),$A193)</f>
        <v>195</v>
      </c>
      <c r="AW193" s="38">
        <f ca="1">IFERROR(OFFSET(ZPCS04!$A$1,MATCH(F193,ZPCS04!B:B,0)-1,0),100)</f>
        <v>2</v>
      </c>
      <c r="AX193" s="7"/>
      <c r="AY193" s="6" t="b">
        <f>SUMIF(AS:AS,AS193,AP:AP)=100</f>
        <v>1</v>
      </c>
      <c r="AZ193" s="6" t="b">
        <f>SUMIF(AS:AS,AS193,AE:AE)/COUNTIF(AS:AS,AS193)=AE193</f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>C193&amp;" | "&amp;F193</f>
        <v>90MB1BJ0-C1BAY0 | 07005-00120200</v>
      </c>
      <c r="BE193" s="55" t="str">
        <f ca="1">C193&amp;" | "&amp;OFFSET($AF193,0,8-COUNTBLANK($AG193:$AN193))</f>
        <v>90MB1BJ0-C1BAY0 | 59MB1BJB-MB0A02S</v>
      </c>
      <c r="BF193" s="57">
        <f ca="1">IFERROR(VLOOKUP($BE193,$BD$5:$BF192,3,0)*$AE193,VLOOKUP($C193,Demanda!$A:$B,2,0)*$AE193)*IF(AT193="Phantom Alt",$BC193,TRUE)</f>
        <v>5000</v>
      </c>
      <c r="BG193" s="57">
        <f ca="1">BF193*(AP193/100)</f>
        <v>0</v>
      </c>
      <c r="BH193" s="57">
        <f>SUMIF(Invoice!A:A,F193,Invoice!B:B)</f>
        <v>0</v>
      </c>
      <c r="BI193" s="57">
        <f ca="1">SUMIF(AS:AS,AS193,BG:BG)</f>
        <v>5000</v>
      </c>
      <c r="BJ193" s="57">
        <f ca="1">MIN((BI193-SUMIF($AS$5:AS192,AS193,$BJ$5:BJ192)),MAX(0,BH193-SUMIF($F$5:F192,F193,$BJ$5:BJ192)))</f>
        <v>0</v>
      </c>
      <c r="BK193" s="57">
        <f ca="1">(-SUMIF(AS:AS,AS193,BG:BG)+SUMIF(AS:AS,AS193,BJ:BJ))*(AP193=100)*AR193</f>
        <v>0</v>
      </c>
      <c r="BL193" s="57">
        <f ca="1">MAX(0,SUMIF(Invoice!A:A,F193,Invoice!B:B)-SUMIF(F:F,F193,BJ:BJ))*(COUNTIF(F:F,F193)=COUNTIF($F$5:F193,F193))</f>
        <v>0</v>
      </c>
    </row>
    <row r="194" spans="1:64" hidden="1">
      <c r="A194" s="43">
        <v>193</v>
      </c>
      <c r="B194" s="35" t="s">
        <v>147</v>
      </c>
      <c r="C194" s="35" t="s">
        <v>146</v>
      </c>
      <c r="D194" s="35">
        <v>2</v>
      </c>
      <c r="E194" s="35">
        <v>680</v>
      </c>
      <c r="F194" s="64" t="s">
        <v>553</v>
      </c>
      <c r="G194" s="73" t="s">
        <v>554</v>
      </c>
      <c r="H194" s="35">
        <v>68</v>
      </c>
      <c r="I194" s="35" t="s">
        <v>55</v>
      </c>
      <c r="J194" s="35">
        <v>0</v>
      </c>
      <c r="K194" s="35" t="s">
        <v>150</v>
      </c>
      <c r="L194" s="35" t="s">
        <v>53</v>
      </c>
      <c r="M194" s="35">
        <v>5</v>
      </c>
      <c r="N194" s="35"/>
      <c r="O194" s="35">
        <v>1</v>
      </c>
      <c r="P194" s="35">
        <v>2</v>
      </c>
      <c r="Q194" s="35">
        <v>4</v>
      </c>
      <c r="R194" s="35" t="s">
        <v>73</v>
      </c>
      <c r="S194" s="35" t="s">
        <v>73</v>
      </c>
      <c r="T194" s="36">
        <v>44901</v>
      </c>
      <c r="U194" s="36">
        <v>2958465</v>
      </c>
      <c r="V194" s="35" t="s">
        <v>282</v>
      </c>
      <c r="W194" s="35" t="s">
        <v>145</v>
      </c>
      <c r="X194" s="35"/>
      <c r="Y194" s="35" t="s">
        <v>143</v>
      </c>
      <c r="Z194" s="35">
        <v>7589154</v>
      </c>
      <c r="AA194" s="35">
        <v>278</v>
      </c>
      <c r="AB194" s="35">
        <v>139</v>
      </c>
      <c r="AC194" s="35"/>
      <c r="AE194" s="51">
        <f>M194/O194</f>
        <v>5</v>
      </c>
      <c r="AG194" s="6" t="str">
        <f>C194</f>
        <v>90MB1BJ0-C1BAY0</v>
      </c>
      <c r="AH194" s="6" t="str">
        <f>IF($D194&lt;=AH$4,"",IF(AND($D193=AH$4,$D194&gt;AH$4),$F193,AH193))</f>
        <v>59MB1BJB-MB0A02S</v>
      </c>
      <c r="AI194" s="6" t="str">
        <f>IF($D194&lt;=AI$4,"",IF(AND($D193=AI$4,$D194&gt;AI$4),$F193,AI193))</f>
        <v/>
      </c>
      <c r="AJ194" s="6" t="str">
        <f>IF($D194&lt;=AJ$4,"",IF(AND($D193=AJ$4,$D194&gt;AJ$4),$F193,AJ193))</f>
        <v/>
      </c>
      <c r="AK194" s="6" t="str">
        <f>IF($D194&lt;=AK$4,"",IF(AND($D193=AK$4,$D194&gt;AK$4),$F193,AK193))</f>
        <v/>
      </c>
      <c r="AL194" s="6" t="str">
        <f>IF($D194&lt;=AL$4,"",IF(AND($D193=AL$4,$D194&gt;AL$4),$F193,AL193))</f>
        <v/>
      </c>
      <c r="AM194" s="6" t="str">
        <f>IF($D194&lt;=AM$4,"",IF(AND($D193=AM$4,$D194&gt;AM$4),$F193,AM193))</f>
        <v/>
      </c>
      <c r="AN194" s="6" t="str">
        <f>IF($D194&lt;=AN$4,"",IF(AND($D193=AN$4,$D194&gt;AN$4),$F193,AN193))</f>
        <v/>
      </c>
      <c r="AO194" s="6" t="str">
        <f>CONCATENATE(AG194," | ",AH194," | ",AI194," | ",AJ194," | ",AK194," | ",AL194," | ",AM194," | ",AN194)</f>
        <v xml:space="preserve">90MB1BJ0-C1BAY0 | 59MB1BJB-MB0A02S |  |  |  |  |  | </v>
      </c>
      <c r="AP194" s="6">
        <f>IF(TRIM(H194)="",100,J194)</f>
        <v>0</v>
      </c>
      <c r="AQ194" s="4"/>
      <c r="AR194" s="6" t="b">
        <f>NOT(TRIM(W194)&lt;&gt;"F")</f>
        <v>1</v>
      </c>
      <c r="AS194" s="6" t="str">
        <f>$B194&amp;" | "&amp;$AO194&amp;" | "&amp;IF(TRIM(H194)="","uniq"&amp;ROW(),TRIM(H194))</f>
        <v>461E | 90MB1BJ0-C1BAY0 | 59MB1BJB-MB0A02S |  |  |  |  |  |  | 68</v>
      </c>
      <c r="AT194" s="63">
        <f>IF(NOT(AR194),IF(TRIM($H194)="","Assembly","Phantom Alt"),VLOOKUP(F194,ZPCS04!B:G,6,0))</f>
        <v>612</v>
      </c>
      <c r="AU194" s="7"/>
      <c r="AV194" s="38">
        <f ca="1">IF(TRIM($W194)="F",OFFSET($A$5,MATCH($AS194,$AS$5:$AS194,0)-1,0),$A194)</f>
        <v>195</v>
      </c>
      <c r="AW194" s="38">
        <f ca="1">IFERROR(OFFSET(ZPCS04!$A$1,MATCH(F194,ZPCS04!B:B,0)-1,0),100)</f>
        <v>2</v>
      </c>
      <c r="AX194" s="7"/>
      <c r="AY194" s="6" t="b">
        <f>SUMIF(AS:AS,AS194,AP:AP)=100</f>
        <v>1</v>
      </c>
      <c r="AZ194" s="6" t="b">
        <f>SUMIF(AS:AS,AS194,AE:AE)/COUNTIF(AS:AS,AS194)=AE194</f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>C194&amp;" | "&amp;F194</f>
        <v>90MB1BJ0-C1BAY0 | 07005-03600000</v>
      </c>
      <c r="BE194" s="55" t="str">
        <f ca="1">C194&amp;" | "&amp;OFFSET($AF194,0,8-COUNTBLANK($AG194:$AN194))</f>
        <v>90MB1BJ0-C1BAY0 | 59MB1BJB-MB0A02S</v>
      </c>
      <c r="BF194" s="57">
        <f ca="1">IFERROR(VLOOKUP($BE194,$BD$5:$BF193,3,0)*$AE194,VLOOKUP($C194,Demanda!$A:$B,2,0)*$AE194)*IF(AT194="Phantom Alt",$BC194,TRUE)</f>
        <v>5000</v>
      </c>
      <c r="BG194" s="57">
        <f ca="1">BF194*(AP194/100)</f>
        <v>0</v>
      </c>
      <c r="BH194" s="57">
        <f>SUMIF(Invoice!A:A,F194,Invoice!B:B)</f>
        <v>0</v>
      </c>
      <c r="BI194" s="57">
        <f ca="1">SUMIF(AS:AS,AS194,BG:BG)</f>
        <v>5000</v>
      </c>
      <c r="BJ194" s="57">
        <f ca="1">MIN((BI194-SUMIF($AS$5:AS193,AS194,$BJ$5:BJ193)),MAX(0,BH194-SUMIF($F$5:F193,F194,$BJ$5:BJ193)))</f>
        <v>0</v>
      </c>
      <c r="BK194" s="57">
        <f ca="1">(-SUMIF(AS:AS,AS194,BG:BG)+SUMIF(AS:AS,AS194,BJ:BJ))*(AP194=100)*AR194</f>
        <v>0</v>
      </c>
      <c r="BL194" s="57">
        <f ca="1">MAX(0,SUMIF(Invoice!A:A,F194,Invoice!B:B)-SUMIF(F:F,F194,BJ:BJ))*(COUNTIF(F:F,F194)=COUNTIF($F$5:F194,F194))</f>
        <v>0</v>
      </c>
    </row>
    <row r="195" spans="1:64" hidden="1">
      <c r="A195" s="43">
        <v>194</v>
      </c>
      <c r="B195" s="35" t="s">
        <v>147</v>
      </c>
      <c r="C195" s="35" t="s">
        <v>146</v>
      </c>
      <c r="D195" s="35">
        <v>2</v>
      </c>
      <c r="E195" s="35">
        <v>680</v>
      </c>
      <c r="F195" s="64" t="s">
        <v>555</v>
      </c>
      <c r="G195" s="73" t="s">
        <v>556</v>
      </c>
      <c r="H195" s="35">
        <v>68</v>
      </c>
      <c r="I195" s="35" t="s">
        <v>55</v>
      </c>
      <c r="J195" s="35">
        <v>0</v>
      </c>
      <c r="K195" s="35" t="s">
        <v>414</v>
      </c>
      <c r="L195" s="35" t="s">
        <v>53</v>
      </c>
      <c r="M195" s="35">
        <v>5</v>
      </c>
      <c r="N195" s="35"/>
      <c r="O195" s="35">
        <v>1</v>
      </c>
      <c r="P195" s="35">
        <v>2</v>
      </c>
      <c r="Q195" s="35">
        <v>2</v>
      </c>
      <c r="R195" s="35" t="s">
        <v>122</v>
      </c>
      <c r="S195" s="35" t="s">
        <v>122</v>
      </c>
      <c r="T195" s="36">
        <v>44901</v>
      </c>
      <c r="U195" s="36">
        <v>2958465</v>
      </c>
      <c r="V195" s="35" t="s">
        <v>282</v>
      </c>
      <c r="W195" s="35" t="s">
        <v>145</v>
      </c>
      <c r="X195" s="35"/>
      <c r="Y195" s="35" t="s">
        <v>143</v>
      </c>
      <c r="Z195" s="35">
        <v>7589154</v>
      </c>
      <c r="AA195" s="35">
        <v>274</v>
      </c>
      <c r="AB195" s="35">
        <v>137</v>
      </c>
      <c r="AC195" s="35"/>
      <c r="AE195" s="51">
        <f>M195/O195</f>
        <v>5</v>
      </c>
      <c r="AG195" s="6" t="str">
        <f>C195</f>
        <v>90MB1BJ0-C1BAY0</v>
      </c>
      <c r="AH195" s="6" t="str">
        <f>IF($D195&lt;=AH$4,"",IF(AND($D194=AH$4,$D195&gt;AH$4),$F194,AH194))</f>
        <v>59MB1BJB-MB0A02S</v>
      </c>
      <c r="AI195" s="6" t="str">
        <f>IF($D195&lt;=AI$4,"",IF(AND($D194=AI$4,$D195&gt;AI$4),$F194,AI194))</f>
        <v/>
      </c>
      <c r="AJ195" s="6" t="str">
        <f>IF($D195&lt;=AJ$4,"",IF(AND($D194=AJ$4,$D195&gt;AJ$4),$F194,AJ194))</f>
        <v/>
      </c>
      <c r="AK195" s="6" t="str">
        <f>IF($D195&lt;=AK$4,"",IF(AND($D194=AK$4,$D195&gt;AK$4),$F194,AK194))</f>
        <v/>
      </c>
      <c r="AL195" s="6" t="str">
        <f>IF($D195&lt;=AL$4,"",IF(AND($D194=AL$4,$D195&gt;AL$4),$F194,AL194))</f>
        <v/>
      </c>
      <c r="AM195" s="6" t="str">
        <f>IF($D195&lt;=AM$4,"",IF(AND($D194=AM$4,$D195&gt;AM$4),$F194,AM194))</f>
        <v/>
      </c>
      <c r="AN195" s="6" t="str">
        <f>IF($D195&lt;=AN$4,"",IF(AND($D194=AN$4,$D195&gt;AN$4),$F194,AN194))</f>
        <v/>
      </c>
      <c r="AO195" s="6" t="str">
        <f>CONCATENATE(AG195," | ",AH195," | ",AI195," | ",AJ195," | ",AK195," | ",AL195," | ",AM195," | ",AN195)</f>
        <v xml:space="preserve">90MB1BJ0-C1BAY0 | 59MB1BJB-MB0A02S |  |  |  |  |  | </v>
      </c>
      <c r="AP195" s="6">
        <f>IF(TRIM(H195)="",100,J195)</f>
        <v>0</v>
      </c>
      <c r="AQ195" s="4"/>
      <c r="AR195" s="6" t="b">
        <f>NOT(TRIM(W195)&lt;&gt;"F")</f>
        <v>1</v>
      </c>
      <c r="AS195" s="6" t="str">
        <f>$B195&amp;" | "&amp;$AO195&amp;" | "&amp;IF(TRIM(H195)="","uniq"&amp;ROW(),TRIM(H195))</f>
        <v>461E | 90MB1BJ0-C1BAY0 | 59MB1BJB-MB0A02S |  |  |  |  |  |  | 68</v>
      </c>
      <c r="AT195" s="63">
        <f>IF(NOT(AR195),IF(TRIM($H195)="","Assembly","Phantom Alt"),VLOOKUP(F195,ZPCS04!B:G,6,0))</f>
        <v>612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</v>
      </c>
      <c r="AX195" s="7"/>
      <c r="AY195" s="6" t="b">
        <f>SUMIF(AS:AS,AS195,AP:AP)=100</f>
        <v>1</v>
      </c>
      <c r="AZ195" s="6" t="b">
        <f>SUMIF(AS:AS,AS195,AE:AE)/COUNTIF(AS:AS,AS195)=AE195</f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>C195&amp;" | "&amp;F195</f>
        <v>90MB1BJ0-C1BAY0 | 07G005401110</v>
      </c>
      <c r="BE195" s="55" t="str">
        <f ca="1">C195&amp;" | "&amp;OFFSET($AF195,0,8-COUNTBLANK($AG195:$AN195))</f>
        <v>90MB1BJ0-C1BAY0 | 59MB1BJB-MB0A02S</v>
      </c>
      <c r="BF195" s="57">
        <f ca="1">IFERROR(VLOOKUP($BE195,$BD$5:$BF194,3,0)*$AE195,VLOOKUP($C195,Demanda!$A:$B,2,0)*$AE195)*IF(AT195="Phantom Alt",$BC195,TRUE)</f>
        <v>5000</v>
      </c>
      <c r="BG195" s="57">
        <f ca="1">BF195*(AP195/100)</f>
        <v>0</v>
      </c>
      <c r="BH195" s="57">
        <f>SUMIF(Invoice!A:A,F195,Invoice!B:B)</f>
        <v>0</v>
      </c>
      <c r="BI195" s="57">
        <f ca="1">SUMIF(AS:AS,AS195,BG:BG)</f>
        <v>5000</v>
      </c>
      <c r="BJ195" s="57">
        <f ca="1">MIN((BI195-SUMIF($AS$5:AS194,AS195,$BJ$5:BJ194)),MAX(0,BH195-SUMIF($F$5:F194,F195,$BJ$5:BJ194)))</f>
        <v>0</v>
      </c>
      <c r="BK195" s="57">
        <f ca="1">(-SUMIF(AS:AS,AS195,BG:BG)+SUMIF(AS:AS,AS195,BJ:BJ))*(AP195=100)*AR195</f>
        <v>0</v>
      </c>
      <c r="BL195" s="57">
        <f ca="1">MAX(0,SUMIF(Invoice!A:A,F195,Invoice!B:B)-SUMIF(F:F,F195,BJ:BJ))*(COUNTIF(F:F,F195)=COUNTIF($F$5:F195,F195))</f>
        <v>0</v>
      </c>
    </row>
    <row r="196" spans="1:64" hidden="1">
      <c r="A196" s="43">
        <v>196</v>
      </c>
      <c r="B196" s="35" t="s">
        <v>147</v>
      </c>
      <c r="C196" s="35" t="s">
        <v>146</v>
      </c>
      <c r="D196" s="35">
        <v>2</v>
      </c>
      <c r="E196" s="35">
        <v>690</v>
      </c>
      <c r="F196" s="64" t="s">
        <v>559</v>
      </c>
      <c r="G196" s="73" t="s">
        <v>560</v>
      </c>
      <c r="H196" s="35">
        <v>69</v>
      </c>
      <c r="I196" s="35" t="s">
        <v>55</v>
      </c>
      <c r="J196" s="35">
        <v>0</v>
      </c>
      <c r="K196" s="35" t="s">
        <v>150</v>
      </c>
      <c r="L196" s="35" t="s">
        <v>53</v>
      </c>
      <c r="M196" s="35">
        <v>2</v>
      </c>
      <c r="N196" s="35"/>
      <c r="O196" s="35">
        <v>1</v>
      </c>
      <c r="P196" s="35">
        <v>2</v>
      </c>
      <c r="Q196" s="35">
        <v>3</v>
      </c>
      <c r="R196" s="35" t="s">
        <v>73</v>
      </c>
      <c r="S196" s="35" t="s">
        <v>73</v>
      </c>
      <c r="T196" s="36">
        <v>44901</v>
      </c>
      <c r="U196" s="36">
        <v>2958465</v>
      </c>
      <c r="V196" s="35" t="s">
        <v>282</v>
      </c>
      <c r="W196" s="35" t="s">
        <v>145</v>
      </c>
      <c r="X196" s="35"/>
      <c r="Y196" s="35" t="s">
        <v>143</v>
      </c>
      <c r="Z196" s="35">
        <v>7589154</v>
      </c>
      <c r="AA196" s="35">
        <v>284</v>
      </c>
      <c r="AB196" s="35">
        <v>142</v>
      </c>
      <c r="AC196" s="35"/>
      <c r="AE196" s="51">
        <f>M196/O196</f>
        <v>2</v>
      </c>
      <c r="AG196" s="6" t="str">
        <f>C196</f>
        <v>90MB1BJ0-C1BAY0</v>
      </c>
      <c r="AH196" s="6" t="str">
        <f>IF($D196&lt;=AH$4,"",IF(AND($D195=AH$4,$D196&gt;AH$4),$F195,AH195))</f>
        <v>59MB1BJB-MB0A02S</v>
      </c>
      <c r="AI196" s="6" t="str">
        <f>IF($D196&lt;=AI$4,"",IF(AND($D195=AI$4,$D196&gt;AI$4),$F195,AI195))</f>
        <v/>
      </c>
      <c r="AJ196" s="6" t="str">
        <f>IF($D196&lt;=AJ$4,"",IF(AND($D195=AJ$4,$D196&gt;AJ$4),$F195,AJ195))</f>
        <v/>
      </c>
      <c r="AK196" s="6" t="str">
        <f>IF($D196&lt;=AK$4,"",IF(AND($D195=AK$4,$D196&gt;AK$4),$F195,AK195))</f>
        <v/>
      </c>
      <c r="AL196" s="6" t="str">
        <f>IF($D196&lt;=AL$4,"",IF(AND($D195=AL$4,$D196&gt;AL$4),$F195,AL195))</f>
        <v/>
      </c>
      <c r="AM196" s="6" t="str">
        <f>IF($D196&lt;=AM$4,"",IF(AND($D195=AM$4,$D196&gt;AM$4),$F195,AM195))</f>
        <v/>
      </c>
      <c r="AN196" s="6" t="str">
        <f>IF($D196&lt;=AN$4,"",IF(AND($D195=AN$4,$D196&gt;AN$4),$F195,AN195))</f>
        <v/>
      </c>
      <c r="AO196" s="6" t="str">
        <f>CONCATENATE(AG196," | ",AH196," | ",AI196," | ",AJ196," | ",AK196," | ",AL196," | ",AM196," | ",AN196)</f>
        <v xml:space="preserve">90MB1BJ0-C1BAY0 | 59MB1BJB-MB0A02S |  |  |  |  |  | </v>
      </c>
      <c r="AP196" s="6">
        <f>IF(TRIM(H196)="",100,J196)</f>
        <v>0</v>
      </c>
      <c r="AQ196" s="4"/>
      <c r="AR196" s="6" t="b">
        <f>NOT(TRIM(W196)&lt;&gt;"F")</f>
        <v>1</v>
      </c>
      <c r="AS196" s="6" t="str">
        <f>$B196&amp;" | "&amp;$AO196&amp;" | "&amp;IF(TRIM(H196)="","uniq"&amp;ROW(),TRIM(H196))</f>
        <v>461E | 90MB1BJ0-C1BAY0 | 59MB1BJB-MB0A02S |  |  |  |  |  |  | 69</v>
      </c>
      <c r="AT196" s="63">
        <f>IF(NOT(AR196),IF(TRIM($H196)="","Assembly","Phantom Alt"),VLOOKUP(F196,ZPCS04!B:G,6,0))</f>
        <v>613</v>
      </c>
      <c r="AU196" s="7"/>
      <c r="AV196" s="38">
        <f ca="1">IF(TRIM($W196)="F",OFFSET($A$5,MATCH($AS196,$AS$5:$AS196,0)-1,0),$A196)</f>
        <v>196</v>
      </c>
      <c r="AW196" s="38">
        <f ca="1">IFERROR(OFFSET(ZPCS04!$A$1,MATCH(F196,ZPCS04!B:B,0)-1,0),100)</f>
        <v>1.9999999800000001</v>
      </c>
      <c r="AX196" s="7"/>
      <c r="AY196" s="6" t="b">
        <f>SUMIF(AS:AS,AS196,AP:AP)=100</f>
        <v>1</v>
      </c>
      <c r="AZ196" s="6" t="b">
        <f>SUMIF(AS:AS,AS196,AE:AE)/COUNTIF(AS:AS,AS196)=AE196</f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>C196&amp;" | "&amp;F196</f>
        <v>90MB1BJ0-C1BAY0 | 07005-03970000</v>
      </c>
      <c r="BE196" s="55" t="str">
        <f ca="1">C196&amp;" | "&amp;OFFSET($AF196,0,8-COUNTBLANK($AG196:$AN196))</f>
        <v>90MB1BJ0-C1BAY0 | 59MB1BJB-MB0A02S</v>
      </c>
      <c r="BF196" s="57">
        <f ca="1">IFERROR(VLOOKUP($BE196,$BD$5:$BF195,3,0)*$AE196,VLOOKUP($C196,Demanda!$A:$B,2,0)*$AE196)*IF(AT196="Phantom Alt",$BC196,TRUE)</f>
        <v>2000</v>
      </c>
      <c r="BG196" s="57">
        <f ca="1">BF196*(AP196/100)</f>
        <v>0</v>
      </c>
      <c r="BH196" s="57">
        <f>SUMIF(Invoice!A:A,F196,Invoice!B:B)</f>
        <v>2000</v>
      </c>
      <c r="BI196" s="57">
        <f ca="1">SUMIF(AS:AS,AS196,BG:BG)</f>
        <v>2000</v>
      </c>
      <c r="BJ196" s="57">
        <f ca="1">MIN((BI196-SUMIF($AS$5:AS195,AS196,$BJ$5:BJ195)),MAX(0,BH196-SUMIF($F$5:F195,F196,$BJ$5:BJ195)))</f>
        <v>2000</v>
      </c>
      <c r="BK196" s="57">
        <f ca="1">(-SUMIF(AS:AS,AS196,BG:BG)+SUMIF(AS:AS,AS196,BJ:BJ))*(AP196=100)*AR196</f>
        <v>0</v>
      </c>
      <c r="BL196" s="57">
        <f ca="1">MAX(0,SUMIF(Invoice!A:A,F196,Invoice!B:B)-SUMIF(F:F,F196,BJ:BJ))*(COUNTIF(F:F,F196)=COUNTIF($F$5:F196,F196))</f>
        <v>0</v>
      </c>
    </row>
    <row r="197" spans="1:64" hidden="1">
      <c r="A197" s="43">
        <v>197</v>
      </c>
      <c r="B197" s="35" t="s">
        <v>147</v>
      </c>
      <c r="C197" s="35" t="s">
        <v>146</v>
      </c>
      <c r="D197" s="35">
        <v>2</v>
      </c>
      <c r="E197" s="35">
        <v>690</v>
      </c>
      <c r="F197" s="64" t="s">
        <v>561</v>
      </c>
      <c r="G197" s="73" t="s">
        <v>562</v>
      </c>
      <c r="H197" s="35">
        <v>69</v>
      </c>
      <c r="I197" s="35" t="s">
        <v>55</v>
      </c>
      <c r="J197" s="35">
        <v>0</v>
      </c>
      <c r="K197" s="35" t="s">
        <v>150</v>
      </c>
      <c r="L197" s="35" t="s">
        <v>53</v>
      </c>
      <c r="M197" s="35">
        <v>2</v>
      </c>
      <c r="N197" s="35"/>
      <c r="O197" s="35">
        <v>1</v>
      </c>
      <c r="P197" s="35">
        <v>2</v>
      </c>
      <c r="Q197" s="35">
        <v>2</v>
      </c>
      <c r="R197" s="35" t="s">
        <v>73</v>
      </c>
      <c r="S197" s="35" t="s">
        <v>73</v>
      </c>
      <c r="T197" s="36">
        <v>44901</v>
      </c>
      <c r="U197" s="36">
        <v>2958465</v>
      </c>
      <c r="V197" s="35" t="s">
        <v>282</v>
      </c>
      <c r="W197" s="35" t="s">
        <v>145</v>
      </c>
      <c r="X197" s="35"/>
      <c r="Y197" s="35" t="s">
        <v>143</v>
      </c>
      <c r="Z197" s="35">
        <v>7589154</v>
      </c>
      <c r="AA197" s="35">
        <v>282</v>
      </c>
      <c r="AB197" s="35">
        <v>141</v>
      </c>
      <c r="AC197" s="35"/>
      <c r="AE197" s="51">
        <f>M197/O197</f>
        <v>2</v>
      </c>
      <c r="AG197" s="6" t="str">
        <f>C197</f>
        <v>90MB1BJ0-C1BAY0</v>
      </c>
      <c r="AH197" s="6" t="str">
        <f>IF($D197&lt;=AH$4,"",IF(AND($D196=AH$4,$D197&gt;AH$4),$F196,AH196))</f>
        <v>59MB1BJB-MB0A02S</v>
      </c>
      <c r="AI197" s="6" t="str">
        <f>IF($D197&lt;=AI$4,"",IF(AND($D196=AI$4,$D197&gt;AI$4),$F196,AI196))</f>
        <v/>
      </c>
      <c r="AJ197" s="6" t="str">
        <f>IF($D197&lt;=AJ$4,"",IF(AND($D196=AJ$4,$D197&gt;AJ$4),$F196,AJ196))</f>
        <v/>
      </c>
      <c r="AK197" s="6" t="str">
        <f>IF($D197&lt;=AK$4,"",IF(AND($D196=AK$4,$D197&gt;AK$4),$F196,AK196))</f>
        <v/>
      </c>
      <c r="AL197" s="6" t="str">
        <f>IF($D197&lt;=AL$4,"",IF(AND($D196=AL$4,$D197&gt;AL$4),$F196,AL196))</f>
        <v/>
      </c>
      <c r="AM197" s="6" t="str">
        <f>IF($D197&lt;=AM$4,"",IF(AND($D196=AM$4,$D197&gt;AM$4),$F196,AM196))</f>
        <v/>
      </c>
      <c r="AN197" s="6" t="str">
        <f>IF($D197&lt;=AN$4,"",IF(AND($D196=AN$4,$D197&gt;AN$4),$F196,AN196))</f>
        <v/>
      </c>
      <c r="AO197" s="6" t="str">
        <f>CONCATENATE(AG197," | ",AH197," | ",AI197," | ",AJ197," | ",AK197," | ",AL197," | ",AM197," | ",AN197)</f>
        <v xml:space="preserve">90MB1BJ0-C1BAY0 | 59MB1BJB-MB0A02S |  |  |  |  |  | </v>
      </c>
      <c r="AP197" s="6">
        <f>IF(TRIM(H197)="",100,J197)</f>
        <v>0</v>
      </c>
      <c r="AQ197" s="4"/>
      <c r="AR197" s="6" t="b">
        <f>NOT(TRIM(W197)&lt;&gt;"F")</f>
        <v>1</v>
      </c>
      <c r="AS197" s="6" t="str">
        <f>$B197&amp;" | "&amp;$AO197&amp;" | "&amp;IF(TRIM(H197)="","uniq"&amp;ROW(),TRIM(H197))</f>
        <v>461E | 90MB1BJ0-C1BAY0 | 59MB1BJB-MB0A02S |  |  |  |  |  |  | 69</v>
      </c>
      <c r="AT197" s="63">
        <f>IF(NOT(AR197),IF(TRIM($H197)="","Assembly","Phantom Alt"),VLOOKUP(F197,ZPCS04!B:G,6,0))</f>
        <v>613</v>
      </c>
      <c r="AU197" s="7"/>
      <c r="AV197" s="38">
        <f ca="1">IF(TRIM($W197)="F",OFFSET($A$5,MATCH($AS197,$AS$5:$AS197,0)-1,0),$A197)</f>
        <v>196</v>
      </c>
      <c r="AW197" s="38">
        <f ca="1">IFERROR(OFFSET(ZPCS04!$A$1,MATCH(F197,ZPCS04!B:B,0)-1,0),100)</f>
        <v>2</v>
      </c>
      <c r="AX197" s="7"/>
      <c r="AY197" s="6" t="b">
        <f>SUMIF(AS:AS,AS197,AP:AP)=100</f>
        <v>1</v>
      </c>
      <c r="AZ197" s="6" t="b">
        <f>SUMIF(AS:AS,AS197,AE:AE)/COUNTIF(AS:AS,AS197)=AE197</f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>C197&amp;" | "&amp;F197</f>
        <v>90MB1BJ0-C1BAY0 | 07005-03980000</v>
      </c>
      <c r="BE197" s="55" t="str">
        <f ca="1">C197&amp;" | "&amp;OFFSET($AF197,0,8-COUNTBLANK($AG197:$AN197))</f>
        <v>90MB1BJ0-C1BAY0 | 59MB1BJB-MB0A02S</v>
      </c>
      <c r="BF197" s="57">
        <f ca="1">IFERROR(VLOOKUP($BE197,$BD$5:$BF196,3,0)*$AE197,VLOOKUP($C197,Demanda!$A:$B,2,0)*$AE197)*IF(AT197="Phantom Alt",$BC197,TRUE)</f>
        <v>2000</v>
      </c>
      <c r="BG197" s="57">
        <f ca="1">BF197*(AP197/100)</f>
        <v>0</v>
      </c>
      <c r="BH197" s="57">
        <f>SUMIF(Invoice!A:A,F197,Invoice!B:B)</f>
        <v>0</v>
      </c>
      <c r="BI197" s="57">
        <f ca="1">SUMIF(AS:AS,AS197,BG:BG)</f>
        <v>2000</v>
      </c>
      <c r="BJ197" s="57">
        <f ca="1">MIN((BI197-SUMIF($AS$5:AS196,AS197,$BJ$5:BJ196)),MAX(0,BH197-SUMIF($F$5:F196,F197,$BJ$5:BJ196)))</f>
        <v>0</v>
      </c>
      <c r="BK197" s="57">
        <f ca="1">(-SUMIF(AS:AS,AS197,BG:BG)+SUMIF(AS:AS,AS197,BJ:BJ))*(AP197=100)*AR197</f>
        <v>0</v>
      </c>
      <c r="BL197" s="57">
        <f ca="1">MAX(0,SUMIF(Invoice!A:A,F197,Invoice!B:B)-SUMIF(F:F,F197,BJ:BJ))*(COUNTIF(F:F,F197)=COUNTIF($F$5:F197,F197))</f>
        <v>0</v>
      </c>
    </row>
    <row r="198" spans="1:64" hidden="1">
      <c r="A198" s="43">
        <v>198</v>
      </c>
      <c r="B198" s="35" t="s">
        <v>147</v>
      </c>
      <c r="C198" s="35" t="s">
        <v>146</v>
      </c>
      <c r="D198" s="35">
        <v>2</v>
      </c>
      <c r="E198" s="35">
        <v>690</v>
      </c>
      <c r="F198" s="64" t="s">
        <v>563</v>
      </c>
      <c r="G198" s="73" t="s">
        <v>564</v>
      </c>
      <c r="H198" s="35">
        <v>69</v>
      </c>
      <c r="I198" s="35" t="s">
        <v>54</v>
      </c>
      <c r="J198" s="35">
        <v>100</v>
      </c>
      <c r="K198" s="35" t="s">
        <v>150</v>
      </c>
      <c r="L198" s="35" t="s">
        <v>53</v>
      </c>
      <c r="M198" s="35">
        <v>2</v>
      </c>
      <c r="N198" s="35">
        <v>2</v>
      </c>
      <c r="O198" s="35">
        <v>1</v>
      </c>
      <c r="P198" s="35">
        <v>2</v>
      </c>
      <c r="Q198" s="35">
        <v>1</v>
      </c>
      <c r="R198" s="35" t="s">
        <v>73</v>
      </c>
      <c r="S198" s="35" t="s">
        <v>73</v>
      </c>
      <c r="T198" s="36">
        <v>44901</v>
      </c>
      <c r="U198" s="36">
        <v>2958465</v>
      </c>
      <c r="V198" s="35" t="s">
        <v>282</v>
      </c>
      <c r="W198" s="35" t="s">
        <v>145</v>
      </c>
      <c r="X198" s="35"/>
      <c r="Y198" s="35" t="s">
        <v>143</v>
      </c>
      <c r="Z198" s="35">
        <v>7589154</v>
      </c>
      <c r="AA198" s="35">
        <v>280</v>
      </c>
      <c r="AB198" s="35">
        <v>140</v>
      </c>
      <c r="AC198" s="35"/>
      <c r="AE198" s="51">
        <f>M198/O198</f>
        <v>2</v>
      </c>
      <c r="AG198" s="6" t="str">
        <f>C198</f>
        <v>90MB1BJ0-C1BAY0</v>
      </c>
      <c r="AH198" s="6" t="str">
        <f>IF($D198&lt;=AH$4,"",IF(AND($D197=AH$4,$D198&gt;AH$4),$F197,AH197))</f>
        <v>59MB1BJB-MB0A02S</v>
      </c>
      <c r="AI198" s="6" t="str">
        <f>IF($D198&lt;=AI$4,"",IF(AND($D197=AI$4,$D198&gt;AI$4),$F197,AI197))</f>
        <v/>
      </c>
      <c r="AJ198" s="6" t="str">
        <f>IF($D198&lt;=AJ$4,"",IF(AND($D197=AJ$4,$D198&gt;AJ$4),$F197,AJ197))</f>
        <v/>
      </c>
      <c r="AK198" s="6" t="str">
        <f>IF($D198&lt;=AK$4,"",IF(AND($D197=AK$4,$D198&gt;AK$4),$F197,AK197))</f>
        <v/>
      </c>
      <c r="AL198" s="6" t="str">
        <f>IF($D198&lt;=AL$4,"",IF(AND($D197=AL$4,$D198&gt;AL$4),$F197,AL197))</f>
        <v/>
      </c>
      <c r="AM198" s="6" t="str">
        <f>IF($D198&lt;=AM$4,"",IF(AND($D197=AM$4,$D198&gt;AM$4),$F197,AM197))</f>
        <v/>
      </c>
      <c r="AN198" s="6" t="str">
        <f>IF($D198&lt;=AN$4,"",IF(AND($D197=AN$4,$D198&gt;AN$4),$F197,AN197))</f>
        <v/>
      </c>
      <c r="AO198" s="6" t="str">
        <f>CONCATENATE(AG198," | ",AH198," | ",AI198," | ",AJ198," | ",AK198," | ",AL198," | ",AM198," | ",AN198)</f>
        <v xml:space="preserve">90MB1BJ0-C1BAY0 | 59MB1BJB-MB0A02S |  |  |  |  |  | </v>
      </c>
      <c r="AP198" s="6">
        <f>IF(TRIM(H198)="",100,J198)</f>
        <v>100</v>
      </c>
      <c r="AQ198" s="4"/>
      <c r="AR198" s="6" t="b">
        <f>NOT(TRIM(W198)&lt;&gt;"F")</f>
        <v>1</v>
      </c>
      <c r="AS198" s="6" t="str">
        <f>$B198&amp;" | "&amp;$AO198&amp;" | "&amp;IF(TRIM(H198)="","uniq"&amp;ROW(),TRIM(H198))</f>
        <v>461E | 90MB1BJ0-C1BAY0 | 59MB1BJB-MB0A02S |  |  |  |  |  |  | 69</v>
      </c>
      <c r="AT198" s="63">
        <f>IF(NOT(AR198),IF(TRIM($H198)="","Assembly","Phantom Alt"),VLOOKUP(F198,ZPCS04!B:G,6,0))</f>
        <v>613</v>
      </c>
      <c r="AU198" s="7"/>
      <c r="AV198" s="38">
        <f ca="1">IF(TRIM($W198)="F",OFFSET($A$5,MATCH($AS198,$AS$5:$AS198,0)-1,0),$A198)</f>
        <v>196</v>
      </c>
      <c r="AW198" s="38">
        <f ca="1">IFERROR(OFFSET(ZPCS04!$A$1,MATCH(F198,ZPCS04!B:B,0)-1,0),100)</f>
        <v>2</v>
      </c>
      <c r="AX198" s="7"/>
      <c r="AY198" s="6" t="b">
        <f>SUMIF(AS:AS,AS198,AP:AP)=100</f>
        <v>1</v>
      </c>
      <c r="AZ198" s="6" t="b">
        <f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>C198&amp;" | "&amp;F198</f>
        <v>90MB1BJ0-C1BAY0 | 07G005B47010</v>
      </c>
      <c r="BE198" s="55" t="str">
        <f ca="1">C198&amp;" | "&amp;OFFSET($AF198,0,8-COUNTBLANK($AG198:$AN198))</f>
        <v>90MB1BJ0-C1BAY0 | 59MB1BJB-MB0A02S</v>
      </c>
      <c r="BF198" s="57">
        <f ca="1">IFERROR(VLOOKUP($BE198,$BD$5:$BF197,3,0)*$AE198,VLOOKUP($C198,Demanda!$A:$B,2,0)*$AE198)*IF(AT198="Phantom Alt",$BC198,TRUE)</f>
        <v>2000</v>
      </c>
      <c r="BG198" s="57">
        <f ca="1">BF198*(AP198/100)</f>
        <v>2000</v>
      </c>
      <c r="BH198" s="57">
        <f>SUMIF(Invoice!A:A,F198,Invoice!B:B)</f>
        <v>0</v>
      </c>
      <c r="BI198" s="57">
        <f ca="1">SUMIF(AS:AS,AS198,BG:BG)</f>
        <v>2000</v>
      </c>
      <c r="BJ198" s="57">
        <f ca="1">MIN((BI198-SUMIF($AS$5:AS197,AS198,$BJ$5:BJ197)),MAX(0,BH198-SUMIF($F$5:F197,F198,$BJ$5:BJ197)))</f>
        <v>0</v>
      </c>
      <c r="BK198" s="57">
        <f ca="1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 hidden="1">
      <c r="A199" s="43">
        <v>199</v>
      </c>
      <c r="B199" s="35" t="s">
        <v>147</v>
      </c>
      <c r="C199" s="35" t="s">
        <v>146</v>
      </c>
      <c r="D199" s="35">
        <v>2</v>
      </c>
      <c r="E199" s="35">
        <v>690</v>
      </c>
      <c r="F199" s="64" t="s">
        <v>565</v>
      </c>
      <c r="G199" s="73" t="s">
        <v>566</v>
      </c>
      <c r="H199" s="35">
        <v>69</v>
      </c>
      <c r="I199" s="35" t="s">
        <v>55</v>
      </c>
      <c r="J199" s="35">
        <v>0</v>
      </c>
      <c r="K199" s="35" t="s">
        <v>150</v>
      </c>
      <c r="L199" s="35" t="s">
        <v>53</v>
      </c>
      <c r="M199" s="35">
        <v>2</v>
      </c>
      <c r="N199" s="35"/>
      <c r="O199" s="35">
        <v>1</v>
      </c>
      <c r="P199" s="35">
        <v>2</v>
      </c>
      <c r="Q199" s="35">
        <v>4</v>
      </c>
      <c r="R199" s="35" t="s">
        <v>73</v>
      </c>
      <c r="S199" s="35" t="s">
        <v>73</v>
      </c>
      <c r="T199" s="36">
        <v>44901</v>
      </c>
      <c r="U199" s="36">
        <v>2958465</v>
      </c>
      <c r="V199" s="35" t="s">
        <v>282</v>
      </c>
      <c r="W199" s="35" t="s">
        <v>145</v>
      </c>
      <c r="X199" s="35"/>
      <c r="Y199" s="35" t="s">
        <v>143</v>
      </c>
      <c r="Z199" s="35">
        <v>7589154</v>
      </c>
      <c r="AA199" s="35">
        <v>286</v>
      </c>
      <c r="AB199" s="35">
        <v>143</v>
      </c>
      <c r="AC199" s="35"/>
      <c r="AE199" s="51">
        <f>M199/O199</f>
        <v>2</v>
      </c>
      <c r="AG199" s="6" t="str">
        <f>C199</f>
        <v>90MB1BJ0-C1BAY0</v>
      </c>
      <c r="AH199" s="6" t="str">
        <f>IF($D199&lt;=AH$4,"",IF(AND($D198=AH$4,$D199&gt;AH$4),$F198,AH198))</f>
        <v>59MB1BJB-MB0A02S</v>
      </c>
      <c r="AI199" s="6" t="str">
        <f>IF($D199&lt;=AI$4,"",IF(AND($D198=AI$4,$D199&gt;AI$4),$F198,AI198))</f>
        <v/>
      </c>
      <c r="AJ199" s="6" t="str">
        <f>IF($D199&lt;=AJ$4,"",IF(AND($D198=AJ$4,$D199&gt;AJ$4),$F198,AJ198))</f>
        <v/>
      </c>
      <c r="AK199" s="6" t="str">
        <f>IF($D199&lt;=AK$4,"",IF(AND($D198=AK$4,$D199&gt;AK$4),$F198,AK198))</f>
        <v/>
      </c>
      <c r="AL199" s="6" t="str">
        <f>IF($D199&lt;=AL$4,"",IF(AND($D198=AL$4,$D199&gt;AL$4),$F198,AL198))</f>
        <v/>
      </c>
      <c r="AM199" s="6" t="str">
        <f>IF($D199&lt;=AM$4,"",IF(AND($D198=AM$4,$D199&gt;AM$4),$F198,AM198))</f>
        <v/>
      </c>
      <c r="AN199" s="6" t="str">
        <f>IF($D199&lt;=AN$4,"",IF(AND($D198=AN$4,$D199&gt;AN$4),$F198,AN198))</f>
        <v/>
      </c>
      <c r="AO199" s="6" t="str">
        <f>CONCATENATE(AG199," | ",AH199," | ",AI199," | ",AJ199," | ",AK199," | ",AL199," | ",AM199," | ",AN199)</f>
        <v xml:space="preserve">90MB1BJ0-C1BAY0 | 59MB1BJB-MB0A02S |  |  |  |  |  | </v>
      </c>
      <c r="AP199" s="6">
        <f>IF(TRIM(H199)="",100,J199)</f>
        <v>0</v>
      </c>
      <c r="AQ199" s="4"/>
      <c r="AR199" s="6" t="b">
        <f>NOT(TRIM(W199)&lt;&gt;"F")</f>
        <v>1</v>
      </c>
      <c r="AS199" s="6" t="str">
        <f>$B199&amp;" | "&amp;$AO199&amp;" | "&amp;IF(TRIM(H199)="","uniq"&amp;ROW(),TRIM(H199))</f>
        <v>461E | 90MB1BJ0-C1BAY0 | 59MB1BJB-MB0A02S |  |  |  |  |  |  | 69</v>
      </c>
      <c r="AT199" s="63">
        <f>IF(NOT(AR199),IF(TRIM($H199)="","Assembly","Phantom Alt"),VLOOKUP(F199,ZPCS04!B:G,6,0))</f>
        <v>613</v>
      </c>
      <c r="AU199" s="7"/>
      <c r="AV199" s="38">
        <f ca="1">IF(TRIM($W199)="F",OFFSET($A$5,MATCH($AS199,$AS$5:$AS199,0)-1,0),$A199)</f>
        <v>196</v>
      </c>
      <c r="AW199" s="38">
        <f ca="1">IFERROR(OFFSET(ZPCS04!$A$1,MATCH(F199,ZPCS04!B:B,0)-1,0),100)</f>
        <v>2</v>
      </c>
      <c r="AX199" s="7"/>
      <c r="AY199" s="6" t="b">
        <f>SUMIF(AS:AS,AS199,AP:AP)=100</f>
        <v>1</v>
      </c>
      <c r="AZ199" s="6" t="b">
        <f>SUMIF(AS:AS,AS199,AE:AE)/COUNTIF(AS:AS,AS199)=AE199</f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>C199&amp;" | "&amp;F199</f>
        <v>90MB1BJ0-C1BAY0 | 07G005B93010</v>
      </c>
      <c r="BE199" s="55" t="str">
        <f ca="1">C199&amp;" | "&amp;OFFSET($AF199,0,8-COUNTBLANK($AG199:$AN199))</f>
        <v>90MB1BJ0-C1BAY0 | 59MB1BJB-MB0A02S</v>
      </c>
      <c r="BF199" s="57">
        <f ca="1">IFERROR(VLOOKUP($BE199,$BD$5:$BF198,3,0)*$AE199,VLOOKUP($C199,Demanda!$A:$B,2,0)*$AE199)*IF(AT199="Phantom Alt",$BC199,TRUE)</f>
        <v>2000</v>
      </c>
      <c r="BG199" s="57">
        <f ca="1">BF199*(AP199/100)</f>
        <v>0</v>
      </c>
      <c r="BH199" s="57">
        <f>SUMIF(Invoice!A:A,F199,Invoice!B:B)</f>
        <v>0</v>
      </c>
      <c r="BI199" s="57">
        <f ca="1">SUMIF(AS:AS,AS199,BG:BG)</f>
        <v>2000</v>
      </c>
      <c r="BJ199" s="57">
        <f ca="1">MIN((BI199-SUMIF($AS$5:AS198,AS199,$BJ$5:BJ198)),MAX(0,BH199-SUMIF($F$5:F198,F199,$BJ$5:BJ198)))</f>
        <v>0</v>
      </c>
      <c r="BK199" s="57">
        <f ca="1">(-SUMIF(AS:AS,AS199,BG:BG)+SUMIF(AS:AS,AS199,BJ:BJ))*(AP199=100)*AR199</f>
        <v>0</v>
      </c>
      <c r="BL199" s="57">
        <f ca="1">MAX(0,SUMIF(Invoice!A:A,F199,Invoice!B:B)-SUMIF(F:F,F199,BJ:BJ))*(COUNTIF(F:F,F199)=COUNTIF($F$5:F199,F199))</f>
        <v>0</v>
      </c>
    </row>
    <row r="200" spans="1:64" hidden="1">
      <c r="A200" s="43">
        <v>203</v>
      </c>
      <c r="B200" s="35" t="s">
        <v>147</v>
      </c>
      <c r="C200" s="35" t="s">
        <v>146</v>
      </c>
      <c r="D200" s="35">
        <v>2</v>
      </c>
      <c r="E200" s="35">
        <v>700</v>
      </c>
      <c r="F200" s="64" t="s">
        <v>573</v>
      </c>
      <c r="G200" s="73" t="s">
        <v>574</v>
      </c>
      <c r="H200" s="35">
        <v>70</v>
      </c>
      <c r="I200" s="35" t="s">
        <v>54</v>
      </c>
      <c r="J200" s="35">
        <v>100</v>
      </c>
      <c r="K200" s="35" t="s">
        <v>150</v>
      </c>
      <c r="L200" s="35" t="s">
        <v>53</v>
      </c>
      <c r="M200" s="35">
        <v>2</v>
      </c>
      <c r="N200" s="35">
        <v>2</v>
      </c>
      <c r="O200" s="35">
        <v>1</v>
      </c>
      <c r="P200" s="35">
        <v>2</v>
      </c>
      <c r="Q200" s="35">
        <v>1</v>
      </c>
      <c r="R200" s="35" t="s">
        <v>73</v>
      </c>
      <c r="S200" s="35" t="s">
        <v>73</v>
      </c>
      <c r="T200" s="36">
        <v>44901</v>
      </c>
      <c r="U200" s="36">
        <v>2958465</v>
      </c>
      <c r="V200" s="35" t="s">
        <v>282</v>
      </c>
      <c r="W200" s="35" t="s">
        <v>145</v>
      </c>
      <c r="X200" s="35"/>
      <c r="Y200" s="35" t="s">
        <v>143</v>
      </c>
      <c r="Z200" s="35">
        <v>7589154</v>
      </c>
      <c r="AA200" s="35">
        <v>288</v>
      </c>
      <c r="AB200" s="35">
        <v>144</v>
      </c>
      <c r="AC200" s="35"/>
      <c r="AE200" s="51">
        <f>M200/O200</f>
        <v>2</v>
      </c>
      <c r="AG200" s="6" t="str">
        <f>C200</f>
        <v>90MB1BJ0-C1BAY0</v>
      </c>
      <c r="AH200" s="6" t="str">
        <f>IF($D200&lt;=AH$4,"",IF(AND($D199=AH$4,$D200&gt;AH$4),$F199,AH199))</f>
        <v>59MB1BJB-MB0A02S</v>
      </c>
      <c r="AI200" s="6" t="str">
        <f>IF($D200&lt;=AI$4,"",IF(AND($D199=AI$4,$D200&gt;AI$4),$F199,AI199))</f>
        <v/>
      </c>
      <c r="AJ200" s="6" t="str">
        <f>IF($D200&lt;=AJ$4,"",IF(AND($D199=AJ$4,$D200&gt;AJ$4),$F199,AJ199))</f>
        <v/>
      </c>
      <c r="AK200" s="6" t="str">
        <f>IF($D200&lt;=AK$4,"",IF(AND($D199=AK$4,$D200&gt;AK$4),$F199,AK199))</f>
        <v/>
      </c>
      <c r="AL200" s="6" t="str">
        <f>IF($D200&lt;=AL$4,"",IF(AND($D199=AL$4,$D200&gt;AL$4),$F199,AL199))</f>
        <v/>
      </c>
      <c r="AM200" s="6" t="str">
        <f>IF($D200&lt;=AM$4,"",IF(AND($D199=AM$4,$D200&gt;AM$4),$F199,AM199))</f>
        <v/>
      </c>
      <c r="AN200" s="6" t="str">
        <f>IF($D200&lt;=AN$4,"",IF(AND($D199=AN$4,$D200&gt;AN$4),$F199,AN199))</f>
        <v/>
      </c>
      <c r="AO200" s="6" t="str">
        <f>CONCATENATE(AG200," | ",AH200," | ",AI200," | ",AJ200," | ",AK200," | ",AL200," | ",AM200," | ",AN200)</f>
        <v xml:space="preserve">90MB1BJ0-C1BAY0 | 59MB1BJB-MB0A02S |  |  |  |  |  | </v>
      </c>
      <c r="AP200" s="6">
        <f>IF(TRIM(H200)="",100,J200)</f>
        <v>100</v>
      </c>
      <c r="AQ200" s="4"/>
      <c r="AR200" s="6" t="b">
        <f>NOT(TRIM(W200)&lt;&gt;"F")</f>
        <v>1</v>
      </c>
      <c r="AS200" s="6" t="str">
        <f>$B200&amp;" | "&amp;$AO200&amp;" | "&amp;IF(TRIM(H200)="","uniq"&amp;ROW(),TRIM(H200))</f>
        <v>461E | 90MB1BJ0-C1BAY0 | 59MB1BJB-MB0A02S |  |  |  |  |  |  | 70</v>
      </c>
      <c r="AT200" s="63">
        <f>IF(NOT(AR200),IF(TRIM($H200)="","Assembly","Phantom Alt"),VLOOKUP(F200,ZPCS04!B:G,6,0))</f>
        <v>614</v>
      </c>
      <c r="AU200" s="7"/>
      <c r="AV200" s="38">
        <f ca="1">IF(TRIM($W200)="F",OFFSET($A$5,MATCH($AS200,$AS$5:$AS200,0)-1,0),$A200)</f>
        <v>203</v>
      </c>
      <c r="AW200" s="38">
        <f ca="1">IFERROR(OFFSET(ZPCS04!$A$1,MATCH(F200,ZPCS04!B:B,0)-1,0),100)</f>
        <v>1.9999999800000001</v>
      </c>
      <c r="AX200" s="7"/>
      <c r="AY200" s="6" t="b">
        <f>SUMIF(AS:AS,AS200,AP:AP)=100</f>
        <v>1</v>
      </c>
      <c r="AZ200" s="6" t="b">
        <f>SUMIF(AS:AS,AS200,AE:AE)/COUNTIF(AS:AS,AS200)=AE200</f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>C200&amp;" | "&amp;F200</f>
        <v>90MB1BJ0-C1BAY0 | 07G005B92010</v>
      </c>
      <c r="BE200" s="55" t="str">
        <f ca="1">C200&amp;" | "&amp;OFFSET($AF200,0,8-COUNTBLANK($AG200:$AN200))</f>
        <v>90MB1BJ0-C1BAY0 | 59MB1BJB-MB0A02S</v>
      </c>
      <c r="BF200" s="57">
        <f ca="1">IFERROR(VLOOKUP($BE200,$BD$5:$BF199,3,0)*$AE200,VLOOKUP($C200,Demanda!$A:$B,2,0)*$AE200)*IF(AT200="Phantom Alt",$BC200,TRUE)</f>
        <v>2000</v>
      </c>
      <c r="BG200" s="57">
        <f ca="1">BF200*(AP200/100)</f>
        <v>2000</v>
      </c>
      <c r="BH200" s="57">
        <f>SUMIF(Invoice!A:A,F200,Invoice!B:B)</f>
        <v>2000</v>
      </c>
      <c r="BI200" s="57">
        <f ca="1">SUMIF(AS:AS,AS200,BG:BG)</f>
        <v>2000</v>
      </c>
      <c r="BJ200" s="57">
        <f ca="1">MIN((BI200-SUMIF($AS$5:AS199,AS200,$BJ$5:BJ199)),MAX(0,BH200-SUMIF($F$5:F199,F200,$BJ$5:BJ199)))</f>
        <v>2000</v>
      </c>
      <c r="BK200" s="57">
        <f ca="1">(-SUMIF(AS:AS,AS200,BG:BG)+SUMIF(AS:AS,AS200,BJ:BJ))*(AP200=100)*AR200</f>
        <v>0</v>
      </c>
      <c r="BL200" s="57">
        <f ca="1">MAX(0,SUMIF(Invoice!A:A,F200,Invoice!B:B)-SUMIF(F:F,F200,BJ:BJ))*(COUNTIF(F:F,F200)=COUNTIF($F$5:F200,F200))</f>
        <v>0</v>
      </c>
    </row>
    <row r="201" spans="1:64" hidden="1">
      <c r="A201" s="43">
        <v>200</v>
      </c>
      <c r="B201" s="35" t="s">
        <v>147</v>
      </c>
      <c r="C201" s="35" t="s">
        <v>146</v>
      </c>
      <c r="D201" s="35">
        <v>2</v>
      </c>
      <c r="E201" s="35">
        <v>700</v>
      </c>
      <c r="F201" s="64" t="s">
        <v>567</v>
      </c>
      <c r="G201" s="73" t="s">
        <v>568</v>
      </c>
      <c r="H201" s="35">
        <v>70</v>
      </c>
      <c r="I201" s="35" t="s">
        <v>55</v>
      </c>
      <c r="J201" s="35">
        <v>0</v>
      </c>
      <c r="K201" s="35" t="s">
        <v>150</v>
      </c>
      <c r="L201" s="35" t="s">
        <v>53</v>
      </c>
      <c r="M201" s="35">
        <v>2</v>
      </c>
      <c r="N201" s="35"/>
      <c r="O201" s="35">
        <v>1</v>
      </c>
      <c r="P201" s="35">
        <v>2</v>
      </c>
      <c r="Q201" s="35">
        <v>3</v>
      </c>
      <c r="R201" s="35" t="s">
        <v>73</v>
      </c>
      <c r="S201" s="35" t="s">
        <v>73</v>
      </c>
      <c r="T201" s="36">
        <v>44901</v>
      </c>
      <c r="U201" s="36">
        <v>2958465</v>
      </c>
      <c r="V201" s="35" t="s">
        <v>282</v>
      </c>
      <c r="W201" s="35" t="s">
        <v>145</v>
      </c>
      <c r="X201" s="35"/>
      <c r="Y201" s="35" t="s">
        <v>143</v>
      </c>
      <c r="Z201" s="35">
        <v>7589154</v>
      </c>
      <c r="AA201" s="35">
        <v>292</v>
      </c>
      <c r="AB201" s="35">
        <v>146</v>
      </c>
      <c r="AC201" s="35"/>
      <c r="AE201" s="51">
        <f>M201/O201</f>
        <v>2</v>
      </c>
      <c r="AG201" s="6" t="str">
        <f>C201</f>
        <v>90MB1BJ0-C1BAY0</v>
      </c>
      <c r="AH201" s="6" t="str">
        <f>IF($D201&lt;=AH$4,"",IF(AND($D200=AH$4,$D201&gt;AH$4),$F200,AH200))</f>
        <v>59MB1BJB-MB0A02S</v>
      </c>
      <c r="AI201" s="6" t="str">
        <f>IF($D201&lt;=AI$4,"",IF(AND($D200=AI$4,$D201&gt;AI$4),$F200,AI200))</f>
        <v/>
      </c>
      <c r="AJ201" s="6" t="str">
        <f>IF($D201&lt;=AJ$4,"",IF(AND($D200=AJ$4,$D201&gt;AJ$4),$F200,AJ200))</f>
        <v/>
      </c>
      <c r="AK201" s="6" t="str">
        <f>IF($D201&lt;=AK$4,"",IF(AND($D200=AK$4,$D201&gt;AK$4),$F200,AK200))</f>
        <v/>
      </c>
      <c r="AL201" s="6" t="str">
        <f>IF($D201&lt;=AL$4,"",IF(AND($D200=AL$4,$D201&gt;AL$4),$F200,AL200))</f>
        <v/>
      </c>
      <c r="AM201" s="6" t="str">
        <f>IF($D201&lt;=AM$4,"",IF(AND($D200=AM$4,$D201&gt;AM$4),$F200,AM200))</f>
        <v/>
      </c>
      <c r="AN201" s="6" t="str">
        <f>IF($D201&lt;=AN$4,"",IF(AND($D200=AN$4,$D201&gt;AN$4),$F200,AN200))</f>
        <v/>
      </c>
      <c r="AO201" s="6" t="str">
        <f>CONCATENATE(AG201," | ",AH201," | ",AI201," | ",AJ201," | ",AK201," | ",AL201," | ",AM201," | ",AN201)</f>
        <v xml:space="preserve">90MB1BJ0-C1BAY0 | 59MB1BJB-MB0A02S |  |  |  |  |  | </v>
      </c>
      <c r="AP201" s="6">
        <f>IF(TRIM(H201)="",100,J201)</f>
        <v>0</v>
      </c>
      <c r="AQ201" s="4"/>
      <c r="AR201" s="6" t="b">
        <f>NOT(TRIM(W201)&lt;&gt;"F")</f>
        <v>1</v>
      </c>
      <c r="AS201" s="6" t="str">
        <f>$B201&amp;" | "&amp;$AO201&amp;" | "&amp;IF(TRIM(H201)="","uniq"&amp;ROW(),TRIM(H201))</f>
        <v>461E | 90MB1BJ0-C1BAY0 | 59MB1BJB-MB0A02S |  |  |  |  |  |  | 70</v>
      </c>
      <c r="AT201" s="63">
        <f>IF(NOT(AR201),IF(TRIM($H201)="","Assembly","Phantom Alt"),VLOOKUP(F201,ZPCS04!B:G,6,0))</f>
        <v>614</v>
      </c>
      <c r="AU201" s="7"/>
      <c r="AV201" s="38">
        <f ca="1">IF(TRIM($W201)="F",OFFSET($A$5,MATCH($AS201,$AS$5:$AS201,0)-1,0),$A201)</f>
        <v>203</v>
      </c>
      <c r="AW201" s="38">
        <f ca="1">IFERROR(OFFSET(ZPCS04!$A$1,MATCH(F201,ZPCS04!B:B,0)-1,0),100)</f>
        <v>2</v>
      </c>
      <c r="AX201" s="7"/>
      <c r="AY201" s="6" t="b">
        <f>SUMIF(AS:AS,AS201,AP:AP)=100</f>
        <v>1</v>
      </c>
      <c r="AZ201" s="6" t="b">
        <f>SUMIF(AS:AS,AS201,AE:AE)/COUNTIF(AS:AS,AS201)=AE201</f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>C201&amp;" | "&amp;F201</f>
        <v>90MB1BJ0-C1BAY0 | 07005-00210500</v>
      </c>
      <c r="BE201" s="55" t="str">
        <f ca="1">C201&amp;" | "&amp;OFFSET($AF201,0,8-COUNTBLANK($AG201:$AN201))</f>
        <v>90MB1BJ0-C1BAY0 | 59MB1BJB-MB0A02S</v>
      </c>
      <c r="BF201" s="57">
        <f ca="1">IFERROR(VLOOKUP($BE201,$BD$5:$BF200,3,0)*$AE201,VLOOKUP($C201,Demanda!$A:$B,2,0)*$AE201)*IF(AT201="Phantom Alt",$BC201,TRUE)</f>
        <v>2000</v>
      </c>
      <c r="BG201" s="57">
        <f ca="1">BF201*(AP201/100)</f>
        <v>0</v>
      </c>
      <c r="BH201" s="57">
        <f>SUMIF(Invoice!A:A,F201,Invoice!B:B)</f>
        <v>0</v>
      </c>
      <c r="BI201" s="57">
        <f ca="1">SUMIF(AS:AS,AS201,BG:BG)</f>
        <v>2000</v>
      </c>
      <c r="BJ201" s="57">
        <f ca="1">MIN((BI201-SUMIF($AS$5:AS200,AS201,$BJ$5:BJ200)),MAX(0,BH201-SUMIF($F$5:F200,F201,$BJ$5:BJ200)))</f>
        <v>0</v>
      </c>
      <c r="BK201" s="57">
        <f ca="1">(-SUMIF(AS:AS,AS201,BG:BG)+SUMIF(AS:AS,AS201,BJ:BJ))*(AP201=100)*AR201</f>
        <v>0</v>
      </c>
      <c r="BL201" s="57">
        <f ca="1">MAX(0,SUMIF(Invoice!A:A,F201,Invoice!B:B)-SUMIF(F:F,F201,BJ:BJ))*(COUNTIF(F:F,F201)=COUNTIF($F$5:F201,F201))</f>
        <v>0</v>
      </c>
    </row>
    <row r="202" spans="1:64" hidden="1">
      <c r="A202" s="43">
        <v>201</v>
      </c>
      <c r="B202" s="35" t="s">
        <v>147</v>
      </c>
      <c r="C202" s="35" t="s">
        <v>146</v>
      </c>
      <c r="D202" s="35">
        <v>2</v>
      </c>
      <c r="E202" s="35">
        <v>700</v>
      </c>
      <c r="F202" s="64" t="s">
        <v>569</v>
      </c>
      <c r="G202" s="73" t="s">
        <v>570</v>
      </c>
      <c r="H202" s="35">
        <v>70</v>
      </c>
      <c r="I202" s="35" t="s">
        <v>55</v>
      </c>
      <c r="J202" s="35">
        <v>0</v>
      </c>
      <c r="K202" s="35" t="s">
        <v>150</v>
      </c>
      <c r="L202" s="35" t="s">
        <v>53</v>
      </c>
      <c r="M202" s="35">
        <v>2</v>
      </c>
      <c r="N202" s="35"/>
      <c r="O202" s="35">
        <v>1</v>
      </c>
      <c r="P202" s="35">
        <v>2</v>
      </c>
      <c r="Q202" s="35">
        <v>4</v>
      </c>
      <c r="R202" s="35" t="s">
        <v>73</v>
      </c>
      <c r="S202" s="35" t="s">
        <v>73</v>
      </c>
      <c r="T202" s="36">
        <v>44901</v>
      </c>
      <c r="U202" s="36">
        <v>2958465</v>
      </c>
      <c r="V202" s="35" t="s">
        <v>282</v>
      </c>
      <c r="W202" s="35" t="s">
        <v>145</v>
      </c>
      <c r="X202" s="35"/>
      <c r="Y202" s="35" t="s">
        <v>143</v>
      </c>
      <c r="Z202" s="35">
        <v>7589154</v>
      </c>
      <c r="AA202" s="35">
        <v>294</v>
      </c>
      <c r="AB202" s="35">
        <v>147</v>
      </c>
      <c r="AC202" s="35"/>
      <c r="AE202" s="51">
        <f>M202/O202</f>
        <v>2</v>
      </c>
      <c r="AG202" s="6" t="str">
        <f>C202</f>
        <v>90MB1BJ0-C1BAY0</v>
      </c>
      <c r="AH202" s="6" t="str">
        <f>IF($D202&lt;=AH$4,"",IF(AND($D201=AH$4,$D202&gt;AH$4),$F201,AH201))</f>
        <v>59MB1BJB-MB0A02S</v>
      </c>
      <c r="AI202" s="6" t="str">
        <f>IF($D202&lt;=AI$4,"",IF(AND($D201=AI$4,$D202&gt;AI$4),$F201,AI201))</f>
        <v/>
      </c>
      <c r="AJ202" s="6" t="str">
        <f>IF($D202&lt;=AJ$4,"",IF(AND($D201=AJ$4,$D202&gt;AJ$4),$F201,AJ201))</f>
        <v/>
      </c>
      <c r="AK202" s="6" t="str">
        <f>IF($D202&lt;=AK$4,"",IF(AND($D201=AK$4,$D202&gt;AK$4),$F201,AK201))</f>
        <v/>
      </c>
      <c r="AL202" s="6" t="str">
        <f>IF($D202&lt;=AL$4,"",IF(AND($D201=AL$4,$D202&gt;AL$4),$F201,AL201))</f>
        <v/>
      </c>
      <c r="AM202" s="6" t="str">
        <f>IF($D202&lt;=AM$4,"",IF(AND($D201=AM$4,$D202&gt;AM$4),$F201,AM201))</f>
        <v/>
      </c>
      <c r="AN202" s="6" t="str">
        <f>IF($D202&lt;=AN$4,"",IF(AND($D201=AN$4,$D202&gt;AN$4),$F201,AN201))</f>
        <v/>
      </c>
      <c r="AO202" s="6" t="str">
        <f>CONCATENATE(AG202," | ",AH202," | ",AI202," | ",AJ202," | ",AK202," | ",AL202," | ",AM202," | ",AN202)</f>
        <v xml:space="preserve">90MB1BJ0-C1BAY0 | 59MB1BJB-MB0A02S |  |  |  |  |  | </v>
      </c>
      <c r="AP202" s="6">
        <f>IF(TRIM(H202)="",100,J202)</f>
        <v>0</v>
      </c>
      <c r="AQ202" s="4"/>
      <c r="AR202" s="6" t="b">
        <f>NOT(TRIM(W202)&lt;&gt;"F")</f>
        <v>1</v>
      </c>
      <c r="AS202" s="6" t="str">
        <f>$B202&amp;" | "&amp;$AO202&amp;" | "&amp;IF(TRIM(H202)="","uniq"&amp;ROW(),TRIM(H202))</f>
        <v>461E | 90MB1BJ0-C1BAY0 | 59MB1BJB-MB0A02S |  |  |  |  |  |  | 70</v>
      </c>
      <c r="AT202" s="63">
        <f>IF(NOT(AR202),IF(TRIM($H202)="","Assembly","Phantom Alt"),VLOOKUP(F202,ZPCS04!B:G,6,0))</f>
        <v>614</v>
      </c>
      <c r="AU202" s="7"/>
      <c r="AV202" s="38">
        <f ca="1">IF(TRIM($W202)="F",OFFSET($A$5,MATCH($AS202,$AS$5:$AS202,0)-1,0),$A202)</f>
        <v>203</v>
      </c>
      <c r="AW202" s="38">
        <f ca="1">IFERROR(OFFSET(ZPCS04!$A$1,MATCH(F202,ZPCS04!B:B,0)-1,0),100)</f>
        <v>2</v>
      </c>
      <c r="AX202" s="7"/>
      <c r="AY202" s="6" t="b">
        <f>SUMIF(AS:AS,AS202,AP:AP)=100</f>
        <v>1</v>
      </c>
      <c r="AZ202" s="6" t="b">
        <f>SUMIF(AS:AS,AS202,AE:AE)/COUNTIF(AS:AS,AS202)=AE202</f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>C202&amp;" | "&amp;F202</f>
        <v>90MB1BJ0-C1BAY0 | 07005-00300100</v>
      </c>
      <c r="BE202" s="55" t="str">
        <f ca="1">C202&amp;" | "&amp;OFFSET($AF202,0,8-COUNTBLANK($AG202:$AN202))</f>
        <v>90MB1BJ0-C1BAY0 | 59MB1BJB-MB0A02S</v>
      </c>
      <c r="BF202" s="57">
        <f ca="1">IFERROR(VLOOKUP($BE202,$BD$5:$BF201,3,0)*$AE202,VLOOKUP($C202,Demanda!$A:$B,2,0)*$AE202)*IF(AT202="Phantom Alt",$BC202,TRUE)</f>
        <v>2000</v>
      </c>
      <c r="BG202" s="57">
        <f ca="1">BF202*(AP202/100)</f>
        <v>0</v>
      </c>
      <c r="BH202" s="57">
        <f>SUMIF(Invoice!A:A,F202,Invoice!B:B)</f>
        <v>0</v>
      </c>
      <c r="BI202" s="57">
        <f ca="1">SUMIF(AS:AS,AS202,BG:BG)</f>
        <v>2000</v>
      </c>
      <c r="BJ202" s="57">
        <f ca="1">MIN((BI202-SUMIF($AS$5:AS201,AS202,$BJ$5:BJ201)),MAX(0,BH202-SUMIF($F$5:F201,F202,$BJ$5:BJ201)))</f>
        <v>0</v>
      </c>
      <c r="BK202" s="57">
        <f ca="1">(-SUMIF(AS:AS,AS202,BG:BG)+SUMIF(AS:AS,AS202,BJ:BJ))*(AP202=100)*AR202</f>
        <v>0</v>
      </c>
      <c r="BL202" s="57">
        <f ca="1">MAX(0,SUMIF(Invoice!A:A,F202,Invoice!B:B)-SUMIF(F:F,F202,BJ:BJ))*(COUNTIF(F:F,F202)=COUNTIF($F$5:F202,F202))</f>
        <v>0</v>
      </c>
    </row>
    <row r="203" spans="1:64" hidden="1">
      <c r="A203" s="43">
        <v>202</v>
      </c>
      <c r="B203" s="35" t="s">
        <v>147</v>
      </c>
      <c r="C203" s="35" t="s">
        <v>146</v>
      </c>
      <c r="D203" s="35">
        <v>2</v>
      </c>
      <c r="E203" s="35">
        <v>700</v>
      </c>
      <c r="F203" s="64" t="s">
        <v>571</v>
      </c>
      <c r="G203" s="73" t="s">
        <v>572</v>
      </c>
      <c r="H203" s="35">
        <v>70</v>
      </c>
      <c r="I203" s="35" t="s">
        <v>55</v>
      </c>
      <c r="J203" s="35">
        <v>0</v>
      </c>
      <c r="K203" s="35" t="s">
        <v>414</v>
      </c>
      <c r="L203" s="35" t="s">
        <v>53</v>
      </c>
      <c r="M203" s="35">
        <v>2</v>
      </c>
      <c r="N203" s="35"/>
      <c r="O203" s="35">
        <v>1</v>
      </c>
      <c r="P203" s="35">
        <v>2</v>
      </c>
      <c r="Q203" s="35">
        <v>2</v>
      </c>
      <c r="R203" s="35" t="s">
        <v>122</v>
      </c>
      <c r="S203" s="35" t="s">
        <v>122</v>
      </c>
      <c r="T203" s="36">
        <v>44901</v>
      </c>
      <c r="U203" s="36">
        <v>2958465</v>
      </c>
      <c r="V203" s="35" t="s">
        <v>282</v>
      </c>
      <c r="W203" s="35" t="s">
        <v>145</v>
      </c>
      <c r="X203" s="35"/>
      <c r="Y203" s="35" t="s">
        <v>143</v>
      </c>
      <c r="Z203" s="35">
        <v>7589154</v>
      </c>
      <c r="AA203" s="35">
        <v>290</v>
      </c>
      <c r="AB203" s="35">
        <v>145</v>
      </c>
      <c r="AC203" s="35"/>
      <c r="AE203" s="51">
        <f>M203/O203</f>
        <v>2</v>
      </c>
      <c r="AG203" s="6" t="str">
        <f>C203</f>
        <v>90MB1BJ0-C1BAY0</v>
      </c>
      <c r="AH203" s="6" t="str">
        <f>IF($D203&lt;=AH$4,"",IF(AND($D202=AH$4,$D203&gt;AH$4),$F202,AH202))</f>
        <v>59MB1BJB-MB0A02S</v>
      </c>
      <c r="AI203" s="6" t="str">
        <f>IF($D203&lt;=AI$4,"",IF(AND($D202=AI$4,$D203&gt;AI$4),$F202,AI202))</f>
        <v/>
      </c>
      <c r="AJ203" s="6" t="str">
        <f>IF($D203&lt;=AJ$4,"",IF(AND($D202=AJ$4,$D203&gt;AJ$4),$F202,AJ202))</f>
        <v/>
      </c>
      <c r="AK203" s="6" t="str">
        <f>IF($D203&lt;=AK$4,"",IF(AND($D202=AK$4,$D203&gt;AK$4),$F202,AK202))</f>
        <v/>
      </c>
      <c r="AL203" s="6" t="str">
        <f>IF($D203&lt;=AL$4,"",IF(AND($D202=AL$4,$D203&gt;AL$4),$F202,AL202))</f>
        <v/>
      </c>
      <c r="AM203" s="6" t="str">
        <f>IF($D203&lt;=AM$4,"",IF(AND($D202=AM$4,$D203&gt;AM$4),$F202,AM202))</f>
        <v/>
      </c>
      <c r="AN203" s="6" t="str">
        <f>IF($D203&lt;=AN$4,"",IF(AND($D202=AN$4,$D203&gt;AN$4),$F202,AN202))</f>
        <v/>
      </c>
      <c r="AO203" s="6" t="str">
        <f>CONCATENATE(AG203," | ",AH203," | ",AI203," | ",AJ203," | ",AK203," | ",AL203," | ",AM203," | ",AN203)</f>
        <v xml:space="preserve">90MB1BJ0-C1BAY0 | 59MB1BJB-MB0A02S |  |  |  |  |  | </v>
      </c>
      <c r="AP203" s="6">
        <f>IF(TRIM(H203)="",100,J203)</f>
        <v>0</v>
      </c>
      <c r="AQ203" s="4"/>
      <c r="AR203" s="6" t="b">
        <f>NOT(TRIM(W203)&lt;&gt;"F")</f>
        <v>1</v>
      </c>
      <c r="AS203" s="6" t="str">
        <f>$B203&amp;" | "&amp;$AO203&amp;" | "&amp;IF(TRIM(H203)="","uniq"&amp;ROW(),TRIM(H203))</f>
        <v>461E | 90MB1BJ0-C1BAY0 | 59MB1BJB-MB0A02S |  |  |  |  |  |  | 70</v>
      </c>
      <c r="AT203" s="63">
        <f>IF(NOT(AR203),IF(TRIM($H203)="","Assembly","Phantom Alt"),VLOOKUP(F203,ZPCS04!B:G,6,0))</f>
        <v>614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2</v>
      </c>
      <c r="AX203" s="7"/>
      <c r="AY203" s="6" t="b">
        <f>SUMIF(AS:AS,AS203,AP:AP)=100</f>
        <v>1</v>
      </c>
      <c r="AZ203" s="6" t="b">
        <f>SUMIF(AS:AS,AS203,AE:AE)/COUNTIF(AS:AS,AS203)=AE203</f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>C203&amp;" | "&amp;F203</f>
        <v>90MB1BJ0-C1BAY0 | 07G005626110</v>
      </c>
      <c r="BE203" s="55" t="str">
        <f ca="1">C203&amp;" | "&amp;OFFSET($AF203,0,8-COUNTBLANK($AG203:$AN203))</f>
        <v>90MB1BJ0-C1BAY0 | 59MB1BJB-MB0A02S</v>
      </c>
      <c r="BF203" s="57">
        <f ca="1">IFERROR(VLOOKUP($BE203,$BD$5:$BF202,3,0)*$AE203,VLOOKUP($C203,Demanda!$A:$B,2,0)*$AE203)*IF(AT203="Phantom Alt",$BC203,TRUE)</f>
        <v>2000</v>
      </c>
      <c r="BG203" s="57">
        <f ca="1">BF203*(AP203/100)</f>
        <v>0</v>
      </c>
      <c r="BH203" s="57">
        <f>SUMIF(Invoice!A:A,F203,Invoice!B:B)</f>
        <v>0</v>
      </c>
      <c r="BI203" s="57">
        <f ca="1">SUMIF(AS:AS,AS203,BG:BG)</f>
        <v>2000</v>
      </c>
      <c r="BJ203" s="57">
        <f ca="1">MIN((BI203-SUMIF($AS$5:AS202,AS203,$BJ$5:BJ202)),MAX(0,BH203-SUMIF($F$5:F202,F203,$BJ$5:BJ202)))</f>
        <v>0</v>
      </c>
      <c r="BK203" s="57">
        <f ca="1">(-SUMIF(AS:AS,AS203,BG:BG)+SUMIF(AS:AS,AS203,BJ:BJ))*(AP203=100)*AR203</f>
        <v>0</v>
      </c>
      <c r="BL203" s="57">
        <f ca="1">MAX(0,SUMIF(Invoice!A:A,F203,Invoice!B:B)-SUMIF(F:F,F203,BJ:BJ))*(COUNTIF(F:F,F203)=COUNTIF($F$5:F203,F203))</f>
        <v>0</v>
      </c>
    </row>
    <row r="204" spans="1:64" hidden="1">
      <c r="A204" s="43">
        <v>206</v>
      </c>
      <c r="B204" s="35" t="s">
        <v>147</v>
      </c>
      <c r="C204" s="35" t="s">
        <v>146</v>
      </c>
      <c r="D204" s="35">
        <v>2</v>
      </c>
      <c r="E204" s="35">
        <v>710</v>
      </c>
      <c r="F204" s="64" t="s">
        <v>579</v>
      </c>
      <c r="G204" s="73" t="s">
        <v>580</v>
      </c>
      <c r="H204" s="35">
        <v>71</v>
      </c>
      <c r="I204" s="35" t="s">
        <v>54</v>
      </c>
      <c r="J204" s="35">
        <v>100</v>
      </c>
      <c r="K204" s="35" t="s">
        <v>414</v>
      </c>
      <c r="L204" s="35" t="s">
        <v>53</v>
      </c>
      <c r="M204" s="35">
        <v>1</v>
      </c>
      <c r="N204" s="35">
        <v>1</v>
      </c>
      <c r="O204" s="35">
        <v>1</v>
      </c>
      <c r="P204" s="35">
        <v>2</v>
      </c>
      <c r="Q204" s="35">
        <v>1</v>
      </c>
      <c r="R204" s="35" t="s">
        <v>122</v>
      </c>
      <c r="S204" s="35" t="s">
        <v>122</v>
      </c>
      <c r="T204" s="36">
        <v>44901</v>
      </c>
      <c r="U204" s="36">
        <v>2958465</v>
      </c>
      <c r="V204" s="35" t="s">
        <v>282</v>
      </c>
      <c r="W204" s="35" t="s">
        <v>145</v>
      </c>
      <c r="X204" s="35"/>
      <c r="Y204" s="35" t="s">
        <v>143</v>
      </c>
      <c r="Z204" s="35">
        <v>7589154</v>
      </c>
      <c r="AA204" s="35">
        <v>296</v>
      </c>
      <c r="AB204" s="35">
        <v>148</v>
      </c>
      <c r="AC204" s="35"/>
      <c r="AE204" s="51">
        <f>M204/O204</f>
        <v>1</v>
      </c>
      <c r="AG204" s="6" t="str">
        <f>C204</f>
        <v>90MB1BJ0-C1BAY0</v>
      </c>
      <c r="AH204" s="6" t="str">
        <f>IF($D204&lt;=AH$4,"",IF(AND($D203=AH$4,$D204&gt;AH$4),$F203,AH203))</f>
        <v>59MB1BJB-MB0A02S</v>
      </c>
      <c r="AI204" s="6" t="str">
        <f>IF($D204&lt;=AI$4,"",IF(AND($D203=AI$4,$D204&gt;AI$4),$F203,AI203))</f>
        <v/>
      </c>
      <c r="AJ204" s="6" t="str">
        <f>IF($D204&lt;=AJ$4,"",IF(AND($D203=AJ$4,$D204&gt;AJ$4),$F203,AJ203))</f>
        <v/>
      </c>
      <c r="AK204" s="6" t="str">
        <f>IF($D204&lt;=AK$4,"",IF(AND($D203=AK$4,$D204&gt;AK$4),$F203,AK203))</f>
        <v/>
      </c>
      <c r="AL204" s="6" t="str">
        <f>IF($D204&lt;=AL$4,"",IF(AND($D203=AL$4,$D204&gt;AL$4),$F203,AL203))</f>
        <v/>
      </c>
      <c r="AM204" s="6" t="str">
        <f>IF($D204&lt;=AM$4,"",IF(AND($D203=AM$4,$D204&gt;AM$4),$F203,AM203))</f>
        <v/>
      </c>
      <c r="AN204" s="6" t="str">
        <f>IF($D204&lt;=AN$4,"",IF(AND($D203=AN$4,$D204&gt;AN$4),$F203,AN203))</f>
        <v/>
      </c>
      <c r="AO204" s="6" t="str">
        <f>CONCATENATE(AG204," | ",AH204," | ",AI204," | ",AJ204," | ",AK204," | ",AL204," | ",AM204," | ",AN204)</f>
        <v xml:space="preserve">90MB1BJ0-C1BAY0 | 59MB1BJB-MB0A02S |  |  |  |  |  | </v>
      </c>
      <c r="AP204" s="6">
        <f>IF(TRIM(H204)="",100,J204)</f>
        <v>100</v>
      </c>
      <c r="AQ204" s="4"/>
      <c r="AR204" s="6" t="b">
        <f>NOT(TRIM(W204)&lt;&gt;"F")</f>
        <v>1</v>
      </c>
      <c r="AS204" s="6" t="str">
        <f>$B204&amp;" | "&amp;$AO204&amp;" | "&amp;IF(TRIM(H204)="","uniq"&amp;ROW(),TRIM(H204))</f>
        <v>461E | 90MB1BJ0-C1BAY0 | 59MB1BJB-MB0A02S |  |  |  |  |  |  | 71</v>
      </c>
      <c r="AT204" s="63">
        <f>IF(NOT(AR204),IF(TRIM($H204)="","Assembly","Phantom Alt"),VLOOKUP(F204,ZPCS04!B:G,6,0))</f>
        <v>1202</v>
      </c>
      <c r="AU204" s="7"/>
      <c r="AV204" s="38">
        <f ca="1">IF(TRIM($W204)="F",OFFSET($A$5,MATCH($AS204,$AS$5:$AS204,0)-1,0),$A204)</f>
        <v>206</v>
      </c>
      <c r="AW204" s="38">
        <f ca="1">IFERROR(OFFSET(ZPCS04!$A$1,MATCH(F204,ZPCS04!B:B,0)-1,0),100)</f>
        <v>1.9999999900000001</v>
      </c>
      <c r="AX204" s="7"/>
      <c r="AY204" s="6" t="b">
        <f>SUMIF(AS:AS,AS204,AP:AP)=100</f>
        <v>1</v>
      </c>
      <c r="AZ204" s="6" t="b">
        <f>SUMIF(AS:AS,AS204,AE:AE)/COUNTIF(AS:AS,AS204)=AE204</f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>C204&amp;" | "&amp;F204</f>
        <v>90MB1BJ0-C1BAY0 | 07G005C55010</v>
      </c>
      <c r="BE204" s="55" t="str">
        <f ca="1">C204&amp;" | "&amp;OFFSET($AF204,0,8-COUNTBLANK($AG204:$AN204))</f>
        <v>90MB1BJ0-C1BAY0 | 59MB1BJB-MB0A02S</v>
      </c>
      <c r="BF204" s="57">
        <f ca="1">IFERROR(VLOOKUP($BE204,$BD$5:$BF203,3,0)*$AE204,VLOOKUP($C204,Demanda!$A:$B,2,0)*$AE204)*IF(AT204="Phantom Alt",$BC204,TRUE)</f>
        <v>1000</v>
      </c>
      <c r="BG204" s="57">
        <f ca="1">BF204*(AP204/100)</f>
        <v>1000</v>
      </c>
      <c r="BH204" s="57">
        <f>SUMIF(Invoice!A:A,F204,Invoice!B:B)</f>
        <v>1000</v>
      </c>
      <c r="BI204" s="57">
        <f ca="1">SUMIF(AS:AS,AS204,BG:BG)</f>
        <v>1000</v>
      </c>
      <c r="BJ204" s="57">
        <f ca="1">MIN((BI204-SUMIF($AS$5:AS203,AS204,$BJ$5:BJ203)),MAX(0,BH204-SUMIF($F$5:F203,F204,$BJ$5:BJ203)))</f>
        <v>1000</v>
      </c>
      <c r="BK204" s="57">
        <f ca="1">(-SUMIF(AS:AS,AS204,BG:BG)+SUMIF(AS:AS,AS204,BJ:BJ))*(AP204=100)*AR204</f>
        <v>0</v>
      </c>
      <c r="BL204" s="57">
        <f ca="1">MAX(0,SUMIF(Invoice!A:A,F204,Invoice!B:B)-SUMIF(F:F,F204,BJ:BJ))*(COUNTIF(F:F,F204)=COUNTIF($F$5:F204,F204))</f>
        <v>0</v>
      </c>
    </row>
    <row r="205" spans="1:64" hidden="1">
      <c r="A205" s="43">
        <v>204</v>
      </c>
      <c r="B205" s="35" t="s">
        <v>147</v>
      </c>
      <c r="C205" s="35" t="s">
        <v>146</v>
      </c>
      <c r="D205" s="35">
        <v>2</v>
      </c>
      <c r="E205" s="35">
        <v>710</v>
      </c>
      <c r="F205" s="64" t="s">
        <v>575</v>
      </c>
      <c r="G205" s="73" t="s">
        <v>576</v>
      </c>
      <c r="H205" s="35">
        <v>71</v>
      </c>
      <c r="I205" s="35" t="s">
        <v>55</v>
      </c>
      <c r="J205" s="35">
        <v>0</v>
      </c>
      <c r="K205" s="35" t="s">
        <v>150</v>
      </c>
      <c r="L205" s="35" t="s">
        <v>53</v>
      </c>
      <c r="M205" s="35">
        <v>1</v>
      </c>
      <c r="N205" s="35"/>
      <c r="O205" s="35">
        <v>1</v>
      </c>
      <c r="P205" s="35">
        <v>2</v>
      </c>
      <c r="Q205" s="35">
        <v>3</v>
      </c>
      <c r="R205" s="35" t="s">
        <v>73</v>
      </c>
      <c r="S205" s="35" t="s">
        <v>73</v>
      </c>
      <c r="T205" s="36">
        <v>44901</v>
      </c>
      <c r="U205" s="36">
        <v>2958465</v>
      </c>
      <c r="V205" s="35" t="s">
        <v>282</v>
      </c>
      <c r="W205" s="35" t="s">
        <v>145</v>
      </c>
      <c r="X205" s="35"/>
      <c r="Y205" s="35" t="s">
        <v>143</v>
      </c>
      <c r="Z205" s="35">
        <v>7589154</v>
      </c>
      <c r="AA205" s="35">
        <v>300</v>
      </c>
      <c r="AB205" s="35">
        <v>150</v>
      </c>
      <c r="AC205" s="35"/>
      <c r="AE205" s="51">
        <f>M205/O205</f>
        <v>1</v>
      </c>
      <c r="AG205" s="6" t="str">
        <f>C205</f>
        <v>90MB1BJ0-C1BAY0</v>
      </c>
      <c r="AH205" s="6" t="str">
        <f>IF($D205&lt;=AH$4,"",IF(AND($D204=AH$4,$D205&gt;AH$4),$F204,AH204))</f>
        <v>59MB1BJB-MB0A02S</v>
      </c>
      <c r="AI205" s="6" t="str">
        <f>IF($D205&lt;=AI$4,"",IF(AND($D204=AI$4,$D205&gt;AI$4),$F204,AI204))</f>
        <v/>
      </c>
      <c r="AJ205" s="6" t="str">
        <f>IF($D205&lt;=AJ$4,"",IF(AND($D204=AJ$4,$D205&gt;AJ$4),$F204,AJ204))</f>
        <v/>
      </c>
      <c r="AK205" s="6" t="str">
        <f>IF($D205&lt;=AK$4,"",IF(AND($D204=AK$4,$D205&gt;AK$4),$F204,AK204))</f>
        <v/>
      </c>
      <c r="AL205" s="6" t="str">
        <f>IF($D205&lt;=AL$4,"",IF(AND($D204=AL$4,$D205&gt;AL$4),$F204,AL204))</f>
        <v/>
      </c>
      <c r="AM205" s="6" t="str">
        <f>IF($D205&lt;=AM$4,"",IF(AND($D204=AM$4,$D205&gt;AM$4),$F204,AM204))</f>
        <v/>
      </c>
      <c r="AN205" s="6" t="str">
        <f>IF($D205&lt;=AN$4,"",IF(AND($D204=AN$4,$D205&gt;AN$4),$F204,AN204))</f>
        <v/>
      </c>
      <c r="AO205" s="6" t="str">
        <f>CONCATENATE(AG205," | ",AH205," | ",AI205," | ",AJ205," | ",AK205," | ",AL205," | ",AM205," | ",AN205)</f>
        <v xml:space="preserve">90MB1BJ0-C1BAY0 | 59MB1BJB-MB0A02S |  |  |  |  |  | </v>
      </c>
      <c r="AP205" s="6">
        <f>IF(TRIM(H205)="",100,J205)</f>
        <v>0</v>
      </c>
      <c r="AQ205" s="4"/>
      <c r="AR205" s="6" t="b">
        <f>NOT(TRIM(W205)&lt;&gt;"F")</f>
        <v>1</v>
      </c>
      <c r="AS205" s="6" t="str">
        <f>$B205&amp;" | "&amp;$AO205&amp;" | "&amp;IF(TRIM(H205)="","uniq"&amp;ROW(),TRIM(H205))</f>
        <v>461E | 90MB1BJ0-C1BAY0 | 59MB1BJB-MB0A02S |  |  |  |  |  |  | 71</v>
      </c>
      <c r="AT205" s="63">
        <f>IF(NOT(AR205),IF(TRIM($H205)="","Assembly","Phantom Alt"),VLOOKUP(F205,ZPCS04!B:G,6,0))</f>
        <v>1202</v>
      </c>
      <c r="AU205" s="7"/>
      <c r="AV205" s="38">
        <f ca="1">IF(TRIM($W205)="F",OFFSET($A$5,MATCH($AS205,$AS$5:$AS205,0)-1,0),$A205)</f>
        <v>206</v>
      </c>
      <c r="AW205" s="38">
        <f ca="1">IFERROR(OFFSET(ZPCS04!$A$1,MATCH(F205,ZPCS04!B:B,0)-1,0),100)</f>
        <v>2</v>
      </c>
      <c r="AX205" s="7"/>
      <c r="AY205" s="6" t="b">
        <f>SUMIF(AS:AS,AS205,AP:AP)=100</f>
        <v>1</v>
      </c>
      <c r="AZ205" s="6" t="b">
        <f>SUMIF(AS:AS,AS205,AE:AE)/COUNTIF(AS:AS,AS205)=AE205</f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>C205&amp;" | "&amp;F205</f>
        <v>90MB1BJ0-C1BAY0 | 07005-04050000</v>
      </c>
      <c r="BE205" s="55" t="str">
        <f ca="1">C205&amp;" | "&amp;OFFSET($AF205,0,8-COUNTBLANK($AG205:$AN205))</f>
        <v>90MB1BJ0-C1BAY0 | 59MB1BJB-MB0A02S</v>
      </c>
      <c r="BF205" s="57">
        <f ca="1">IFERROR(VLOOKUP($BE205,$BD$5:$BF204,3,0)*$AE205,VLOOKUP($C205,Demanda!$A:$B,2,0)*$AE205)*IF(AT205="Phantom Alt",$BC205,TRUE)</f>
        <v>1000</v>
      </c>
      <c r="BG205" s="57">
        <f ca="1">BF205*(AP205/100)</f>
        <v>0</v>
      </c>
      <c r="BH205" s="57">
        <f>SUMIF(Invoice!A:A,F205,Invoice!B:B)</f>
        <v>0</v>
      </c>
      <c r="BI205" s="57">
        <f ca="1">SUMIF(AS:AS,AS205,BG:BG)</f>
        <v>1000</v>
      </c>
      <c r="BJ205" s="57">
        <f ca="1">MIN((BI205-SUMIF($AS$5:AS204,AS205,$BJ$5:BJ204)),MAX(0,BH205-SUMIF($F$5:F204,F205,$BJ$5:BJ204)))</f>
        <v>0</v>
      </c>
      <c r="BK205" s="57">
        <f ca="1">(-SUMIF(AS:AS,AS205,BG:BG)+SUMIF(AS:AS,AS205,BJ:BJ))*(AP205=100)*AR205</f>
        <v>0</v>
      </c>
      <c r="BL205" s="57">
        <f ca="1">MAX(0,SUMIF(Invoice!A:A,F205,Invoice!B:B)-SUMIF(F:F,F205,BJ:BJ))*(COUNTIF(F:F,F205)=COUNTIF($F$5:F205,F205))</f>
        <v>0</v>
      </c>
    </row>
    <row r="206" spans="1:64" hidden="1">
      <c r="A206" s="43">
        <v>205</v>
      </c>
      <c r="B206" s="35" t="s">
        <v>147</v>
      </c>
      <c r="C206" s="35" t="s">
        <v>146</v>
      </c>
      <c r="D206" s="35">
        <v>2</v>
      </c>
      <c r="E206" s="35">
        <v>710</v>
      </c>
      <c r="F206" s="64" t="s">
        <v>577</v>
      </c>
      <c r="G206" s="73" t="s">
        <v>578</v>
      </c>
      <c r="H206" s="35">
        <v>71</v>
      </c>
      <c r="I206" s="35" t="s">
        <v>55</v>
      </c>
      <c r="J206" s="35">
        <v>0</v>
      </c>
      <c r="K206" s="35" t="s">
        <v>414</v>
      </c>
      <c r="L206" s="35" t="s">
        <v>53</v>
      </c>
      <c r="M206" s="35">
        <v>1</v>
      </c>
      <c r="N206" s="35"/>
      <c r="O206" s="35">
        <v>1</v>
      </c>
      <c r="P206" s="35">
        <v>2</v>
      </c>
      <c r="Q206" s="35">
        <v>2</v>
      </c>
      <c r="R206" s="35" t="s">
        <v>122</v>
      </c>
      <c r="S206" s="35" t="s">
        <v>122</v>
      </c>
      <c r="T206" s="36">
        <v>44901</v>
      </c>
      <c r="U206" s="36">
        <v>2958465</v>
      </c>
      <c r="V206" s="35" t="s">
        <v>282</v>
      </c>
      <c r="W206" s="35" t="s">
        <v>145</v>
      </c>
      <c r="X206" s="35"/>
      <c r="Y206" s="35" t="s">
        <v>143</v>
      </c>
      <c r="Z206" s="35">
        <v>7589154</v>
      </c>
      <c r="AA206" s="35">
        <v>298</v>
      </c>
      <c r="AB206" s="35">
        <v>149</v>
      </c>
      <c r="AC206" s="35"/>
      <c r="AE206" s="51">
        <f>M206/O206</f>
        <v>1</v>
      </c>
      <c r="AG206" s="6" t="str">
        <f>C206</f>
        <v>90MB1BJ0-C1BAY0</v>
      </c>
      <c r="AH206" s="6" t="str">
        <f>IF($D206&lt;=AH$4,"",IF(AND($D205=AH$4,$D206&gt;AH$4),$F205,AH205))</f>
        <v>59MB1BJB-MB0A02S</v>
      </c>
      <c r="AI206" s="6" t="str">
        <f>IF($D206&lt;=AI$4,"",IF(AND($D205=AI$4,$D206&gt;AI$4),$F205,AI205))</f>
        <v/>
      </c>
      <c r="AJ206" s="6" t="str">
        <f>IF($D206&lt;=AJ$4,"",IF(AND($D205=AJ$4,$D206&gt;AJ$4),$F205,AJ205))</f>
        <v/>
      </c>
      <c r="AK206" s="6" t="str">
        <f>IF($D206&lt;=AK$4,"",IF(AND($D205=AK$4,$D206&gt;AK$4),$F205,AK205))</f>
        <v/>
      </c>
      <c r="AL206" s="6" t="str">
        <f>IF($D206&lt;=AL$4,"",IF(AND($D205=AL$4,$D206&gt;AL$4),$F205,AL205))</f>
        <v/>
      </c>
      <c r="AM206" s="6" t="str">
        <f>IF($D206&lt;=AM$4,"",IF(AND($D205=AM$4,$D206&gt;AM$4),$F205,AM205))</f>
        <v/>
      </c>
      <c r="AN206" s="6" t="str">
        <f>IF($D206&lt;=AN$4,"",IF(AND($D205=AN$4,$D206&gt;AN$4),$F205,AN205))</f>
        <v/>
      </c>
      <c r="AO206" s="6" t="str">
        <f>CONCATENATE(AG206," | ",AH206," | ",AI206," | ",AJ206," | ",AK206," | ",AL206," | ",AM206," | ",AN206)</f>
        <v xml:space="preserve">90MB1BJ0-C1BAY0 | 59MB1BJB-MB0A02S |  |  |  |  |  | </v>
      </c>
      <c r="AP206" s="6">
        <f>IF(TRIM(H206)="",100,J206)</f>
        <v>0</v>
      </c>
      <c r="AQ206" s="4"/>
      <c r="AR206" s="6" t="b">
        <f>NOT(TRIM(W206)&lt;&gt;"F")</f>
        <v>1</v>
      </c>
      <c r="AS206" s="6" t="str">
        <f>$B206&amp;" | "&amp;$AO206&amp;" | "&amp;IF(TRIM(H206)="","uniq"&amp;ROW(),TRIM(H206))</f>
        <v>461E | 90MB1BJ0-C1BAY0 | 59MB1BJB-MB0A02S |  |  |  |  |  |  | 71</v>
      </c>
      <c r="AT206" s="63">
        <f>IF(NOT(AR206),IF(TRIM($H206)="","Assembly","Phantom Alt"),VLOOKUP(F206,ZPCS04!B:G,6,0))</f>
        <v>1202</v>
      </c>
      <c r="AU206" s="7"/>
      <c r="AV206" s="38">
        <f ca="1">IF(TRIM($W206)="F",OFFSET($A$5,MATCH($AS206,$AS$5:$AS206,0)-1,0),$A206)</f>
        <v>206</v>
      </c>
      <c r="AW206" s="38">
        <f ca="1">IFERROR(OFFSET(ZPCS04!$A$1,MATCH(F206,ZPCS04!B:B,0)-1,0),100)</f>
        <v>2</v>
      </c>
      <c r="AX206" s="7"/>
      <c r="AY206" s="6" t="b">
        <f>SUMIF(AS:AS,AS206,AP:AP)=100</f>
        <v>1</v>
      </c>
      <c r="AZ206" s="6" t="b">
        <f>SUMIF(AS:AS,AS206,AE:AE)/COUNTIF(AS:AS,AS206)=AE206</f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>C206&amp;" | "&amp;F206</f>
        <v>90MB1BJ0-C1BAY0 | 07005-A0550000</v>
      </c>
      <c r="BE206" s="55" t="str">
        <f ca="1">C206&amp;" | "&amp;OFFSET($AF206,0,8-COUNTBLANK($AG206:$AN206))</f>
        <v>90MB1BJ0-C1BAY0 | 59MB1BJB-MB0A02S</v>
      </c>
      <c r="BF206" s="57">
        <f ca="1">IFERROR(VLOOKUP($BE206,$BD$5:$BF205,3,0)*$AE206,VLOOKUP($C206,Demanda!$A:$B,2,0)*$AE206)*IF(AT206="Phantom Alt",$BC206,TRUE)</f>
        <v>1000</v>
      </c>
      <c r="BG206" s="57">
        <f ca="1">BF206*(AP206/100)</f>
        <v>0</v>
      </c>
      <c r="BH206" s="57">
        <f>SUMIF(Invoice!A:A,F206,Invoice!B:B)</f>
        <v>0</v>
      </c>
      <c r="BI206" s="57">
        <f ca="1">SUMIF(AS:AS,AS206,BG:BG)</f>
        <v>1000</v>
      </c>
      <c r="BJ206" s="57">
        <f ca="1">MIN((BI206-SUMIF($AS$5:AS205,AS206,$BJ$5:BJ205)),MAX(0,BH206-SUMIF($F$5:F205,F206,$BJ$5:BJ205)))</f>
        <v>0</v>
      </c>
      <c r="BK206" s="57">
        <f ca="1">(-SUMIF(AS:AS,AS206,BG:BG)+SUMIF(AS:AS,AS206,BJ:BJ))*(AP206=100)*AR206</f>
        <v>0</v>
      </c>
      <c r="BL206" s="57">
        <f ca="1">MAX(0,SUMIF(Invoice!A:A,F206,Invoice!B:B)-SUMIF(F:F,F206,BJ:BJ))*(COUNTIF(F:F,F206)=COUNTIF($F$5:F206,F206))</f>
        <v>0</v>
      </c>
    </row>
    <row r="207" spans="1:64" hidden="1">
      <c r="A207" s="43">
        <v>207</v>
      </c>
      <c r="B207" s="35" t="s">
        <v>147</v>
      </c>
      <c r="C207" s="35" t="s">
        <v>146</v>
      </c>
      <c r="D207" s="35">
        <v>2</v>
      </c>
      <c r="E207" s="35">
        <v>720</v>
      </c>
      <c r="F207" s="64" t="s">
        <v>581</v>
      </c>
      <c r="G207" s="73" t="s">
        <v>582</v>
      </c>
      <c r="H207" s="35">
        <v>72</v>
      </c>
      <c r="I207" s="35" t="s">
        <v>54</v>
      </c>
      <c r="J207" s="35">
        <v>100</v>
      </c>
      <c r="K207" s="35" t="s">
        <v>150</v>
      </c>
      <c r="L207" s="35" t="s">
        <v>53</v>
      </c>
      <c r="M207" s="35">
        <v>1</v>
      </c>
      <c r="N207" s="35">
        <v>1</v>
      </c>
      <c r="O207" s="35">
        <v>1</v>
      </c>
      <c r="P207" s="35">
        <v>2</v>
      </c>
      <c r="Q207" s="35">
        <v>1</v>
      </c>
      <c r="R207" s="35" t="s">
        <v>73</v>
      </c>
      <c r="S207" s="35" t="s">
        <v>73</v>
      </c>
      <c r="T207" s="36">
        <v>44901</v>
      </c>
      <c r="U207" s="36">
        <v>2958465</v>
      </c>
      <c r="V207" s="35" t="s">
        <v>282</v>
      </c>
      <c r="W207" s="35" t="s">
        <v>145</v>
      </c>
      <c r="X207" s="35"/>
      <c r="Y207" s="35" t="s">
        <v>143</v>
      </c>
      <c r="Z207" s="35">
        <v>7589154</v>
      </c>
      <c r="AA207" s="35">
        <v>302</v>
      </c>
      <c r="AB207" s="35">
        <v>151</v>
      </c>
      <c r="AC207" s="35" t="s">
        <v>144</v>
      </c>
      <c r="AE207" s="51">
        <f>M207/O207</f>
        <v>1</v>
      </c>
      <c r="AG207" s="6" t="str">
        <f>C207</f>
        <v>90MB1BJ0-C1BAY0</v>
      </c>
      <c r="AH207" s="6" t="str">
        <f>IF($D207&lt;=AH$4,"",IF(AND($D206=AH$4,$D207&gt;AH$4),$F206,AH206))</f>
        <v>59MB1BJB-MB0A02S</v>
      </c>
      <c r="AI207" s="6" t="str">
        <f>IF($D207&lt;=AI$4,"",IF(AND($D206=AI$4,$D207&gt;AI$4),$F206,AI206))</f>
        <v/>
      </c>
      <c r="AJ207" s="6" t="str">
        <f>IF($D207&lt;=AJ$4,"",IF(AND($D206=AJ$4,$D207&gt;AJ$4),$F206,AJ206))</f>
        <v/>
      </c>
      <c r="AK207" s="6" t="str">
        <f>IF($D207&lt;=AK$4,"",IF(AND($D206=AK$4,$D207&gt;AK$4),$F206,AK206))</f>
        <v/>
      </c>
      <c r="AL207" s="6" t="str">
        <f>IF($D207&lt;=AL$4,"",IF(AND($D206=AL$4,$D207&gt;AL$4),$F206,AL206))</f>
        <v/>
      </c>
      <c r="AM207" s="6" t="str">
        <f>IF($D207&lt;=AM$4,"",IF(AND($D206=AM$4,$D207&gt;AM$4),$F206,AM206))</f>
        <v/>
      </c>
      <c r="AN207" s="6" t="str">
        <f>IF($D207&lt;=AN$4,"",IF(AND($D206=AN$4,$D207&gt;AN$4),$F206,AN206))</f>
        <v/>
      </c>
      <c r="AO207" s="6" t="str">
        <f>CONCATENATE(AG207," | ",AH207," | ",AI207," | ",AJ207," | ",AK207," | ",AL207," | ",AM207," | ",AN207)</f>
        <v xml:space="preserve">90MB1BJ0-C1BAY0 | 59MB1BJB-MB0A02S |  |  |  |  |  | </v>
      </c>
      <c r="AP207" s="6">
        <f>IF(TRIM(H207)="",100,J207)</f>
        <v>100</v>
      </c>
      <c r="AQ207" s="4"/>
      <c r="AR207" s="6" t="b">
        <f>NOT(TRIM(W207)&lt;&gt;"F")</f>
        <v>1</v>
      </c>
      <c r="AS207" s="6" t="str">
        <f>$B207&amp;" | "&amp;$AO207&amp;" | "&amp;IF(TRIM(H207)="","uniq"&amp;ROW(),TRIM(H207))</f>
        <v>461E | 90MB1BJ0-C1BAY0 | 59MB1BJB-MB0A02S |  |  |  |  |  |  | 72</v>
      </c>
      <c r="AT207" s="63">
        <f>IF(NOT(AR207),IF(TRIM($H207)="","Assembly","Phantom Alt"),VLOOKUP(F207,ZPCS04!B:G,6,0))</f>
        <v>937</v>
      </c>
      <c r="AU207" s="7"/>
      <c r="AV207" s="38">
        <f ca="1">IF(TRIM($W207)="F",OFFSET($A$5,MATCH($AS207,$AS$5:$AS207,0)-1,0),$A207)</f>
        <v>207</v>
      </c>
      <c r="AW207" s="38">
        <f ca="1">IFERROR(OFFSET(ZPCS04!$A$1,MATCH(F207,ZPCS04!B:B,0)-1,0),100)</f>
        <v>1.9999999900000001</v>
      </c>
      <c r="AX207" s="7"/>
      <c r="AY207" s="6" t="b">
        <f>SUMIF(AS:AS,AS207,AP:AP)=100</f>
        <v>1</v>
      </c>
      <c r="AZ207" s="6" t="b">
        <f>SUMIF(AS:AS,AS207,AE:AE)/COUNTIF(AS:AS,AS207)=AE207</f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>C207&amp;" | "&amp;F207</f>
        <v>90MB1BJ0-C1BAY0 | 07G015200612</v>
      </c>
      <c r="BE207" s="55" t="str">
        <f ca="1">C207&amp;" | "&amp;OFFSET($AF207,0,8-COUNTBLANK($AG207:$AN207))</f>
        <v>90MB1BJ0-C1BAY0 | 59MB1BJB-MB0A02S</v>
      </c>
      <c r="BF207" s="57">
        <f ca="1">IFERROR(VLOOKUP($BE207,$BD$5:$BF206,3,0)*$AE207,VLOOKUP($C207,Demanda!$A:$B,2,0)*$AE207)*IF(AT207="Phantom Alt",$BC207,TRUE)</f>
        <v>1000</v>
      </c>
      <c r="BG207" s="57">
        <f ca="1">BF207*(AP207/100)</f>
        <v>1000</v>
      </c>
      <c r="BH207" s="57">
        <f>SUMIF(Invoice!A:A,F207,Invoice!B:B)</f>
        <v>1000</v>
      </c>
      <c r="BI207" s="57">
        <f ca="1">SUMIF(AS:AS,AS207,BG:BG)</f>
        <v>1000</v>
      </c>
      <c r="BJ207" s="57">
        <f ca="1">MIN((BI207-SUMIF($AS$5:AS206,AS207,$BJ$5:BJ206)),MAX(0,BH207-SUMIF($F$5:F206,F207,$BJ$5:BJ206)))</f>
        <v>1000</v>
      </c>
      <c r="BK207" s="57">
        <f ca="1">(-SUMIF(AS:AS,AS207,BG:BG)+SUMIF(AS:AS,AS207,BJ:BJ))*(AP207=100)*AR207</f>
        <v>0</v>
      </c>
      <c r="BL207" s="57">
        <f ca="1">MAX(0,SUMIF(Invoice!A:A,F207,Invoice!B:B)-SUMIF(F:F,F207,BJ:BJ))*(COUNTIF(F:F,F207)=COUNTIF($F$5:F207,F207))</f>
        <v>0</v>
      </c>
    </row>
    <row r="208" spans="1:64" hidden="1">
      <c r="A208" s="43">
        <v>208</v>
      </c>
      <c r="B208" s="35" t="s">
        <v>147</v>
      </c>
      <c r="C208" s="35" t="s">
        <v>146</v>
      </c>
      <c r="D208" s="35">
        <v>2</v>
      </c>
      <c r="E208" s="35">
        <v>720</v>
      </c>
      <c r="F208" s="64" t="s">
        <v>583</v>
      </c>
      <c r="G208" s="73" t="s">
        <v>584</v>
      </c>
      <c r="H208" s="35">
        <v>72</v>
      </c>
      <c r="I208" s="35" t="s">
        <v>55</v>
      </c>
      <c r="J208" s="35">
        <v>0</v>
      </c>
      <c r="K208" s="35" t="s">
        <v>150</v>
      </c>
      <c r="L208" s="35" t="s">
        <v>53</v>
      </c>
      <c r="M208" s="35">
        <v>1</v>
      </c>
      <c r="N208" s="35"/>
      <c r="O208" s="35">
        <v>1</v>
      </c>
      <c r="P208" s="35">
        <v>2</v>
      </c>
      <c r="Q208" s="35">
        <v>2</v>
      </c>
      <c r="R208" s="35" t="s">
        <v>73</v>
      </c>
      <c r="S208" s="35" t="s">
        <v>73</v>
      </c>
      <c r="T208" s="36">
        <v>44901</v>
      </c>
      <c r="U208" s="36">
        <v>2958465</v>
      </c>
      <c r="V208" s="35" t="s">
        <v>282</v>
      </c>
      <c r="W208" s="35" t="s">
        <v>145</v>
      </c>
      <c r="X208" s="35"/>
      <c r="Y208" s="35" t="s">
        <v>143</v>
      </c>
      <c r="Z208" s="35">
        <v>7589154</v>
      </c>
      <c r="AA208" s="35">
        <v>304</v>
      </c>
      <c r="AB208" s="35">
        <v>152</v>
      </c>
      <c r="AC208" s="35"/>
      <c r="AE208" s="51">
        <f>M208/O208</f>
        <v>1</v>
      </c>
      <c r="AG208" s="6" t="str">
        <f>C208</f>
        <v>90MB1BJ0-C1BAY0</v>
      </c>
      <c r="AH208" s="6" t="str">
        <f>IF($D208&lt;=AH$4,"",IF(AND($D207=AH$4,$D208&gt;AH$4),$F207,AH207))</f>
        <v>59MB1BJB-MB0A02S</v>
      </c>
      <c r="AI208" s="6" t="str">
        <f>IF($D208&lt;=AI$4,"",IF(AND($D207=AI$4,$D208&gt;AI$4),$F207,AI207))</f>
        <v/>
      </c>
      <c r="AJ208" s="6" t="str">
        <f>IF($D208&lt;=AJ$4,"",IF(AND($D207=AJ$4,$D208&gt;AJ$4),$F207,AJ207))</f>
        <v/>
      </c>
      <c r="AK208" s="6" t="str">
        <f>IF($D208&lt;=AK$4,"",IF(AND($D207=AK$4,$D208&gt;AK$4),$F207,AK207))</f>
        <v/>
      </c>
      <c r="AL208" s="6" t="str">
        <f>IF($D208&lt;=AL$4,"",IF(AND($D207=AL$4,$D208&gt;AL$4),$F207,AL207))</f>
        <v/>
      </c>
      <c r="AM208" s="6" t="str">
        <f>IF($D208&lt;=AM$4,"",IF(AND($D207=AM$4,$D208&gt;AM$4),$F207,AM207))</f>
        <v/>
      </c>
      <c r="AN208" s="6" t="str">
        <f>IF($D208&lt;=AN$4,"",IF(AND($D207=AN$4,$D208&gt;AN$4),$F207,AN207))</f>
        <v/>
      </c>
      <c r="AO208" s="6" t="str">
        <f>CONCATENATE(AG208," | ",AH208," | ",AI208," | ",AJ208," | ",AK208," | ",AL208," | ",AM208," | ",AN208)</f>
        <v xml:space="preserve">90MB1BJ0-C1BAY0 | 59MB1BJB-MB0A02S |  |  |  |  |  | </v>
      </c>
      <c r="AP208" s="6">
        <f>IF(TRIM(H208)="",100,J208)</f>
        <v>0</v>
      </c>
      <c r="AQ208" s="4"/>
      <c r="AR208" s="6" t="b">
        <f>NOT(TRIM(W208)&lt;&gt;"F")</f>
        <v>1</v>
      </c>
      <c r="AS208" s="6" t="str">
        <f>$B208&amp;" | "&amp;$AO208&amp;" | "&amp;IF(TRIM(H208)="","uniq"&amp;ROW(),TRIM(H208))</f>
        <v>461E | 90MB1BJ0-C1BAY0 | 59MB1BJB-MB0A02S |  |  |  |  |  |  | 72</v>
      </c>
      <c r="AT208" s="63">
        <f>IF(NOT(AR208),IF(TRIM($H208)="","Assembly","Phantom Alt"),VLOOKUP(F208,ZPCS04!B:G,6,0))</f>
        <v>937</v>
      </c>
      <c r="AU208" s="7"/>
      <c r="AV208" s="38">
        <f ca="1">IF(TRIM($W208)="F",OFFSET($A$5,MATCH($AS208,$AS$5:$AS208,0)-1,0),$A208)</f>
        <v>207</v>
      </c>
      <c r="AW208" s="38">
        <f ca="1">IFERROR(OFFSET(ZPCS04!$A$1,MATCH(F208,ZPCS04!B:B,0)-1,0),100)</f>
        <v>2</v>
      </c>
      <c r="AX208" s="7"/>
      <c r="AY208" s="6" t="b">
        <f>SUMIF(AS:AS,AS208,AP:AP)=100</f>
        <v>1</v>
      </c>
      <c r="AZ208" s="6" t="b">
        <f>SUMIF(AS:AS,AS208,AE:AE)/COUNTIF(AS:AS,AS208)=AE208</f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>C208&amp;" | "&amp;F208</f>
        <v>90MB1BJ0-C1BAY0 | 07G015700294</v>
      </c>
      <c r="BE208" s="55" t="str">
        <f ca="1">C208&amp;" | "&amp;OFFSET($AF208,0,8-COUNTBLANK($AG208:$AN208))</f>
        <v>90MB1BJ0-C1BAY0 | 59MB1BJB-MB0A02S</v>
      </c>
      <c r="BF208" s="57">
        <f ca="1">IFERROR(VLOOKUP($BE208,$BD$5:$BF207,3,0)*$AE208,VLOOKUP($C208,Demanda!$A:$B,2,0)*$AE208)*IF(AT208="Phantom Alt",$BC208,TRUE)</f>
        <v>1000</v>
      </c>
      <c r="BG208" s="57">
        <f ca="1">BF208*(AP208/100)</f>
        <v>0</v>
      </c>
      <c r="BH208" s="57">
        <f>SUMIF(Invoice!A:A,F208,Invoice!B:B)</f>
        <v>0</v>
      </c>
      <c r="BI208" s="57">
        <f ca="1">SUMIF(AS:AS,AS208,BG:BG)</f>
        <v>1000</v>
      </c>
      <c r="BJ208" s="57">
        <f ca="1">MIN((BI208-SUMIF($AS$5:AS207,AS208,$BJ$5:BJ207)),MAX(0,BH208-SUMIF($F$5:F207,F208,$BJ$5:BJ207)))</f>
        <v>0</v>
      </c>
      <c r="BK208" s="57">
        <f ca="1">(-SUMIF(AS:AS,AS208,BG:BG)+SUMIF(AS:AS,AS208,BJ:BJ))*(AP208=100)*AR208</f>
        <v>0</v>
      </c>
      <c r="BL208" s="57">
        <f ca="1">MAX(0,SUMIF(Invoice!A:A,F208,Invoice!B:B)-SUMIF(F:F,F208,BJ:BJ))*(COUNTIF(F:F,F208)=COUNTIF($F$5:F208,F208))</f>
        <v>0</v>
      </c>
    </row>
    <row r="209" spans="1:64" hidden="1">
      <c r="A209" s="43">
        <v>210</v>
      </c>
      <c r="B209" s="35" t="s">
        <v>147</v>
      </c>
      <c r="C209" s="35" t="s">
        <v>146</v>
      </c>
      <c r="D209" s="35">
        <v>2</v>
      </c>
      <c r="E209" s="35">
        <v>730</v>
      </c>
      <c r="F209" s="64" t="s">
        <v>587</v>
      </c>
      <c r="G209" s="73" t="s">
        <v>588</v>
      </c>
      <c r="H209" s="35">
        <v>73</v>
      </c>
      <c r="I209" s="35" t="s">
        <v>55</v>
      </c>
      <c r="J209" s="35">
        <v>0</v>
      </c>
      <c r="K209" s="35" t="s">
        <v>150</v>
      </c>
      <c r="L209" s="35" t="s">
        <v>53</v>
      </c>
      <c r="M209" s="35">
        <v>1</v>
      </c>
      <c r="N209" s="35"/>
      <c r="O209" s="35">
        <v>1</v>
      </c>
      <c r="P209" s="35">
        <v>2</v>
      </c>
      <c r="Q209" s="35">
        <v>3</v>
      </c>
      <c r="R209" s="35" t="s">
        <v>73</v>
      </c>
      <c r="S209" s="35" t="s">
        <v>73</v>
      </c>
      <c r="T209" s="36">
        <v>44901</v>
      </c>
      <c r="U209" s="36">
        <v>2958465</v>
      </c>
      <c r="V209" s="35" t="s">
        <v>282</v>
      </c>
      <c r="W209" s="35" t="s">
        <v>145</v>
      </c>
      <c r="X209" s="35"/>
      <c r="Y209" s="35" t="s">
        <v>143</v>
      </c>
      <c r="Z209" s="35">
        <v>7589154</v>
      </c>
      <c r="AA209" s="35">
        <v>310</v>
      </c>
      <c r="AB209" s="35">
        <v>155</v>
      </c>
      <c r="AC209" s="35"/>
      <c r="AE209" s="51">
        <f>M209/O209</f>
        <v>1</v>
      </c>
      <c r="AG209" s="6" t="str">
        <f>C209</f>
        <v>90MB1BJ0-C1BAY0</v>
      </c>
      <c r="AH209" s="6" t="str">
        <f>IF($D209&lt;=AH$4,"",IF(AND($D208=AH$4,$D209&gt;AH$4),$F208,AH208))</f>
        <v>59MB1BJB-MB0A02S</v>
      </c>
      <c r="AI209" s="6" t="str">
        <f>IF($D209&lt;=AI$4,"",IF(AND($D208=AI$4,$D209&gt;AI$4),$F208,AI208))</f>
        <v/>
      </c>
      <c r="AJ209" s="6" t="str">
        <f>IF($D209&lt;=AJ$4,"",IF(AND($D208=AJ$4,$D209&gt;AJ$4),$F208,AJ208))</f>
        <v/>
      </c>
      <c r="AK209" s="6" t="str">
        <f>IF($D209&lt;=AK$4,"",IF(AND($D208=AK$4,$D209&gt;AK$4),$F208,AK208))</f>
        <v/>
      </c>
      <c r="AL209" s="6" t="str">
        <f>IF($D209&lt;=AL$4,"",IF(AND($D208=AL$4,$D209&gt;AL$4),$F208,AL208))</f>
        <v/>
      </c>
      <c r="AM209" s="6" t="str">
        <f>IF($D209&lt;=AM$4,"",IF(AND($D208=AM$4,$D209&gt;AM$4),$F208,AM208))</f>
        <v/>
      </c>
      <c r="AN209" s="6" t="str">
        <f>IF($D209&lt;=AN$4,"",IF(AND($D208=AN$4,$D209&gt;AN$4),$F208,AN208))</f>
        <v/>
      </c>
      <c r="AO209" s="6" t="str">
        <f>CONCATENATE(AG209," | ",AH209," | ",AI209," | ",AJ209," | ",AK209," | ",AL209," | ",AM209," | ",AN209)</f>
        <v xml:space="preserve">90MB1BJ0-C1BAY0 | 59MB1BJB-MB0A02S |  |  |  |  |  | </v>
      </c>
      <c r="AP209" s="6">
        <f>IF(TRIM(H209)="",100,J209)</f>
        <v>0</v>
      </c>
      <c r="AQ209" s="4"/>
      <c r="AR209" s="6" t="b">
        <f>NOT(TRIM(W209)&lt;&gt;"F")</f>
        <v>1</v>
      </c>
      <c r="AS209" s="6" t="str">
        <f>$B209&amp;" | "&amp;$AO209&amp;" | "&amp;IF(TRIM(H209)="","uniq"&amp;ROW(),TRIM(H209))</f>
        <v>461E | 90MB1BJ0-C1BAY0 | 59MB1BJB-MB0A02S |  |  |  |  |  |  | 73</v>
      </c>
      <c r="AT209" s="63">
        <f>IF(NOT(AR209),IF(TRIM($H209)="","Assembly","Phantom Alt"),VLOOKUP(F209,ZPCS04!B:G,6,0))</f>
        <v>938</v>
      </c>
      <c r="AU209" s="7"/>
      <c r="AV209" s="38">
        <f ca="1">IF(TRIM($W209)="F",OFFSET($A$5,MATCH($AS209,$AS$5:$AS209,0)-1,0),$A209)</f>
        <v>210</v>
      </c>
      <c r="AW209" s="38">
        <f ca="1">IFERROR(OFFSET(ZPCS04!$A$1,MATCH(F209,ZPCS04!B:B,0)-1,0),100)</f>
        <v>1.9999999900000001</v>
      </c>
      <c r="AX209" s="7"/>
      <c r="AY209" s="6" t="b">
        <f>SUMIF(AS:AS,AS209,AP:AP)=100</f>
        <v>1</v>
      </c>
      <c r="AZ209" s="6" t="b">
        <f>SUMIF(AS:AS,AS209,AE:AE)/COUNTIF(AS:AS,AS209)=AE209</f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>C209&amp;" | "&amp;F209</f>
        <v>90MB1BJ0-C1BAY0 | 07G015700410</v>
      </c>
      <c r="BE209" s="55" t="str">
        <f ca="1">C209&amp;" | "&amp;OFFSET($AF209,0,8-COUNTBLANK($AG209:$AN209))</f>
        <v>90MB1BJ0-C1BAY0 | 59MB1BJB-MB0A02S</v>
      </c>
      <c r="BF209" s="57">
        <f ca="1">IFERROR(VLOOKUP($BE209,$BD$5:$BF208,3,0)*$AE209,VLOOKUP($C209,Demanda!$A:$B,2,0)*$AE209)*IF(AT209="Phantom Alt",$BC209,TRUE)</f>
        <v>1000</v>
      </c>
      <c r="BG209" s="57">
        <f ca="1">BF209*(AP209/100)</f>
        <v>0</v>
      </c>
      <c r="BH209" s="57">
        <f>SUMIF(Invoice!A:A,F209,Invoice!B:B)</f>
        <v>1000</v>
      </c>
      <c r="BI209" s="57">
        <f ca="1">SUMIF(AS:AS,AS209,BG:BG)</f>
        <v>1000</v>
      </c>
      <c r="BJ209" s="57">
        <f ca="1">MIN((BI209-SUMIF($AS$5:AS208,AS209,$BJ$5:BJ208)),MAX(0,BH209-SUMIF($F$5:F208,F209,$BJ$5:BJ208)))</f>
        <v>1000</v>
      </c>
      <c r="BK209" s="57">
        <f ca="1">(-SUMIF(AS:AS,AS209,BG:BG)+SUMIF(AS:AS,AS209,BJ:BJ))*(AP209=100)*AR209</f>
        <v>0</v>
      </c>
      <c r="BL209" s="57">
        <f ca="1">MAX(0,SUMIF(Invoice!A:A,F209,Invoice!B:B)-SUMIF(F:F,F209,BJ:BJ))*(COUNTIF(F:F,F209)=COUNTIF($F$5:F209,F209))</f>
        <v>0</v>
      </c>
    </row>
    <row r="210" spans="1:64" hidden="1">
      <c r="A210" s="43">
        <v>209</v>
      </c>
      <c r="B210" s="35" t="s">
        <v>147</v>
      </c>
      <c r="C210" s="35" t="s">
        <v>146</v>
      </c>
      <c r="D210" s="35">
        <v>2</v>
      </c>
      <c r="E210" s="35">
        <v>730</v>
      </c>
      <c r="F210" s="64" t="s">
        <v>585</v>
      </c>
      <c r="G210" s="73" t="s">
        <v>586</v>
      </c>
      <c r="H210" s="35">
        <v>73</v>
      </c>
      <c r="I210" s="35" t="s">
        <v>55</v>
      </c>
      <c r="J210" s="35">
        <v>0</v>
      </c>
      <c r="K210" s="35" t="s">
        <v>150</v>
      </c>
      <c r="L210" s="35" t="s">
        <v>53</v>
      </c>
      <c r="M210" s="35">
        <v>1</v>
      </c>
      <c r="N210" s="35"/>
      <c r="O210" s="35">
        <v>1</v>
      </c>
      <c r="P210" s="35">
        <v>2</v>
      </c>
      <c r="Q210" s="35">
        <v>2</v>
      </c>
      <c r="R210" s="35" t="s">
        <v>73</v>
      </c>
      <c r="S210" s="35" t="s">
        <v>73</v>
      </c>
      <c r="T210" s="36">
        <v>44901</v>
      </c>
      <c r="U210" s="36">
        <v>2958465</v>
      </c>
      <c r="V210" s="35" t="s">
        <v>282</v>
      </c>
      <c r="W210" s="35" t="s">
        <v>145</v>
      </c>
      <c r="X210" s="35"/>
      <c r="Y210" s="35" t="s">
        <v>143</v>
      </c>
      <c r="Z210" s="35">
        <v>7589154</v>
      </c>
      <c r="AA210" s="35">
        <v>308</v>
      </c>
      <c r="AB210" s="35">
        <v>154</v>
      </c>
      <c r="AC210" s="35"/>
      <c r="AE210" s="51">
        <f>M210/O210</f>
        <v>1</v>
      </c>
      <c r="AG210" s="6" t="str">
        <f>C210</f>
        <v>90MB1BJ0-C1BAY0</v>
      </c>
      <c r="AH210" s="6" t="str">
        <f>IF($D210&lt;=AH$4,"",IF(AND($D209=AH$4,$D210&gt;AH$4),$F209,AH209))</f>
        <v>59MB1BJB-MB0A02S</v>
      </c>
      <c r="AI210" s="6" t="str">
        <f>IF($D210&lt;=AI$4,"",IF(AND($D209=AI$4,$D210&gt;AI$4),$F209,AI209))</f>
        <v/>
      </c>
      <c r="AJ210" s="6" t="str">
        <f>IF($D210&lt;=AJ$4,"",IF(AND($D209=AJ$4,$D210&gt;AJ$4),$F209,AJ209))</f>
        <v/>
      </c>
      <c r="AK210" s="6" t="str">
        <f>IF($D210&lt;=AK$4,"",IF(AND($D209=AK$4,$D210&gt;AK$4),$F209,AK209))</f>
        <v/>
      </c>
      <c r="AL210" s="6" t="str">
        <f>IF($D210&lt;=AL$4,"",IF(AND($D209=AL$4,$D210&gt;AL$4),$F209,AL209))</f>
        <v/>
      </c>
      <c r="AM210" s="6" t="str">
        <f>IF($D210&lt;=AM$4,"",IF(AND($D209=AM$4,$D210&gt;AM$4),$F209,AM209))</f>
        <v/>
      </c>
      <c r="AN210" s="6" t="str">
        <f>IF($D210&lt;=AN$4,"",IF(AND($D209=AN$4,$D210&gt;AN$4),$F209,AN209))</f>
        <v/>
      </c>
      <c r="AO210" s="6" t="str">
        <f>CONCATENATE(AG210," | ",AH210," | ",AI210," | ",AJ210," | ",AK210," | ",AL210," | ",AM210," | ",AN210)</f>
        <v xml:space="preserve">90MB1BJ0-C1BAY0 | 59MB1BJB-MB0A02S |  |  |  |  |  | </v>
      </c>
      <c r="AP210" s="6">
        <f>IF(TRIM(H210)="",100,J210)</f>
        <v>0</v>
      </c>
      <c r="AQ210" s="4"/>
      <c r="AR210" s="6" t="b">
        <f>NOT(TRIM(W210)&lt;&gt;"F")</f>
        <v>1</v>
      </c>
      <c r="AS210" s="6" t="str">
        <f>$B210&amp;" | "&amp;$AO210&amp;" | "&amp;IF(TRIM(H210)="","uniq"&amp;ROW(),TRIM(H210))</f>
        <v>461E | 90MB1BJ0-C1BAY0 | 59MB1BJB-MB0A02S |  |  |  |  |  |  | 73</v>
      </c>
      <c r="AT210" s="63">
        <f>IF(NOT(AR210),IF(TRIM($H210)="","Assembly","Phantom Alt"),VLOOKUP(F210,ZPCS04!B:G,6,0))</f>
        <v>938</v>
      </c>
      <c r="AU210" s="7"/>
      <c r="AV210" s="38">
        <f ca="1">IF(TRIM($W210)="F",OFFSET($A$5,MATCH($AS210,$AS$5:$AS210,0)-1,0),$A210)</f>
        <v>210</v>
      </c>
      <c r="AW210" s="38">
        <f ca="1">IFERROR(OFFSET(ZPCS04!$A$1,MATCH(F210,ZPCS04!B:B,0)-1,0),100)</f>
        <v>2</v>
      </c>
      <c r="AX210" s="7"/>
      <c r="AY210" s="6" t="b">
        <f>SUMIF(AS:AS,AS210,AP:AP)=100</f>
        <v>1</v>
      </c>
      <c r="AZ210" s="6" t="b">
        <f>SUMIF(AS:AS,AS210,AE:AE)/COUNTIF(AS:AS,AS210)=AE210</f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>C210&amp;" | "&amp;F210</f>
        <v>90MB1BJ0-C1BAY0 | 07G015200630</v>
      </c>
      <c r="BE210" s="55" t="str">
        <f ca="1">C210&amp;" | "&amp;OFFSET($AF210,0,8-COUNTBLANK($AG210:$AN210))</f>
        <v>90MB1BJ0-C1BAY0 | 59MB1BJB-MB0A02S</v>
      </c>
      <c r="BF210" s="57">
        <f ca="1">IFERROR(VLOOKUP($BE210,$BD$5:$BF209,3,0)*$AE210,VLOOKUP($C210,Demanda!$A:$B,2,0)*$AE210)*IF(AT210="Phantom Alt",$BC210,TRUE)</f>
        <v>1000</v>
      </c>
      <c r="BG210" s="57">
        <f ca="1">BF210*(AP210/100)</f>
        <v>0</v>
      </c>
      <c r="BH210" s="57">
        <f>SUMIF(Invoice!A:A,F210,Invoice!B:B)</f>
        <v>0</v>
      </c>
      <c r="BI210" s="57">
        <f ca="1">SUMIF(AS:AS,AS210,BG:BG)</f>
        <v>1000</v>
      </c>
      <c r="BJ210" s="57">
        <f ca="1">MIN((BI210-SUMIF($AS$5:AS209,AS210,$BJ$5:BJ209)),MAX(0,BH210-SUMIF($F$5:F209,F210,$BJ$5:BJ209)))</f>
        <v>0</v>
      </c>
      <c r="BK210" s="57">
        <f ca="1">(-SUMIF(AS:AS,AS210,BG:BG)+SUMIF(AS:AS,AS210,BJ:BJ))*(AP210=100)*AR210</f>
        <v>0</v>
      </c>
      <c r="BL210" s="57">
        <f ca="1">MAX(0,SUMIF(Invoice!A:A,F210,Invoice!B:B)-SUMIF(F:F,F210,BJ:BJ))*(COUNTIF(F:F,F210)=COUNTIF($F$5:F210,F210))</f>
        <v>0</v>
      </c>
    </row>
    <row r="211" spans="1:64" hidden="1">
      <c r="A211" s="43">
        <v>211</v>
      </c>
      <c r="B211" s="35" t="s">
        <v>147</v>
      </c>
      <c r="C211" s="35" t="s">
        <v>146</v>
      </c>
      <c r="D211" s="35">
        <v>2</v>
      </c>
      <c r="E211" s="35">
        <v>730</v>
      </c>
      <c r="F211" s="64" t="s">
        <v>589</v>
      </c>
      <c r="G211" s="73" t="s">
        <v>590</v>
      </c>
      <c r="H211" s="35">
        <v>73</v>
      </c>
      <c r="I211" s="35" t="s">
        <v>54</v>
      </c>
      <c r="J211" s="35">
        <v>100</v>
      </c>
      <c r="K211" s="35" t="s">
        <v>150</v>
      </c>
      <c r="L211" s="35" t="s">
        <v>53</v>
      </c>
      <c r="M211" s="35">
        <v>1</v>
      </c>
      <c r="N211" s="35">
        <v>1</v>
      </c>
      <c r="O211" s="35">
        <v>1</v>
      </c>
      <c r="P211" s="35">
        <v>2</v>
      </c>
      <c r="Q211" s="35">
        <v>1</v>
      </c>
      <c r="R211" s="35" t="s">
        <v>73</v>
      </c>
      <c r="S211" s="35" t="s">
        <v>73</v>
      </c>
      <c r="T211" s="36">
        <v>44901</v>
      </c>
      <c r="U211" s="36">
        <v>2958465</v>
      </c>
      <c r="V211" s="35" t="s">
        <v>282</v>
      </c>
      <c r="W211" s="35" t="s">
        <v>145</v>
      </c>
      <c r="X211" s="35"/>
      <c r="Y211" s="35" t="s">
        <v>143</v>
      </c>
      <c r="Z211" s="35">
        <v>7589154</v>
      </c>
      <c r="AA211" s="35">
        <v>306</v>
      </c>
      <c r="AB211" s="35">
        <v>153</v>
      </c>
      <c r="AC211" s="35"/>
      <c r="AE211" s="51">
        <f>M211/O211</f>
        <v>1</v>
      </c>
      <c r="AG211" s="6" t="str">
        <f>C211</f>
        <v>90MB1BJ0-C1BAY0</v>
      </c>
      <c r="AH211" s="6" t="str">
        <f>IF($D211&lt;=AH$4,"",IF(AND($D210=AH$4,$D211&gt;AH$4),$F210,AH210))</f>
        <v>59MB1BJB-MB0A02S</v>
      </c>
      <c r="AI211" s="6" t="str">
        <f>IF($D211&lt;=AI$4,"",IF(AND($D210=AI$4,$D211&gt;AI$4),$F210,AI210))</f>
        <v/>
      </c>
      <c r="AJ211" s="6" t="str">
        <f>IF($D211&lt;=AJ$4,"",IF(AND($D210=AJ$4,$D211&gt;AJ$4),$F210,AJ210))</f>
        <v/>
      </c>
      <c r="AK211" s="6" t="str">
        <f>IF($D211&lt;=AK$4,"",IF(AND($D210=AK$4,$D211&gt;AK$4),$F210,AK210))</f>
        <v/>
      </c>
      <c r="AL211" s="6" t="str">
        <f>IF($D211&lt;=AL$4,"",IF(AND($D210=AL$4,$D211&gt;AL$4),$F210,AL210))</f>
        <v/>
      </c>
      <c r="AM211" s="6" t="str">
        <f>IF($D211&lt;=AM$4,"",IF(AND($D210=AM$4,$D211&gt;AM$4),$F210,AM210))</f>
        <v/>
      </c>
      <c r="AN211" s="6" t="str">
        <f>IF($D211&lt;=AN$4,"",IF(AND($D210=AN$4,$D211&gt;AN$4),$F210,AN210))</f>
        <v/>
      </c>
      <c r="AO211" s="6" t="str">
        <f>CONCATENATE(AG211," | ",AH211," | ",AI211," | ",AJ211," | ",AK211," | ",AL211," | ",AM211," | ",AN211)</f>
        <v xml:space="preserve">90MB1BJ0-C1BAY0 | 59MB1BJB-MB0A02S |  |  |  |  |  | </v>
      </c>
      <c r="AP211" s="6">
        <f>IF(TRIM(H211)="",100,J211)</f>
        <v>100</v>
      </c>
      <c r="AQ211" s="4"/>
      <c r="AR211" s="6" t="b">
        <f>NOT(TRIM(W211)&lt;&gt;"F")</f>
        <v>1</v>
      </c>
      <c r="AS211" s="6" t="str">
        <f>$B211&amp;" | "&amp;$AO211&amp;" | "&amp;IF(TRIM(H211)="","uniq"&amp;ROW(),TRIM(H211))</f>
        <v>461E | 90MB1BJ0-C1BAY0 | 59MB1BJB-MB0A02S |  |  |  |  |  |  | 73</v>
      </c>
      <c r="AT211" s="63">
        <f>IF(NOT(AR211),IF(TRIM($H211)="","Assembly","Phantom Alt"),VLOOKUP(F211,ZPCS04!B:G,6,0))</f>
        <v>938</v>
      </c>
      <c r="AU211" s="7"/>
      <c r="AV211" s="38">
        <f ca="1">IF(TRIM($W211)="F",OFFSET($A$5,MATCH($AS211,$AS$5:$AS211,0)-1,0),$A211)</f>
        <v>210</v>
      </c>
      <c r="AW211" s="38">
        <f ca="1">IFERROR(OFFSET(ZPCS04!$A$1,MATCH(F211,ZPCS04!B:B,0)-1,0),100)</f>
        <v>2</v>
      </c>
      <c r="AX211" s="7"/>
      <c r="AY211" s="6" t="b">
        <f>SUMIF(AS:AS,AS211,AP:AP)=100</f>
        <v>1</v>
      </c>
      <c r="AZ211" s="6" t="b">
        <f>SUMIF(AS:AS,AS211,AE:AE)/COUNTIF(AS:AS,AS211)=AE211</f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>C211&amp;" | "&amp;F211</f>
        <v>90MB1BJ0-C1BAY0 | 07G015N00080</v>
      </c>
      <c r="BE211" s="55" t="str">
        <f ca="1">C211&amp;" | "&amp;OFFSET($AF211,0,8-COUNTBLANK($AG211:$AN211))</f>
        <v>90MB1BJ0-C1BAY0 | 59MB1BJB-MB0A02S</v>
      </c>
      <c r="BF211" s="57">
        <f ca="1">IFERROR(VLOOKUP($BE211,$BD$5:$BF210,3,0)*$AE211,VLOOKUP($C211,Demanda!$A:$B,2,0)*$AE211)*IF(AT211="Phantom Alt",$BC211,TRUE)</f>
        <v>1000</v>
      </c>
      <c r="BG211" s="57">
        <f ca="1">BF211*(AP211/100)</f>
        <v>1000</v>
      </c>
      <c r="BH211" s="57">
        <f>SUMIF(Invoice!A:A,F211,Invoice!B:B)</f>
        <v>0</v>
      </c>
      <c r="BI211" s="57">
        <f ca="1">SUMIF(AS:AS,AS211,BG:BG)</f>
        <v>1000</v>
      </c>
      <c r="BJ211" s="57">
        <f ca="1">MIN((BI211-SUMIF($AS$5:AS210,AS211,$BJ$5:BJ210)),MAX(0,BH211-SUMIF($F$5:F210,F211,$BJ$5:BJ210)))</f>
        <v>0</v>
      </c>
      <c r="BK211" s="57">
        <f ca="1">(-SUMIF(AS:AS,AS211,BG:BG)+SUMIF(AS:AS,AS211,BJ:BJ))*(AP211=100)*AR211</f>
        <v>0</v>
      </c>
      <c r="BL211" s="57">
        <f ca="1">MAX(0,SUMIF(Invoice!A:A,F211,Invoice!B:B)-SUMIF(F:F,F211,BJ:BJ))*(COUNTIF(F:F,F211)=COUNTIF($F$5:F211,F211))</f>
        <v>0</v>
      </c>
    </row>
    <row r="212" spans="1:64" hidden="1">
      <c r="A212" s="43">
        <v>213</v>
      </c>
      <c r="B212" s="35" t="s">
        <v>147</v>
      </c>
      <c r="C212" s="35" t="s">
        <v>146</v>
      </c>
      <c r="D212" s="35">
        <v>2</v>
      </c>
      <c r="E212" s="35">
        <v>740</v>
      </c>
      <c r="F212" s="64" t="s">
        <v>593</v>
      </c>
      <c r="G212" s="73" t="s">
        <v>594</v>
      </c>
      <c r="H212" s="35">
        <v>74</v>
      </c>
      <c r="I212" s="35" t="s">
        <v>55</v>
      </c>
      <c r="J212" s="35">
        <v>0</v>
      </c>
      <c r="K212" s="35" t="s">
        <v>150</v>
      </c>
      <c r="L212" s="35" t="s">
        <v>53</v>
      </c>
      <c r="M212" s="35">
        <v>2</v>
      </c>
      <c r="N212" s="35"/>
      <c r="O212" s="35">
        <v>1</v>
      </c>
      <c r="P212" s="35">
        <v>2</v>
      </c>
      <c r="Q212" s="35">
        <v>2</v>
      </c>
      <c r="R212" s="35" t="s">
        <v>73</v>
      </c>
      <c r="S212" s="35" t="s">
        <v>73</v>
      </c>
      <c r="T212" s="36">
        <v>44901</v>
      </c>
      <c r="U212" s="36">
        <v>2958465</v>
      </c>
      <c r="V212" s="35" t="s">
        <v>282</v>
      </c>
      <c r="W212" s="35" t="s">
        <v>145</v>
      </c>
      <c r="X212" s="35"/>
      <c r="Y212" s="35" t="s">
        <v>143</v>
      </c>
      <c r="Z212" s="35">
        <v>7589154</v>
      </c>
      <c r="AA212" s="35">
        <v>314</v>
      </c>
      <c r="AB212" s="35">
        <v>157</v>
      </c>
      <c r="AC212" s="35"/>
      <c r="AE212" s="51">
        <f>M212/O212</f>
        <v>2</v>
      </c>
      <c r="AG212" s="6" t="str">
        <f>C212</f>
        <v>90MB1BJ0-C1BAY0</v>
      </c>
      <c r="AH212" s="6" t="str">
        <f>IF($D212&lt;=AH$4,"",IF(AND($D211=AH$4,$D212&gt;AH$4),$F211,AH211))</f>
        <v>59MB1BJB-MB0A02S</v>
      </c>
      <c r="AI212" s="6" t="str">
        <f>IF($D212&lt;=AI$4,"",IF(AND($D211=AI$4,$D212&gt;AI$4),$F211,AI211))</f>
        <v/>
      </c>
      <c r="AJ212" s="6" t="str">
        <f>IF($D212&lt;=AJ$4,"",IF(AND($D211=AJ$4,$D212&gt;AJ$4),$F211,AJ211))</f>
        <v/>
      </c>
      <c r="AK212" s="6" t="str">
        <f>IF($D212&lt;=AK$4,"",IF(AND($D211=AK$4,$D212&gt;AK$4),$F211,AK211))</f>
        <v/>
      </c>
      <c r="AL212" s="6" t="str">
        <f>IF($D212&lt;=AL$4,"",IF(AND($D211=AL$4,$D212&gt;AL$4),$F211,AL211))</f>
        <v/>
      </c>
      <c r="AM212" s="6" t="str">
        <f>IF($D212&lt;=AM$4,"",IF(AND($D211=AM$4,$D212&gt;AM$4),$F211,AM211))</f>
        <v/>
      </c>
      <c r="AN212" s="6" t="str">
        <f>IF($D212&lt;=AN$4,"",IF(AND($D211=AN$4,$D212&gt;AN$4),$F211,AN211))</f>
        <v/>
      </c>
      <c r="AO212" s="6" t="str">
        <f>CONCATENATE(AG212," | ",AH212," | ",AI212," | ",AJ212," | ",AK212," | ",AL212," | ",AM212," | ",AN212)</f>
        <v xml:space="preserve">90MB1BJ0-C1BAY0 | 59MB1BJB-MB0A02S |  |  |  |  |  | </v>
      </c>
      <c r="AP212" s="6">
        <f>IF(TRIM(H212)="",100,J212)</f>
        <v>0</v>
      </c>
      <c r="AQ212" s="4"/>
      <c r="AR212" s="6" t="b">
        <f>NOT(TRIM(W212)&lt;&gt;"F")</f>
        <v>1</v>
      </c>
      <c r="AS212" s="6" t="str">
        <f>$B212&amp;" | "&amp;$AO212&amp;" | "&amp;IF(TRIM(H212)="","uniq"&amp;ROW(),TRIM(H212))</f>
        <v>461E | 90MB1BJ0-C1BAY0 | 59MB1BJB-MB0A02S |  |  |  |  |  |  | 74</v>
      </c>
      <c r="AT212" s="63">
        <f>IF(NOT(AR212),IF(TRIM($H212)="","Assembly","Phantom Alt"),VLOOKUP(F212,ZPCS04!B:G,6,0))</f>
        <v>939</v>
      </c>
      <c r="AU212" s="7"/>
      <c r="AV212" s="38">
        <f ca="1">IF(TRIM($W212)="F",OFFSET($A$5,MATCH($AS212,$AS$5:$AS212,0)-1,0),$A212)</f>
        <v>213</v>
      </c>
      <c r="AW212" s="38">
        <f ca="1">IFERROR(OFFSET(ZPCS04!$A$1,MATCH(F212,ZPCS04!B:B,0)-1,0),100)</f>
        <v>1.9999999800000001</v>
      </c>
      <c r="AX212" s="7"/>
      <c r="AY212" s="6" t="b">
        <f>SUMIF(AS:AS,AS212,AP:AP)=100</f>
        <v>1</v>
      </c>
      <c r="AZ212" s="6" t="b">
        <f>SUMIF(AS:AS,AS212,AE:AE)/COUNTIF(AS:AS,AS212)=AE212</f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>C212&amp;" | "&amp;F212</f>
        <v>90MB1BJ0-C1BAY0 | 07G015700285</v>
      </c>
      <c r="BE212" s="55" t="str">
        <f ca="1">C212&amp;" | "&amp;OFFSET($AF212,0,8-COUNTBLANK($AG212:$AN212))</f>
        <v>90MB1BJ0-C1BAY0 | 59MB1BJB-MB0A02S</v>
      </c>
      <c r="BF212" s="57">
        <f ca="1">IFERROR(VLOOKUP($BE212,$BD$5:$BF211,3,0)*$AE212,VLOOKUP($C212,Demanda!$A:$B,2,0)*$AE212)*IF(AT212="Phantom Alt",$BC212,TRUE)</f>
        <v>2000</v>
      </c>
      <c r="BG212" s="57">
        <f ca="1">BF212*(AP212/100)</f>
        <v>0</v>
      </c>
      <c r="BH212" s="57">
        <f>SUMIF(Invoice!A:A,F212,Invoice!B:B)</f>
        <v>2000</v>
      </c>
      <c r="BI212" s="57">
        <f ca="1">SUMIF(AS:AS,AS212,BG:BG)</f>
        <v>2000</v>
      </c>
      <c r="BJ212" s="57">
        <f ca="1">MIN((BI212-SUMIF($AS$5:AS211,AS212,$BJ$5:BJ211)),MAX(0,BH212-SUMIF($F$5:F211,F212,$BJ$5:BJ211)))</f>
        <v>2000</v>
      </c>
      <c r="BK212" s="57">
        <f ca="1">(-SUMIF(AS:AS,AS212,BG:BG)+SUMIF(AS:AS,AS212,BJ:BJ))*(AP212=100)*AR212</f>
        <v>0</v>
      </c>
      <c r="BL212" s="57">
        <f ca="1">MAX(0,SUMIF(Invoice!A:A,F212,Invoice!B:B)-SUMIF(F:F,F212,BJ:BJ))*(COUNTIF(F:F,F212)=COUNTIF($F$5:F212,F212))</f>
        <v>0</v>
      </c>
    </row>
    <row r="213" spans="1:64" hidden="1">
      <c r="A213" s="43">
        <v>212</v>
      </c>
      <c r="B213" s="35" t="s">
        <v>147</v>
      </c>
      <c r="C213" s="35" t="s">
        <v>146</v>
      </c>
      <c r="D213" s="35">
        <v>2</v>
      </c>
      <c r="E213" s="35">
        <v>740</v>
      </c>
      <c r="F213" s="64" t="s">
        <v>591</v>
      </c>
      <c r="G213" s="73" t="s">
        <v>592</v>
      </c>
      <c r="H213" s="35">
        <v>74</v>
      </c>
      <c r="I213" s="35" t="s">
        <v>55</v>
      </c>
      <c r="J213" s="35">
        <v>0</v>
      </c>
      <c r="K213" s="35" t="s">
        <v>150</v>
      </c>
      <c r="L213" s="35" t="s">
        <v>53</v>
      </c>
      <c r="M213" s="35">
        <v>2</v>
      </c>
      <c r="N213" s="35"/>
      <c r="O213" s="35">
        <v>1</v>
      </c>
      <c r="P213" s="35">
        <v>2</v>
      </c>
      <c r="Q213" s="35">
        <v>3</v>
      </c>
      <c r="R213" s="35" t="s">
        <v>73</v>
      </c>
      <c r="S213" s="35" t="s">
        <v>73</v>
      </c>
      <c r="T213" s="36">
        <v>44901</v>
      </c>
      <c r="U213" s="36">
        <v>2958465</v>
      </c>
      <c r="V213" s="35" t="s">
        <v>282</v>
      </c>
      <c r="W213" s="35" t="s">
        <v>145</v>
      </c>
      <c r="X213" s="35"/>
      <c r="Y213" s="35" t="s">
        <v>143</v>
      </c>
      <c r="Z213" s="35">
        <v>7589154</v>
      </c>
      <c r="AA213" s="35">
        <v>316</v>
      </c>
      <c r="AB213" s="35">
        <v>158</v>
      </c>
      <c r="AC213" s="35"/>
      <c r="AE213" s="51">
        <f>M213/O213</f>
        <v>2</v>
      </c>
      <c r="AG213" s="6" t="str">
        <f>C213</f>
        <v>90MB1BJ0-C1BAY0</v>
      </c>
      <c r="AH213" s="6" t="str">
        <f>IF($D213&lt;=AH$4,"",IF(AND($D212=AH$4,$D213&gt;AH$4),$F212,AH212))</f>
        <v>59MB1BJB-MB0A02S</v>
      </c>
      <c r="AI213" s="6" t="str">
        <f>IF($D213&lt;=AI$4,"",IF(AND($D212=AI$4,$D213&gt;AI$4),$F212,AI212))</f>
        <v/>
      </c>
      <c r="AJ213" s="6" t="str">
        <f>IF($D213&lt;=AJ$4,"",IF(AND($D212=AJ$4,$D213&gt;AJ$4),$F212,AJ212))</f>
        <v/>
      </c>
      <c r="AK213" s="6" t="str">
        <f>IF($D213&lt;=AK$4,"",IF(AND($D212=AK$4,$D213&gt;AK$4),$F212,AK212))</f>
        <v/>
      </c>
      <c r="AL213" s="6" t="str">
        <f>IF($D213&lt;=AL$4,"",IF(AND($D212=AL$4,$D213&gt;AL$4),$F212,AL212))</f>
        <v/>
      </c>
      <c r="AM213" s="6" t="str">
        <f>IF($D213&lt;=AM$4,"",IF(AND($D212=AM$4,$D213&gt;AM$4),$F212,AM212))</f>
        <v/>
      </c>
      <c r="AN213" s="6" t="str">
        <f>IF($D213&lt;=AN$4,"",IF(AND($D212=AN$4,$D213&gt;AN$4),$F212,AN212))</f>
        <v/>
      </c>
      <c r="AO213" s="6" t="str">
        <f>CONCATENATE(AG213," | ",AH213," | ",AI213," | ",AJ213," | ",AK213," | ",AL213," | ",AM213," | ",AN213)</f>
        <v xml:space="preserve">90MB1BJ0-C1BAY0 | 59MB1BJB-MB0A02S |  |  |  |  |  | </v>
      </c>
      <c r="AP213" s="6">
        <f>IF(TRIM(H213)="",100,J213)</f>
        <v>0</v>
      </c>
      <c r="AQ213" s="4"/>
      <c r="AR213" s="6" t="b">
        <f>NOT(TRIM(W213)&lt;&gt;"F")</f>
        <v>1</v>
      </c>
      <c r="AS213" s="6" t="str">
        <f>$B213&amp;" | "&amp;$AO213&amp;" | "&amp;IF(TRIM(H213)="","uniq"&amp;ROW(),TRIM(H213))</f>
        <v>461E | 90MB1BJ0-C1BAY0 | 59MB1BJB-MB0A02S |  |  |  |  |  |  | 74</v>
      </c>
      <c r="AT213" s="63">
        <f>IF(NOT(AR213),IF(TRIM($H213)="","Assembly","Phantom Alt"),VLOOKUP(F213,ZPCS04!B:G,6,0))</f>
        <v>939</v>
      </c>
      <c r="AU213" s="7"/>
      <c r="AV213" s="38">
        <f ca="1">IF(TRIM($W213)="F",OFFSET($A$5,MATCH($AS213,$AS$5:$AS213,0)-1,0),$A213)</f>
        <v>213</v>
      </c>
      <c r="AW213" s="38">
        <f ca="1">IFERROR(OFFSET(ZPCS04!$A$1,MATCH(F213,ZPCS04!B:B,0)-1,0),100)</f>
        <v>2</v>
      </c>
      <c r="AX213" s="7"/>
      <c r="AY213" s="6" t="b">
        <f>SUMIF(AS:AS,AS213,AP:AP)=100</f>
        <v>1</v>
      </c>
      <c r="AZ213" s="6" t="b">
        <f>SUMIF(AS:AS,AS213,AE:AE)/COUNTIF(AS:AS,AS213)=AE213</f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>C213&amp;" | "&amp;F213</f>
        <v>90MB1BJ0-C1BAY0 | 07G015200225</v>
      </c>
      <c r="BE213" s="55" t="str">
        <f ca="1">C213&amp;" | "&amp;OFFSET($AF213,0,8-COUNTBLANK($AG213:$AN213))</f>
        <v>90MB1BJ0-C1BAY0 | 59MB1BJB-MB0A02S</v>
      </c>
      <c r="BF213" s="57">
        <f ca="1">IFERROR(VLOOKUP($BE213,$BD$5:$BF212,3,0)*$AE213,VLOOKUP($C213,Demanda!$A:$B,2,0)*$AE213)*IF(AT213="Phantom Alt",$BC213,TRUE)</f>
        <v>2000</v>
      </c>
      <c r="BG213" s="57">
        <f ca="1">BF213*(AP213/100)</f>
        <v>0</v>
      </c>
      <c r="BH213" s="57">
        <f>SUMIF(Invoice!A:A,F213,Invoice!B:B)</f>
        <v>0</v>
      </c>
      <c r="BI213" s="57">
        <f ca="1">SUMIF(AS:AS,AS213,BG:BG)</f>
        <v>2000</v>
      </c>
      <c r="BJ213" s="57">
        <f ca="1">MIN((BI213-SUMIF($AS$5:AS212,AS213,$BJ$5:BJ212)),MAX(0,BH213-SUMIF($F$5:F212,F213,$BJ$5:BJ212)))</f>
        <v>0</v>
      </c>
      <c r="BK213" s="57">
        <f ca="1">(-SUMIF(AS:AS,AS213,BG:BG)+SUMIF(AS:AS,AS213,BJ:BJ))*(AP213=100)*AR213</f>
        <v>0</v>
      </c>
      <c r="BL213" s="57">
        <f ca="1">MAX(0,SUMIF(Invoice!A:A,F213,Invoice!B:B)-SUMIF(F:F,F213,BJ:BJ))*(COUNTIF(F:F,F213)=COUNTIF($F$5:F213,F213))</f>
        <v>0</v>
      </c>
    </row>
    <row r="214" spans="1:64" hidden="1">
      <c r="A214" s="43">
        <v>214</v>
      </c>
      <c r="B214" s="35" t="s">
        <v>147</v>
      </c>
      <c r="C214" s="35" t="s">
        <v>146</v>
      </c>
      <c r="D214" s="35">
        <v>2</v>
      </c>
      <c r="E214" s="35">
        <v>740</v>
      </c>
      <c r="F214" s="64" t="s">
        <v>595</v>
      </c>
      <c r="G214" s="73" t="s">
        <v>596</v>
      </c>
      <c r="H214" s="35">
        <v>74</v>
      </c>
      <c r="I214" s="35" t="s">
        <v>54</v>
      </c>
      <c r="J214" s="35">
        <v>100</v>
      </c>
      <c r="K214" s="35" t="s">
        <v>150</v>
      </c>
      <c r="L214" s="35" t="s">
        <v>53</v>
      </c>
      <c r="M214" s="35">
        <v>2</v>
      </c>
      <c r="N214" s="35">
        <v>2</v>
      </c>
      <c r="O214" s="35">
        <v>1</v>
      </c>
      <c r="P214" s="35">
        <v>2</v>
      </c>
      <c r="Q214" s="35">
        <v>1</v>
      </c>
      <c r="R214" s="35" t="s">
        <v>73</v>
      </c>
      <c r="S214" s="35" t="s">
        <v>73</v>
      </c>
      <c r="T214" s="36">
        <v>44901</v>
      </c>
      <c r="U214" s="36">
        <v>2958465</v>
      </c>
      <c r="V214" s="35" t="s">
        <v>282</v>
      </c>
      <c r="W214" s="35" t="s">
        <v>145</v>
      </c>
      <c r="X214" s="35"/>
      <c r="Y214" s="35" t="s">
        <v>143</v>
      </c>
      <c r="Z214" s="35">
        <v>7589154</v>
      </c>
      <c r="AA214" s="35">
        <v>312</v>
      </c>
      <c r="AB214" s="35">
        <v>156</v>
      </c>
      <c r="AC214" s="35"/>
      <c r="AE214" s="51">
        <f>M214/O214</f>
        <v>2</v>
      </c>
      <c r="AG214" s="6" t="str">
        <f>C214</f>
        <v>90MB1BJ0-C1BAY0</v>
      </c>
      <c r="AH214" s="6" t="str">
        <f>IF($D214&lt;=AH$4,"",IF(AND($D213=AH$4,$D214&gt;AH$4),$F213,AH213))</f>
        <v>59MB1BJB-MB0A02S</v>
      </c>
      <c r="AI214" s="6" t="str">
        <f>IF($D214&lt;=AI$4,"",IF(AND($D213=AI$4,$D214&gt;AI$4),$F213,AI213))</f>
        <v/>
      </c>
      <c r="AJ214" s="6" t="str">
        <f>IF($D214&lt;=AJ$4,"",IF(AND($D213=AJ$4,$D214&gt;AJ$4),$F213,AJ213))</f>
        <v/>
      </c>
      <c r="AK214" s="6" t="str">
        <f>IF($D214&lt;=AK$4,"",IF(AND($D213=AK$4,$D214&gt;AK$4),$F213,AK213))</f>
        <v/>
      </c>
      <c r="AL214" s="6" t="str">
        <f>IF($D214&lt;=AL$4,"",IF(AND($D213=AL$4,$D214&gt;AL$4),$F213,AL213))</f>
        <v/>
      </c>
      <c r="AM214" s="6" t="str">
        <f>IF($D214&lt;=AM$4,"",IF(AND($D213=AM$4,$D214&gt;AM$4),$F213,AM213))</f>
        <v/>
      </c>
      <c r="AN214" s="6" t="str">
        <f>IF($D214&lt;=AN$4,"",IF(AND($D213=AN$4,$D214&gt;AN$4),$F213,AN213))</f>
        <v/>
      </c>
      <c r="AO214" s="6" t="str">
        <f>CONCATENATE(AG214," | ",AH214," | ",AI214," | ",AJ214," | ",AK214," | ",AL214," | ",AM214," | ",AN214)</f>
        <v xml:space="preserve">90MB1BJ0-C1BAY0 | 59MB1BJB-MB0A02S |  |  |  |  |  | </v>
      </c>
      <c r="AP214" s="6">
        <f>IF(TRIM(H214)="",100,J214)</f>
        <v>100</v>
      </c>
      <c r="AQ214" s="4"/>
      <c r="AR214" s="6" t="b">
        <f>NOT(TRIM(W214)&lt;&gt;"F")</f>
        <v>1</v>
      </c>
      <c r="AS214" s="6" t="str">
        <f>$B214&amp;" | "&amp;$AO214&amp;" | "&amp;IF(TRIM(H214)="","uniq"&amp;ROW(),TRIM(H214))</f>
        <v>461E | 90MB1BJ0-C1BAY0 | 59MB1BJB-MB0A02S |  |  |  |  |  |  | 74</v>
      </c>
      <c r="AT214" s="63">
        <f>IF(NOT(AR214),IF(TRIM($H214)="","Assembly","Phantom Alt"),VLOOKUP(F214,ZPCS04!B:G,6,0))</f>
        <v>939</v>
      </c>
      <c r="AU214" s="7"/>
      <c r="AV214" s="38">
        <f ca="1">IF(TRIM($W214)="F",OFFSET($A$5,MATCH($AS214,$AS$5:$AS214,0)-1,0),$A214)</f>
        <v>213</v>
      </c>
      <c r="AW214" s="38">
        <f ca="1">IFERROR(OFFSET(ZPCS04!$A$1,MATCH(F214,ZPCS04!B:B,0)-1,0),100)</f>
        <v>2</v>
      </c>
      <c r="AX214" s="7"/>
      <c r="AY214" s="6" t="b">
        <f>SUMIF(AS:AS,AS214,AP:AP)=100</f>
        <v>1</v>
      </c>
      <c r="AZ214" s="6" t="b">
        <f>SUMIF(AS:AS,AS214,AE:AE)/COUNTIF(AS:AS,AS214)=AE214</f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>C214&amp;" | "&amp;F214</f>
        <v>90MB1BJ0-C1BAY0 | 07G015N00251</v>
      </c>
      <c r="BE214" s="55" t="str">
        <f ca="1">C214&amp;" | "&amp;OFFSET($AF214,0,8-COUNTBLANK($AG214:$AN214))</f>
        <v>90MB1BJ0-C1BAY0 | 59MB1BJB-MB0A02S</v>
      </c>
      <c r="BF214" s="57">
        <f ca="1">IFERROR(VLOOKUP($BE214,$BD$5:$BF213,3,0)*$AE214,VLOOKUP($C214,Demanda!$A:$B,2,0)*$AE214)*IF(AT214="Phantom Alt",$BC214,TRUE)</f>
        <v>2000</v>
      </c>
      <c r="BG214" s="57">
        <f ca="1">BF214*(AP214/100)</f>
        <v>2000</v>
      </c>
      <c r="BH214" s="57">
        <f>SUMIF(Invoice!A:A,F214,Invoice!B:B)</f>
        <v>0</v>
      </c>
      <c r="BI214" s="57">
        <f ca="1">SUMIF(AS:AS,AS214,BG:BG)</f>
        <v>2000</v>
      </c>
      <c r="BJ214" s="57">
        <f ca="1">MIN((BI214-SUMIF($AS$5:AS213,AS214,$BJ$5:BJ213)),MAX(0,BH214-SUMIF($F$5:F213,F214,$BJ$5:BJ213)))</f>
        <v>0</v>
      </c>
      <c r="BK214" s="57">
        <f ca="1">(-SUMIF(AS:AS,AS214,BG:BG)+SUMIF(AS:AS,AS214,BJ:BJ))*(AP214=100)*AR214</f>
        <v>0</v>
      </c>
      <c r="BL214" s="57">
        <f ca="1">MAX(0,SUMIF(Invoice!A:A,F214,Invoice!B:B)-SUMIF(F:F,F214,BJ:BJ))*(COUNTIF(F:F,F214)=COUNTIF($F$5:F214,F214))</f>
        <v>0</v>
      </c>
    </row>
    <row r="215" spans="1:64" hidden="1">
      <c r="A215" s="43">
        <v>215</v>
      </c>
      <c r="B215" s="35" t="s">
        <v>147</v>
      </c>
      <c r="C215" s="35" t="s">
        <v>146</v>
      </c>
      <c r="D215" s="35">
        <v>2</v>
      </c>
      <c r="E215" s="35">
        <v>750</v>
      </c>
      <c r="F215" s="64" t="s">
        <v>597</v>
      </c>
      <c r="G215" s="73" t="s">
        <v>598</v>
      </c>
      <c r="H215" s="35">
        <v>75</v>
      </c>
      <c r="I215" s="35" t="s">
        <v>55</v>
      </c>
      <c r="J215" s="35">
        <v>0</v>
      </c>
      <c r="K215" s="35" t="s">
        <v>150</v>
      </c>
      <c r="L215" s="35" t="s">
        <v>53</v>
      </c>
      <c r="M215" s="35">
        <v>1</v>
      </c>
      <c r="N215" s="35"/>
      <c r="O215" s="35">
        <v>1</v>
      </c>
      <c r="P215" s="35">
        <v>2</v>
      </c>
      <c r="Q215" s="35">
        <v>2</v>
      </c>
      <c r="R215" s="35" t="s">
        <v>73</v>
      </c>
      <c r="S215" s="35" t="s">
        <v>73</v>
      </c>
      <c r="T215" s="36">
        <v>44901</v>
      </c>
      <c r="U215" s="36">
        <v>2958465</v>
      </c>
      <c r="V215" s="35" t="s">
        <v>282</v>
      </c>
      <c r="W215" s="35" t="s">
        <v>145</v>
      </c>
      <c r="X215" s="35"/>
      <c r="Y215" s="35" t="s">
        <v>143</v>
      </c>
      <c r="Z215" s="35">
        <v>7589154</v>
      </c>
      <c r="AA215" s="35">
        <v>320</v>
      </c>
      <c r="AB215" s="35">
        <v>160</v>
      </c>
      <c r="AC215" s="35"/>
      <c r="AE215" s="51">
        <f>M215/O215</f>
        <v>1</v>
      </c>
      <c r="AG215" s="6" t="str">
        <f>C215</f>
        <v>90MB1BJ0-C1BAY0</v>
      </c>
      <c r="AH215" s="6" t="str">
        <f>IF($D215&lt;=AH$4,"",IF(AND($D214=AH$4,$D215&gt;AH$4),$F214,AH214))</f>
        <v>59MB1BJB-MB0A02S</v>
      </c>
      <c r="AI215" s="6" t="str">
        <f>IF($D215&lt;=AI$4,"",IF(AND($D214=AI$4,$D215&gt;AI$4),$F214,AI214))</f>
        <v/>
      </c>
      <c r="AJ215" s="6" t="str">
        <f>IF($D215&lt;=AJ$4,"",IF(AND($D214=AJ$4,$D215&gt;AJ$4),$F214,AJ214))</f>
        <v/>
      </c>
      <c r="AK215" s="6" t="str">
        <f>IF($D215&lt;=AK$4,"",IF(AND($D214=AK$4,$D215&gt;AK$4),$F214,AK214))</f>
        <v/>
      </c>
      <c r="AL215" s="6" t="str">
        <f>IF($D215&lt;=AL$4,"",IF(AND($D214=AL$4,$D215&gt;AL$4),$F214,AL214))</f>
        <v/>
      </c>
      <c r="AM215" s="6" t="str">
        <f>IF($D215&lt;=AM$4,"",IF(AND($D214=AM$4,$D215&gt;AM$4),$F214,AM214))</f>
        <v/>
      </c>
      <c r="AN215" s="6" t="str">
        <f>IF($D215&lt;=AN$4,"",IF(AND($D214=AN$4,$D215&gt;AN$4),$F214,AN214))</f>
        <v/>
      </c>
      <c r="AO215" s="6" t="str">
        <f>CONCATENATE(AG215," | ",AH215," | ",AI215," | ",AJ215," | ",AK215," | ",AL215," | ",AM215," | ",AN215)</f>
        <v xml:space="preserve">90MB1BJ0-C1BAY0 | 59MB1BJB-MB0A02S |  |  |  |  |  | </v>
      </c>
      <c r="AP215" s="6">
        <f>IF(TRIM(H215)="",100,J215)</f>
        <v>0</v>
      </c>
      <c r="AQ215" s="4"/>
      <c r="AR215" s="6" t="b">
        <f>NOT(TRIM(W215)&lt;&gt;"F")</f>
        <v>1</v>
      </c>
      <c r="AS215" s="6" t="str">
        <f>$B215&amp;" | "&amp;$AO215&amp;" | "&amp;IF(TRIM(H215)="","uniq"&amp;ROW(),TRIM(H215))</f>
        <v>461E | 90MB1BJ0-C1BAY0 | 59MB1BJB-MB0A02S |  |  |  |  |  |  | 75</v>
      </c>
      <c r="AT215" s="63">
        <f>IF(NOT(AR215),IF(TRIM($H215)="","Assembly","Phantom Alt"),VLOOKUP(F215,ZPCS04!B:G,6,0))</f>
        <v>940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1.9999999900000001</v>
      </c>
      <c r="AX215" s="7"/>
      <c r="AY215" s="6" t="b">
        <f>SUMIF(AS:AS,AS215,AP:AP)=100</f>
        <v>1</v>
      </c>
      <c r="AZ215" s="6" t="b">
        <f>SUMIF(AS:AS,AS215,AE:AE)/COUNTIF(AS:AS,AS215)=AE215</f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>C215&amp;" | "&amp;F215</f>
        <v>90MB1BJ0-C1BAY0 | 07G01520098A</v>
      </c>
      <c r="BE215" s="55" t="str">
        <f ca="1">C215&amp;" | "&amp;OFFSET($AF215,0,8-COUNTBLANK($AG215:$AN215))</f>
        <v>90MB1BJ0-C1BAY0 | 59MB1BJB-MB0A02S</v>
      </c>
      <c r="BF215" s="57">
        <f ca="1">IFERROR(VLOOKUP($BE215,$BD$5:$BF214,3,0)*$AE215,VLOOKUP($C215,Demanda!$A:$B,2,0)*$AE215)*IF(AT215="Phantom Alt",$BC215,TRUE)</f>
        <v>1000</v>
      </c>
      <c r="BG215" s="57">
        <f ca="1">BF215*(AP215/100)</f>
        <v>0</v>
      </c>
      <c r="BH215" s="57">
        <f>SUMIF(Invoice!A:A,F215,Invoice!B:B)</f>
        <v>1000</v>
      </c>
      <c r="BI215" s="57">
        <f ca="1">SUMIF(AS:AS,AS215,BG:BG)</f>
        <v>1000</v>
      </c>
      <c r="BJ215" s="57">
        <f ca="1">MIN((BI215-SUMIF($AS$5:AS214,AS215,$BJ$5:BJ214)),MAX(0,BH215-SUMIF($F$5:F214,F215,$BJ$5:BJ214)))</f>
        <v>1000</v>
      </c>
      <c r="BK215" s="57">
        <f ca="1">(-SUMIF(AS:AS,AS215,BG:BG)+SUMIF(AS:AS,AS215,BJ:BJ))*(AP215=100)*AR215</f>
        <v>0</v>
      </c>
      <c r="BL215" s="57">
        <f ca="1">MAX(0,SUMIF(Invoice!A:A,F215,Invoice!B:B)-SUMIF(F:F,F215,BJ:BJ))*(COUNTIF(F:F,F215)=COUNTIF($F$5:F215,F215))</f>
        <v>0</v>
      </c>
    </row>
    <row r="216" spans="1:64" hidden="1">
      <c r="A216" s="43">
        <v>216</v>
      </c>
      <c r="B216" s="35" t="s">
        <v>147</v>
      </c>
      <c r="C216" s="35" t="s">
        <v>146</v>
      </c>
      <c r="D216" s="35">
        <v>2</v>
      </c>
      <c r="E216" s="35">
        <v>750</v>
      </c>
      <c r="F216" s="64" t="s">
        <v>599</v>
      </c>
      <c r="G216" s="73" t="s">
        <v>600</v>
      </c>
      <c r="H216" s="35">
        <v>75</v>
      </c>
      <c r="I216" s="35" t="s">
        <v>55</v>
      </c>
      <c r="J216" s="35">
        <v>0</v>
      </c>
      <c r="K216" s="35" t="s">
        <v>508</v>
      </c>
      <c r="L216" s="35" t="s">
        <v>53</v>
      </c>
      <c r="M216" s="35">
        <v>1</v>
      </c>
      <c r="N216" s="35"/>
      <c r="O216" s="35">
        <v>1</v>
      </c>
      <c r="P216" s="35">
        <v>2</v>
      </c>
      <c r="Q216" s="35">
        <v>3</v>
      </c>
      <c r="R216" s="35" t="s">
        <v>122</v>
      </c>
      <c r="S216" s="35" t="s">
        <v>122</v>
      </c>
      <c r="T216" s="36">
        <v>44901</v>
      </c>
      <c r="U216" s="36">
        <v>2958465</v>
      </c>
      <c r="V216" s="35" t="s">
        <v>282</v>
      </c>
      <c r="W216" s="35" t="s">
        <v>145</v>
      </c>
      <c r="X216" s="35"/>
      <c r="Y216" s="35" t="s">
        <v>143</v>
      </c>
      <c r="Z216" s="35">
        <v>7589154</v>
      </c>
      <c r="AA216" s="35">
        <v>322</v>
      </c>
      <c r="AB216" s="35">
        <v>161</v>
      </c>
      <c r="AC216" s="35"/>
      <c r="AE216" s="51">
        <f>M216/O216</f>
        <v>1</v>
      </c>
      <c r="AG216" s="6" t="str">
        <f>C216</f>
        <v>90MB1BJ0-C1BAY0</v>
      </c>
      <c r="AH216" s="6" t="str">
        <f>IF($D216&lt;=AH$4,"",IF(AND($D215=AH$4,$D216&gt;AH$4),$F215,AH215))</f>
        <v>59MB1BJB-MB0A02S</v>
      </c>
      <c r="AI216" s="6" t="str">
        <f>IF($D216&lt;=AI$4,"",IF(AND($D215=AI$4,$D216&gt;AI$4),$F215,AI215))</f>
        <v/>
      </c>
      <c r="AJ216" s="6" t="str">
        <f>IF($D216&lt;=AJ$4,"",IF(AND($D215=AJ$4,$D216&gt;AJ$4),$F215,AJ215))</f>
        <v/>
      </c>
      <c r="AK216" s="6" t="str">
        <f>IF($D216&lt;=AK$4,"",IF(AND($D215=AK$4,$D216&gt;AK$4),$F215,AK215))</f>
        <v/>
      </c>
      <c r="AL216" s="6" t="str">
        <f>IF($D216&lt;=AL$4,"",IF(AND($D215=AL$4,$D216&gt;AL$4),$F215,AL215))</f>
        <v/>
      </c>
      <c r="AM216" s="6" t="str">
        <f>IF($D216&lt;=AM$4,"",IF(AND($D215=AM$4,$D216&gt;AM$4),$F215,AM215))</f>
        <v/>
      </c>
      <c r="AN216" s="6" t="str">
        <f>IF($D216&lt;=AN$4,"",IF(AND($D215=AN$4,$D216&gt;AN$4),$F215,AN215))</f>
        <v/>
      </c>
      <c r="AO216" s="6" t="str">
        <f>CONCATENATE(AG216," | ",AH216," | ",AI216," | ",AJ216," | ",AK216," | ",AL216," | ",AM216," | ",AN216)</f>
        <v xml:space="preserve">90MB1BJ0-C1BAY0 | 59MB1BJB-MB0A02S |  |  |  |  |  | </v>
      </c>
      <c r="AP216" s="6">
        <f>IF(TRIM(H216)="",100,J216)</f>
        <v>0</v>
      </c>
      <c r="AQ216" s="4"/>
      <c r="AR216" s="6" t="b">
        <f>NOT(TRIM(W216)&lt;&gt;"F")</f>
        <v>1</v>
      </c>
      <c r="AS216" s="6" t="str">
        <f>$B216&amp;" | "&amp;$AO216&amp;" | "&amp;IF(TRIM(H216)="","uniq"&amp;ROW(),TRIM(H216))</f>
        <v>461E | 90MB1BJ0-C1BAY0 | 59MB1BJB-MB0A02S |  |  |  |  |  |  | 75</v>
      </c>
      <c r="AT216" s="63">
        <f>IF(NOT(AR216),IF(TRIM($H216)="","Assembly","Phantom Alt"),VLOOKUP(F216,ZPCS04!B:G,6,0))</f>
        <v>940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2</v>
      </c>
      <c r="AX216" s="7"/>
      <c r="AY216" s="6" t="b">
        <f>SUMIF(AS:AS,AS216,AP:AP)=100</f>
        <v>1</v>
      </c>
      <c r="AZ216" s="6" t="b">
        <f>SUMIF(AS:AS,AS216,AE:AE)/COUNTIF(AS:AS,AS216)=AE216</f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>C216&amp;" | "&amp;F216</f>
        <v>90MB1BJ0-C1BAY0 | 07G015L0008A</v>
      </c>
      <c r="BE216" s="55" t="str">
        <f ca="1">C216&amp;" | "&amp;OFFSET($AF216,0,8-COUNTBLANK($AG216:$AN216))</f>
        <v>90MB1BJ0-C1BAY0 | 59MB1BJB-MB0A02S</v>
      </c>
      <c r="BF216" s="57">
        <f ca="1">IFERROR(VLOOKUP($BE216,$BD$5:$BF215,3,0)*$AE216,VLOOKUP($C216,Demanda!$A:$B,2,0)*$AE216)*IF(AT216="Phantom Alt",$BC216,TRUE)</f>
        <v>1000</v>
      </c>
      <c r="BG216" s="57">
        <f ca="1">BF216*(AP216/100)</f>
        <v>0</v>
      </c>
      <c r="BH216" s="57">
        <f>SUMIF(Invoice!A:A,F216,Invoice!B:B)</f>
        <v>0</v>
      </c>
      <c r="BI216" s="57">
        <f ca="1">SUMIF(AS:AS,AS216,BG:BG)</f>
        <v>1000</v>
      </c>
      <c r="BJ216" s="57">
        <f ca="1">MIN((BI216-SUMIF($AS$5:AS215,AS216,$BJ$5:BJ215)),MAX(0,BH216-SUMIF($F$5:F215,F216,$BJ$5:BJ215)))</f>
        <v>0</v>
      </c>
      <c r="BK216" s="57">
        <f ca="1">(-SUMIF(AS:AS,AS216,BG:BG)+SUMIF(AS:AS,AS216,BJ:BJ))*(AP216=100)*AR216</f>
        <v>0</v>
      </c>
      <c r="BL216" s="57">
        <f ca="1">MAX(0,SUMIF(Invoice!A:A,F216,Invoice!B:B)-SUMIF(F:F,F216,BJ:BJ))*(COUNTIF(F:F,F216)=COUNTIF($F$5:F216,F216))</f>
        <v>0</v>
      </c>
    </row>
    <row r="217" spans="1:64" hidden="1">
      <c r="A217" s="43">
        <v>217</v>
      </c>
      <c r="B217" s="35" t="s">
        <v>147</v>
      </c>
      <c r="C217" s="35" t="s">
        <v>146</v>
      </c>
      <c r="D217" s="35">
        <v>2</v>
      </c>
      <c r="E217" s="35">
        <v>750</v>
      </c>
      <c r="F217" s="64" t="s">
        <v>601</v>
      </c>
      <c r="G217" s="73" t="s">
        <v>602</v>
      </c>
      <c r="H217" s="35">
        <v>75</v>
      </c>
      <c r="I217" s="35" t="s">
        <v>54</v>
      </c>
      <c r="J217" s="35">
        <v>100</v>
      </c>
      <c r="K217" s="35" t="s">
        <v>150</v>
      </c>
      <c r="L217" s="35" t="s">
        <v>53</v>
      </c>
      <c r="M217" s="35">
        <v>1</v>
      </c>
      <c r="N217" s="35">
        <v>1</v>
      </c>
      <c r="O217" s="35">
        <v>1</v>
      </c>
      <c r="P217" s="35">
        <v>2</v>
      </c>
      <c r="Q217" s="35">
        <v>1</v>
      </c>
      <c r="R217" s="35" t="s">
        <v>73</v>
      </c>
      <c r="S217" s="35" t="s">
        <v>73</v>
      </c>
      <c r="T217" s="36">
        <v>44901</v>
      </c>
      <c r="U217" s="36">
        <v>2958465</v>
      </c>
      <c r="V217" s="35" t="s">
        <v>282</v>
      </c>
      <c r="W217" s="35" t="s">
        <v>145</v>
      </c>
      <c r="X217" s="35"/>
      <c r="Y217" s="35" t="s">
        <v>143</v>
      </c>
      <c r="Z217" s="35">
        <v>7589154</v>
      </c>
      <c r="AA217" s="35">
        <v>318</v>
      </c>
      <c r="AB217" s="35">
        <v>159</v>
      </c>
      <c r="AC217" s="35"/>
      <c r="AE217" s="51">
        <f>M217/O217</f>
        <v>1</v>
      </c>
      <c r="AG217" s="6" t="str">
        <f>C217</f>
        <v>90MB1BJ0-C1BAY0</v>
      </c>
      <c r="AH217" s="6" t="str">
        <f>IF($D217&lt;=AH$4,"",IF(AND($D216=AH$4,$D217&gt;AH$4),$F216,AH216))</f>
        <v>59MB1BJB-MB0A02S</v>
      </c>
      <c r="AI217" s="6" t="str">
        <f>IF($D217&lt;=AI$4,"",IF(AND($D216=AI$4,$D217&gt;AI$4),$F216,AI216))</f>
        <v/>
      </c>
      <c r="AJ217" s="6" t="str">
        <f>IF($D217&lt;=AJ$4,"",IF(AND($D216=AJ$4,$D217&gt;AJ$4),$F216,AJ216))</f>
        <v/>
      </c>
      <c r="AK217" s="6" t="str">
        <f>IF($D217&lt;=AK$4,"",IF(AND($D216=AK$4,$D217&gt;AK$4),$F216,AK216))</f>
        <v/>
      </c>
      <c r="AL217" s="6" t="str">
        <f>IF($D217&lt;=AL$4,"",IF(AND($D216=AL$4,$D217&gt;AL$4),$F216,AL216))</f>
        <v/>
      </c>
      <c r="AM217" s="6" t="str">
        <f>IF($D217&lt;=AM$4,"",IF(AND($D216=AM$4,$D217&gt;AM$4),$F216,AM216))</f>
        <v/>
      </c>
      <c r="AN217" s="6" t="str">
        <f>IF($D217&lt;=AN$4,"",IF(AND($D216=AN$4,$D217&gt;AN$4),$F216,AN216))</f>
        <v/>
      </c>
      <c r="AO217" s="6" t="str">
        <f>CONCATENATE(AG217," | ",AH217," | ",AI217," | ",AJ217," | ",AK217," | ",AL217," | ",AM217," | ",AN217)</f>
        <v xml:space="preserve">90MB1BJ0-C1BAY0 | 59MB1BJB-MB0A02S |  |  |  |  |  | </v>
      </c>
      <c r="AP217" s="6">
        <f>IF(TRIM(H217)="",100,J217)</f>
        <v>100</v>
      </c>
      <c r="AQ217" s="4"/>
      <c r="AR217" s="6" t="b">
        <f>NOT(TRIM(W217)&lt;&gt;"F")</f>
        <v>1</v>
      </c>
      <c r="AS217" s="6" t="str">
        <f>$B217&amp;" | "&amp;$AO217&amp;" | "&amp;IF(TRIM(H217)="","uniq"&amp;ROW(),TRIM(H217))</f>
        <v>461E | 90MB1BJ0-C1BAY0 | 59MB1BJB-MB0A02S |  |  |  |  |  |  | 75</v>
      </c>
      <c r="AT217" s="63">
        <f>IF(NOT(AR217),IF(TRIM($H217)="","Assembly","Phantom Alt"),VLOOKUP(F217,ZPCS04!B:G,6,0))</f>
        <v>940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>SUMIF(AS:AS,AS217,AP:AP)=100</f>
        <v>1</v>
      </c>
      <c r="AZ217" s="6" t="b">
        <f>SUMIF(AS:AS,AS217,AE:AE)/COUNTIF(AS:AS,AS217)=AE217</f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>C217&amp;" | "&amp;F217</f>
        <v>90MB1BJ0-C1BAY0 | 07G015N0028A</v>
      </c>
      <c r="BE217" s="55" t="str">
        <f ca="1">C217&amp;" | "&amp;OFFSET($AF217,0,8-COUNTBLANK($AG217:$AN217))</f>
        <v>90MB1BJ0-C1BAY0 | 59MB1BJB-MB0A02S</v>
      </c>
      <c r="BF217" s="57">
        <f ca="1">IFERROR(VLOOKUP($BE217,$BD$5:$BF216,3,0)*$AE217,VLOOKUP($C217,Demanda!$A:$B,2,0)*$AE217)*IF(AT217="Phantom Alt",$BC217,TRUE)</f>
        <v>1000</v>
      </c>
      <c r="BG217" s="57">
        <f ca="1">BF217*(AP217/100)</f>
        <v>1000</v>
      </c>
      <c r="BH217" s="57">
        <f>SUMIF(Invoice!A:A,F217,Invoice!B:B)</f>
        <v>0</v>
      </c>
      <c r="BI217" s="57">
        <f ca="1">SUMIF(AS:AS,AS217,BG:BG)</f>
        <v>1000</v>
      </c>
      <c r="BJ217" s="57">
        <f ca="1">MIN((BI217-SUMIF($AS$5:AS216,AS217,$BJ$5:BJ216)),MAX(0,BH217-SUMIF($F$5:F216,F217,$BJ$5:BJ216)))</f>
        <v>0</v>
      </c>
      <c r="BK217" s="57">
        <f ca="1">(-SUMIF(AS:AS,AS217,BG:BG)+SUMIF(AS:AS,AS217,BJ:BJ))*(AP217=100)*AR217</f>
        <v>0</v>
      </c>
      <c r="BL217" s="57">
        <f ca="1">MAX(0,SUMIF(Invoice!A:A,F217,Invoice!B:B)-SUMIF(F:F,F217,BJ:BJ))*(COUNTIF(F:F,F217)=COUNTIF($F$5:F217,F217))</f>
        <v>0</v>
      </c>
    </row>
    <row r="218" spans="1:64" hidden="1">
      <c r="A218" s="43">
        <v>218</v>
      </c>
      <c r="B218" s="35" t="s">
        <v>147</v>
      </c>
      <c r="C218" s="35" t="s">
        <v>146</v>
      </c>
      <c r="D218" s="35">
        <v>2</v>
      </c>
      <c r="E218" s="35">
        <v>760</v>
      </c>
      <c r="F218" s="64" t="s">
        <v>603</v>
      </c>
      <c r="G218" s="73" t="s">
        <v>604</v>
      </c>
      <c r="H218" s="35"/>
      <c r="I218" s="35" t="s">
        <v>54</v>
      </c>
      <c r="J218" s="35">
        <v>0</v>
      </c>
      <c r="K218" s="35" t="s">
        <v>150</v>
      </c>
      <c r="L218" s="35" t="s">
        <v>53</v>
      </c>
      <c r="M218" s="35">
        <v>18</v>
      </c>
      <c r="N218" s="35">
        <v>18</v>
      </c>
      <c r="O218" s="35">
        <v>1</v>
      </c>
      <c r="P218" s="35"/>
      <c r="Q218" s="35"/>
      <c r="R218" s="35" t="s">
        <v>73</v>
      </c>
      <c r="S218" s="35" t="s">
        <v>73</v>
      </c>
      <c r="T218" s="36">
        <v>44901</v>
      </c>
      <c r="U218" s="36">
        <v>2958465</v>
      </c>
      <c r="V218" s="35" t="s">
        <v>282</v>
      </c>
      <c r="W218" s="35" t="s">
        <v>145</v>
      </c>
      <c r="X218" s="35"/>
      <c r="Y218" s="35" t="s">
        <v>143</v>
      </c>
      <c r="Z218" s="35">
        <v>7589154</v>
      </c>
      <c r="AA218" s="35">
        <v>324</v>
      </c>
      <c r="AB218" s="35">
        <v>162</v>
      </c>
      <c r="AC218" s="35"/>
      <c r="AE218" s="51">
        <f>M218/O218</f>
        <v>18</v>
      </c>
      <c r="AG218" s="6" t="str">
        <f>C218</f>
        <v>90MB1BJ0-C1BAY0</v>
      </c>
      <c r="AH218" s="6" t="str">
        <f>IF($D218&lt;=AH$4,"",IF(AND($D217=AH$4,$D218&gt;AH$4),$F217,AH217))</f>
        <v>59MB1BJB-MB0A02S</v>
      </c>
      <c r="AI218" s="6" t="str">
        <f>IF($D218&lt;=AI$4,"",IF(AND($D217=AI$4,$D218&gt;AI$4),$F217,AI217))</f>
        <v/>
      </c>
      <c r="AJ218" s="6" t="str">
        <f>IF($D218&lt;=AJ$4,"",IF(AND($D217=AJ$4,$D218&gt;AJ$4),$F217,AJ217))</f>
        <v/>
      </c>
      <c r="AK218" s="6" t="str">
        <f>IF($D218&lt;=AK$4,"",IF(AND($D217=AK$4,$D218&gt;AK$4),$F217,AK217))</f>
        <v/>
      </c>
      <c r="AL218" s="6" t="str">
        <f>IF($D218&lt;=AL$4,"",IF(AND($D217=AL$4,$D218&gt;AL$4),$F217,AL217))</f>
        <v/>
      </c>
      <c r="AM218" s="6" t="str">
        <f>IF($D218&lt;=AM$4,"",IF(AND($D217=AM$4,$D218&gt;AM$4),$F217,AM217))</f>
        <v/>
      </c>
      <c r="AN218" s="6" t="str">
        <f>IF($D218&lt;=AN$4,"",IF(AND($D217=AN$4,$D218&gt;AN$4),$F217,AN217))</f>
        <v/>
      </c>
      <c r="AO218" s="6" t="str">
        <f>CONCATENATE(AG218," | ",AH218," | ",AI218," | ",AJ218," | ",AK218," | ",AL218," | ",AM218," | ",AN218)</f>
        <v xml:space="preserve">90MB1BJ0-C1BAY0 | 59MB1BJB-MB0A02S |  |  |  |  |  | </v>
      </c>
      <c r="AP218" s="6">
        <f>IF(TRIM(H218)="",100,J218)</f>
        <v>100</v>
      </c>
      <c r="AQ218" s="4"/>
      <c r="AR218" s="6" t="b">
        <f>NOT(TRIM(W218)&lt;&gt;"F")</f>
        <v>1</v>
      </c>
      <c r="AS218" s="6" t="str">
        <f>$B218&amp;" | "&amp;$AO218&amp;" | "&amp;IF(TRIM(H218)="","uniq"&amp;ROW(),TRIM(H218))</f>
        <v>461E | 90MB1BJ0-C1BAY0 | 59MB1BJB-MB0A02S |  |  |  |  |  |  | uniq218</v>
      </c>
      <c r="AT218" s="63">
        <f>IF(NOT(AR218),IF(TRIM($H218)="","Assembly","Phantom Alt"),VLOOKUP(F218,ZPCS04!B:G,6,0))</f>
        <v>100</v>
      </c>
      <c r="AU218" s="7"/>
      <c r="AV218" s="38">
        <f ca="1">IF(TRIM($W218)="F",OFFSET($A$5,MATCH($AS218,$AS$5:$AS218,0)-1,0),$A218)</f>
        <v>218</v>
      </c>
      <c r="AW218" s="38">
        <f ca="1">IFERROR(OFFSET(ZPCS04!$A$1,MATCH(F218,ZPCS04!B:B,0)-1,0),100)</f>
        <v>1.99999982</v>
      </c>
      <c r="AX218" s="7"/>
      <c r="AY218" s="6" t="b">
        <f>SUMIF(AS:AS,AS218,AP:AP)=100</f>
        <v>1</v>
      </c>
      <c r="AZ218" s="6" t="b">
        <f>SUMIF(AS:AS,AS218,AE:AE)/COUNTIF(AS:AS,AS218)=AE218</f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>C218&amp;" | "&amp;F218</f>
        <v>90MB1BJ0-C1BAY0 | 09016-00026300</v>
      </c>
      <c r="BE218" s="55" t="str">
        <f ca="1">C218&amp;" | "&amp;OFFSET($AF218,0,8-COUNTBLANK($AG218:$AN218))</f>
        <v>90MB1BJ0-C1BAY0 | 59MB1BJB-MB0A02S</v>
      </c>
      <c r="BF218" s="57">
        <f ca="1">IFERROR(VLOOKUP($BE218,$BD$5:$BF217,3,0)*$AE218,VLOOKUP($C218,Demanda!$A:$B,2,0)*$AE218)*IF(AT218="Phantom Alt",$BC218,TRUE)</f>
        <v>18000</v>
      </c>
      <c r="BG218" s="57">
        <f ca="1">BF218*(AP218/100)</f>
        <v>18000</v>
      </c>
      <c r="BH218" s="57">
        <f>SUMIF(Invoice!A:A,F218,Invoice!B:B)</f>
        <v>18000</v>
      </c>
      <c r="BI218" s="57">
        <f ca="1">SUMIF(AS:AS,AS218,BG:BG)</f>
        <v>18000</v>
      </c>
      <c r="BJ218" s="57">
        <f ca="1">MIN((BI218-SUMIF($AS$5:AS217,AS218,$BJ$5:BJ217)),MAX(0,BH218-SUMIF($F$5:F217,F218,$BJ$5:BJ217)))</f>
        <v>18000</v>
      </c>
      <c r="BK218" s="57">
        <f ca="1">(-SUMIF(AS:AS,AS218,BG:BG)+SUMIF(AS:AS,AS218,BJ:BJ))*(AP218=100)*AR218</f>
        <v>0</v>
      </c>
      <c r="BL218" s="57">
        <f ca="1">MAX(0,SUMIF(Invoice!A:A,F218,Invoice!B:B)-SUMIF(F:F,F218,BJ:BJ))*(COUNTIF(F:F,F218)=COUNTIF($F$5:F218,F218))</f>
        <v>0</v>
      </c>
    </row>
    <row r="219" spans="1:64" hidden="1">
      <c r="A219" s="43">
        <v>219</v>
      </c>
      <c r="B219" s="35" t="s">
        <v>147</v>
      </c>
      <c r="C219" s="35" t="s">
        <v>146</v>
      </c>
      <c r="D219" s="35">
        <v>2</v>
      </c>
      <c r="E219" s="35">
        <v>770</v>
      </c>
      <c r="F219" s="64" t="s">
        <v>605</v>
      </c>
      <c r="G219" s="73" t="s">
        <v>606</v>
      </c>
      <c r="H219" s="35">
        <v>77</v>
      </c>
      <c r="I219" s="35" t="s">
        <v>55</v>
      </c>
      <c r="J219" s="35">
        <v>0</v>
      </c>
      <c r="K219" s="35" t="s">
        <v>607</v>
      </c>
      <c r="L219" s="35" t="s">
        <v>53</v>
      </c>
      <c r="M219" s="35">
        <v>1</v>
      </c>
      <c r="N219" s="35"/>
      <c r="O219" s="35">
        <v>1</v>
      </c>
      <c r="P219" s="35">
        <v>2</v>
      </c>
      <c r="Q219" s="35">
        <v>2</v>
      </c>
      <c r="R219" s="35" t="s">
        <v>73</v>
      </c>
      <c r="S219" s="35" t="s">
        <v>73</v>
      </c>
      <c r="T219" s="36">
        <v>44901</v>
      </c>
      <c r="U219" s="36">
        <v>2958465</v>
      </c>
      <c r="V219" s="35" t="s">
        <v>282</v>
      </c>
      <c r="W219" s="35" t="s">
        <v>145</v>
      </c>
      <c r="X219" s="35"/>
      <c r="Y219" s="35" t="s">
        <v>143</v>
      </c>
      <c r="Z219" s="35">
        <v>7589154</v>
      </c>
      <c r="AA219" s="35">
        <v>328</v>
      </c>
      <c r="AB219" s="35">
        <v>164</v>
      </c>
      <c r="AC219" s="35"/>
      <c r="AE219" s="51">
        <f>M219/O219</f>
        <v>1</v>
      </c>
      <c r="AG219" s="6" t="str">
        <f>C219</f>
        <v>90MB1BJ0-C1BAY0</v>
      </c>
      <c r="AH219" s="6" t="str">
        <f>IF($D219&lt;=AH$4,"",IF(AND($D218=AH$4,$D219&gt;AH$4),$F218,AH218))</f>
        <v>59MB1BJB-MB0A02S</v>
      </c>
      <c r="AI219" s="6" t="str">
        <f>IF($D219&lt;=AI$4,"",IF(AND($D218=AI$4,$D219&gt;AI$4),$F218,AI218))</f>
        <v/>
      </c>
      <c r="AJ219" s="6" t="str">
        <f>IF($D219&lt;=AJ$4,"",IF(AND($D218=AJ$4,$D219&gt;AJ$4),$F218,AJ218))</f>
        <v/>
      </c>
      <c r="AK219" s="6" t="str">
        <f>IF($D219&lt;=AK$4,"",IF(AND($D218=AK$4,$D219&gt;AK$4),$F218,AK218))</f>
        <v/>
      </c>
      <c r="AL219" s="6" t="str">
        <f>IF($D219&lt;=AL$4,"",IF(AND($D218=AL$4,$D219&gt;AL$4),$F218,AL218))</f>
        <v/>
      </c>
      <c r="AM219" s="6" t="str">
        <f>IF($D219&lt;=AM$4,"",IF(AND($D218=AM$4,$D219&gt;AM$4),$F218,AM218))</f>
        <v/>
      </c>
      <c r="AN219" s="6" t="str">
        <f>IF($D219&lt;=AN$4,"",IF(AND($D218=AN$4,$D219&gt;AN$4),$F218,AN218))</f>
        <v/>
      </c>
      <c r="AO219" s="6" t="str">
        <f>CONCATENATE(AG219," | ",AH219," | ",AI219," | ",AJ219," | ",AK219," | ",AL219," | ",AM219," | ",AN219)</f>
        <v xml:space="preserve">90MB1BJ0-C1BAY0 | 59MB1BJB-MB0A02S |  |  |  |  |  | </v>
      </c>
      <c r="AP219" s="6">
        <f>IF(TRIM(H219)="",100,J219)</f>
        <v>0</v>
      </c>
      <c r="AQ219" s="4"/>
      <c r="AR219" s="6" t="b">
        <f>NOT(TRIM(W219)&lt;&gt;"F")</f>
        <v>1</v>
      </c>
      <c r="AS219" s="6" t="str">
        <f>$B219&amp;" | "&amp;$AO219&amp;" | "&amp;IF(TRIM(H219)="","uniq"&amp;ROW(),TRIM(H219))</f>
        <v>461E | 90MB1BJ0-C1BAY0 | 59MB1BJB-MB0A02S |  |  |  |  |  |  | 77</v>
      </c>
      <c r="AT219" s="63">
        <f>IF(NOT(AR219),IF(TRIM($H219)="","Assembly","Phantom Alt"),VLOOKUP(F219,ZPCS04!B:G,6,0))</f>
        <v>821</v>
      </c>
      <c r="AU219" s="7"/>
      <c r="AV219" s="38">
        <f ca="1">IF(TRIM($W219)="F",OFFSET($A$5,MATCH($AS219,$AS$5:$AS219,0)-1,0),$A219)</f>
        <v>219</v>
      </c>
      <c r="AW219" s="38">
        <f ca="1">IFERROR(OFFSET(ZPCS04!$A$1,MATCH(F219,ZPCS04!B:B,0)-1,0),100)</f>
        <v>1.9999999900000001</v>
      </c>
      <c r="AX219" s="7"/>
      <c r="AY219" s="6" t="b">
        <f>SUMIF(AS:AS,AS219,AP:AP)=100</f>
        <v>1</v>
      </c>
      <c r="AZ219" s="6" t="b">
        <f>SUMIF(AS:AS,AS219,AE:AE)/COUNTIF(AS:AS,AS219)=AE219</f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>C219&amp;" | "&amp;F219</f>
        <v>90MB1BJ0-C1BAY0 | 09016-00015900</v>
      </c>
      <c r="BE219" s="55" t="str">
        <f ca="1">C219&amp;" | "&amp;OFFSET($AF219,0,8-COUNTBLANK($AG219:$AN219))</f>
        <v>90MB1BJ0-C1BAY0 | 59MB1BJB-MB0A02S</v>
      </c>
      <c r="BF219" s="57">
        <f ca="1">IFERROR(VLOOKUP($BE219,$BD$5:$BF218,3,0)*$AE219,VLOOKUP($C219,Demanda!$A:$B,2,0)*$AE219)*IF(AT219="Phantom Alt",$BC219,TRUE)</f>
        <v>1000</v>
      </c>
      <c r="BG219" s="57">
        <f ca="1">BF219*(AP219/100)</f>
        <v>0</v>
      </c>
      <c r="BH219" s="57">
        <f>SUMIF(Invoice!A:A,F219,Invoice!B:B)</f>
        <v>1000</v>
      </c>
      <c r="BI219" s="57">
        <f ca="1">SUMIF(AS:AS,AS219,BG:BG)</f>
        <v>1000</v>
      </c>
      <c r="BJ219" s="57">
        <f ca="1">MIN((BI219-SUMIF($AS$5:AS218,AS219,$BJ$5:BJ218)),MAX(0,BH219-SUMIF($F$5:F218,F219,$BJ$5:BJ218)))</f>
        <v>1000</v>
      </c>
      <c r="BK219" s="57">
        <f ca="1">(-SUMIF(AS:AS,AS219,BG:BG)+SUMIF(AS:AS,AS219,BJ:BJ))*(AP219=100)*AR219</f>
        <v>0</v>
      </c>
      <c r="BL219" s="57">
        <f ca="1">MAX(0,SUMIF(Invoice!A:A,F219,Invoice!B:B)-SUMIF(F:F,F219,BJ:BJ))*(COUNTIF(F:F,F219)=COUNTIF($F$5:F219,F219))</f>
        <v>0</v>
      </c>
    </row>
    <row r="220" spans="1:64" hidden="1">
      <c r="A220" s="43">
        <v>220</v>
      </c>
      <c r="B220" s="35" t="s">
        <v>147</v>
      </c>
      <c r="C220" s="35" t="s">
        <v>146</v>
      </c>
      <c r="D220" s="35">
        <v>2</v>
      </c>
      <c r="E220" s="35">
        <v>770</v>
      </c>
      <c r="F220" s="64" t="s">
        <v>608</v>
      </c>
      <c r="G220" s="73" t="s">
        <v>609</v>
      </c>
      <c r="H220" s="35">
        <v>77</v>
      </c>
      <c r="I220" s="35" t="s">
        <v>54</v>
      </c>
      <c r="J220" s="35">
        <v>100</v>
      </c>
      <c r="K220" s="35" t="s">
        <v>150</v>
      </c>
      <c r="L220" s="35" t="s">
        <v>53</v>
      </c>
      <c r="M220" s="35">
        <v>1</v>
      </c>
      <c r="N220" s="35">
        <v>1</v>
      </c>
      <c r="O220" s="35">
        <v>1</v>
      </c>
      <c r="P220" s="35">
        <v>2</v>
      </c>
      <c r="Q220" s="35">
        <v>1</v>
      </c>
      <c r="R220" s="35" t="s">
        <v>73</v>
      </c>
      <c r="S220" s="35" t="s">
        <v>73</v>
      </c>
      <c r="T220" s="36">
        <v>44901</v>
      </c>
      <c r="U220" s="36">
        <v>2958465</v>
      </c>
      <c r="V220" s="35" t="s">
        <v>282</v>
      </c>
      <c r="W220" s="35" t="s">
        <v>145</v>
      </c>
      <c r="X220" s="35"/>
      <c r="Y220" s="35" t="s">
        <v>143</v>
      </c>
      <c r="Z220" s="35">
        <v>7589154</v>
      </c>
      <c r="AA220" s="35">
        <v>326</v>
      </c>
      <c r="AB220" s="35">
        <v>163</v>
      </c>
      <c r="AC220" s="35" t="s">
        <v>144</v>
      </c>
      <c r="AE220" s="51">
        <f>M220/O220</f>
        <v>1</v>
      </c>
      <c r="AG220" s="6" t="str">
        <f>C220</f>
        <v>90MB1BJ0-C1BAY0</v>
      </c>
      <c r="AH220" s="6" t="str">
        <f>IF($D220&lt;=AH$4,"",IF(AND($D219=AH$4,$D220&gt;AH$4),$F219,AH219))</f>
        <v>59MB1BJB-MB0A02S</v>
      </c>
      <c r="AI220" s="6" t="str">
        <f>IF($D220&lt;=AI$4,"",IF(AND($D219=AI$4,$D220&gt;AI$4),$F219,AI219))</f>
        <v/>
      </c>
      <c r="AJ220" s="6" t="str">
        <f>IF($D220&lt;=AJ$4,"",IF(AND($D219=AJ$4,$D220&gt;AJ$4),$F219,AJ219))</f>
        <v/>
      </c>
      <c r="AK220" s="6" t="str">
        <f>IF($D220&lt;=AK$4,"",IF(AND($D219=AK$4,$D220&gt;AK$4),$F219,AK219))</f>
        <v/>
      </c>
      <c r="AL220" s="6" t="str">
        <f>IF($D220&lt;=AL$4,"",IF(AND($D219=AL$4,$D220&gt;AL$4),$F219,AL219))</f>
        <v/>
      </c>
      <c r="AM220" s="6" t="str">
        <f>IF($D220&lt;=AM$4,"",IF(AND($D219=AM$4,$D220&gt;AM$4),$F219,AM219))</f>
        <v/>
      </c>
      <c r="AN220" s="6" t="str">
        <f>IF($D220&lt;=AN$4,"",IF(AND($D219=AN$4,$D220&gt;AN$4),$F219,AN219))</f>
        <v/>
      </c>
      <c r="AO220" s="6" t="str">
        <f>CONCATENATE(AG220," | ",AH220," | ",AI220," | ",AJ220," | ",AK220," | ",AL220," | ",AM220," | ",AN220)</f>
        <v xml:space="preserve">90MB1BJ0-C1BAY0 | 59MB1BJB-MB0A02S |  |  |  |  |  | </v>
      </c>
      <c r="AP220" s="6">
        <f>IF(TRIM(H220)="",100,J220)</f>
        <v>100</v>
      </c>
      <c r="AQ220" s="4"/>
      <c r="AR220" s="6" t="b">
        <f>NOT(TRIM(W220)&lt;&gt;"F")</f>
        <v>1</v>
      </c>
      <c r="AS220" s="6" t="str">
        <f>$B220&amp;" | "&amp;$AO220&amp;" | "&amp;IF(TRIM(H220)="","uniq"&amp;ROW(),TRIM(H220))</f>
        <v>461E | 90MB1BJ0-C1BAY0 | 59MB1BJB-MB0A02S |  |  |  |  |  |  | 77</v>
      </c>
      <c r="AT220" s="63">
        <f>IF(NOT(AR220),IF(TRIM($H220)="","Assembly","Phantom Alt"),VLOOKUP(F220,ZPCS04!B:G,6,0))</f>
        <v>821</v>
      </c>
      <c r="AU220" s="7"/>
      <c r="AV220" s="38">
        <f ca="1">IF(TRIM($W220)="F",OFFSET($A$5,MATCH($AS220,$AS$5:$AS220,0)-1,0),$A220)</f>
        <v>219</v>
      </c>
      <c r="AW220" s="38">
        <f ca="1">IFERROR(OFFSET(ZPCS04!$A$1,MATCH(F220,ZPCS04!B:B,0)-1,0),100)</f>
        <v>2</v>
      </c>
      <c r="AX220" s="7"/>
      <c r="AY220" s="6" t="b">
        <f>SUMIF(AS:AS,AS220,AP:AP)=100</f>
        <v>1</v>
      </c>
      <c r="AZ220" s="6" t="b">
        <f>SUMIF(AS:AS,AS220,AE:AE)/COUNTIF(AS:AS,AS220)=AE220</f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>C220&amp;" | "&amp;F220</f>
        <v>90MB1BJ0-C1BAY0 | 09016-00253300</v>
      </c>
      <c r="BE220" s="55" t="str">
        <f ca="1">C220&amp;" | "&amp;OFFSET($AF220,0,8-COUNTBLANK($AG220:$AN220))</f>
        <v>90MB1BJ0-C1BAY0 | 59MB1BJB-MB0A02S</v>
      </c>
      <c r="BF220" s="57">
        <f ca="1">IFERROR(VLOOKUP($BE220,$BD$5:$BF219,3,0)*$AE220,VLOOKUP($C220,Demanda!$A:$B,2,0)*$AE220)*IF(AT220="Phantom Alt",$BC220,TRUE)</f>
        <v>1000</v>
      </c>
      <c r="BG220" s="57">
        <f ca="1">BF220*(AP220/100)</f>
        <v>1000</v>
      </c>
      <c r="BH220" s="57">
        <f>SUMIF(Invoice!A:A,F220,Invoice!B:B)</f>
        <v>0</v>
      </c>
      <c r="BI220" s="57">
        <f ca="1">SUMIF(AS:AS,AS220,BG:BG)</f>
        <v>1000</v>
      </c>
      <c r="BJ220" s="57">
        <f ca="1">MIN((BI220-SUMIF($AS$5:AS219,AS220,$BJ$5:BJ219)),MAX(0,BH220-SUMIF($F$5:F219,F220,$BJ$5:BJ219)))</f>
        <v>0</v>
      </c>
      <c r="BK220" s="57">
        <f ca="1">(-SUMIF(AS:AS,AS220,BG:BG)+SUMIF(AS:AS,AS220,BJ:BJ))*(AP220=100)*AR220</f>
        <v>0</v>
      </c>
      <c r="BL220" s="57">
        <f ca="1">MAX(0,SUMIF(Invoice!A:A,F220,Invoice!B:B)-SUMIF(F:F,F220,BJ:BJ))*(COUNTIF(F:F,F220)=COUNTIF($F$5:F220,F220))</f>
        <v>0</v>
      </c>
    </row>
    <row r="221" spans="1:64" hidden="1">
      <c r="A221" s="43">
        <v>221</v>
      </c>
      <c r="B221" s="35" t="s">
        <v>147</v>
      </c>
      <c r="C221" s="35" t="s">
        <v>146</v>
      </c>
      <c r="D221" s="35">
        <v>2</v>
      </c>
      <c r="E221" s="35">
        <v>780</v>
      </c>
      <c r="F221" s="64" t="s">
        <v>610</v>
      </c>
      <c r="G221" s="73" t="s">
        <v>611</v>
      </c>
      <c r="H221" s="35">
        <v>78</v>
      </c>
      <c r="I221" s="35" t="s">
        <v>54</v>
      </c>
      <c r="J221" s="35">
        <v>100</v>
      </c>
      <c r="K221" s="35" t="s">
        <v>150</v>
      </c>
      <c r="L221" s="35" t="s">
        <v>53</v>
      </c>
      <c r="M221" s="35">
        <v>4</v>
      </c>
      <c r="N221" s="35">
        <v>4</v>
      </c>
      <c r="O221" s="35">
        <v>1</v>
      </c>
      <c r="P221" s="35">
        <v>2</v>
      </c>
      <c r="Q221" s="35">
        <v>1</v>
      </c>
      <c r="R221" s="35" t="s">
        <v>73</v>
      </c>
      <c r="S221" s="35" t="s">
        <v>73</v>
      </c>
      <c r="T221" s="36">
        <v>44901</v>
      </c>
      <c r="U221" s="36">
        <v>2958465</v>
      </c>
      <c r="V221" s="35" t="s">
        <v>282</v>
      </c>
      <c r="W221" s="35" t="s">
        <v>145</v>
      </c>
      <c r="X221" s="35"/>
      <c r="Y221" s="35" t="s">
        <v>143</v>
      </c>
      <c r="Z221" s="35">
        <v>7589154</v>
      </c>
      <c r="AA221" s="35">
        <v>330</v>
      </c>
      <c r="AB221" s="35">
        <v>165</v>
      </c>
      <c r="AC221" s="35"/>
      <c r="AE221" s="51">
        <f>M221/O221</f>
        <v>4</v>
      </c>
      <c r="AG221" s="6" t="str">
        <f>C221</f>
        <v>90MB1BJ0-C1BAY0</v>
      </c>
      <c r="AH221" s="6" t="str">
        <f>IF($D221&lt;=AH$4,"",IF(AND($D220=AH$4,$D221&gt;AH$4),$F220,AH220))</f>
        <v>59MB1BJB-MB0A02S</v>
      </c>
      <c r="AI221" s="6" t="str">
        <f>IF($D221&lt;=AI$4,"",IF(AND($D220=AI$4,$D221&gt;AI$4),$F220,AI220))</f>
        <v/>
      </c>
      <c r="AJ221" s="6" t="str">
        <f>IF($D221&lt;=AJ$4,"",IF(AND($D220=AJ$4,$D221&gt;AJ$4),$F220,AJ220))</f>
        <v/>
      </c>
      <c r="AK221" s="6" t="str">
        <f>IF($D221&lt;=AK$4,"",IF(AND($D220=AK$4,$D221&gt;AK$4),$F220,AK220))</f>
        <v/>
      </c>
      <c r="AL221" s="6" t="str">
        <f>IF($D221&lt;=AL$4,"",IF(AND($D220=AL$4,$D221&gt;AL$4),$F220,AL220))</f>
        <v/>
      </c>
      <c r="AM221" s="6" t="str">
        <f>IF($D221&lt;=AM$4,"",IF(AND($D220=AM$4,$D221&gt;AM$4),$F220,AM220))</f>
        <v/>
      </c>
      <c r="AN221" s="6" t="str">
        <f>IF($D221&lt;=AN$4,"",IF(AND($D220=AN$4,$D221&gt;AN$4),$F220,AN220))</f>
        <v/>
      </c>
      <c r="AO221" s="6" t="str">
        <f>CONCATENATE(AG221," | ",AH221," | ",AI221," | ",AJ221," | ",AK221," | ",AL221," | ",AM221," | ",AN221)</f>
        <v xml:space="preserve">90MB1BJ0-C1BAY0 | 59MB1BJB-MB0A02S |  |  |  |  |  | </v>
      </c>
      <c r="AP221" s="6">
        <f>IF(TRIM(H221)="",100,J221)</f>
        <v>100</v>
      </c>
      <c r="AQ221" s="4"/>
      <c r="AR221" s="6" t="b">
        <f>NOT(TRIM(W221)&lt;&gt;"F")</f>
        <v>1</v>
      </c>
      <c r="AS221" s="6" t="str">
        <f>$B221&amp;" | "&amp;$AO221&amp;" | "&amp;IF(TRIM(H221)="","uniq"&amp;ROW(),TRIM(H221))</f>
        <v>461E | 90MB1BJ0-C1BAY0 | 59MB1BJB-MB0A02S |  |  |  |  |  |  | 78</v>
      </c>
      <c r="AT221" s="63">
        <f>IF(NOT(AR221),IF(TRIM($H221)="","Assembly","Phantom Alt"),VLOOKUP(F221,ZPCS04!B:G,6,0))</f>
        <v>943</v>
      </c>
      <c r="AU221" s="7"/>
      <c r="AV221" s="38">
        <f ca="1">IF(TRIM($W221)="F",OFFSET($A$5,MATCH($AS221,$AS$5:$AS221,0)-1,0),$A221)</f>
        <v>221</v>
      </c>
      <c r="AW221" s="38">
        <f ca="1">IFERROR(OFFSET(ZPCS04!$A$1,MATCH(F221,ZPCS04!B:B,0)-1,0),100)</f>
        <v>1.99999996</v>
      </c>
      <c r="AX221" s="7"/>
      <c r="AY221" s="6" t="b">
        <f>SUMIF(AS:AS,AS221,AP:AP)=100</f>
        <v>1</v>
      </c>
      <c r="AZ221" s="6" t="b">
        <f>SUMIF(AS:AS,AS221,AE:AE)/COUNTIF(AS:AS,AS221)=AE221</f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>C221&amp;" | "&amp;F221</f>
        <v>90MB1BJ0-C1BAY0 | 09016-00350000</v>
      </c>
      <c r="BE221" s="55" t="str">
        <f ca="1">C221&amp;" | "&amp;OFFSET($AF221,0,8-COUNTBLANK($AG221:$AN221))</f>
        <v>90MB1BJ0-C1BAY0 | 59MB1BJB-MB0A02S</v>
      </c>
      <c r="BF221" s="57">
        <f ca="1">IFERROR(VLOOKUP($BE221,$BD$5:$BF220,3,0)*$AE221,VLOOKUP($C221,Demanda!$A:$B,2,0)*$AE221)*IF(AT221="Phantom Alt",$BC221,TRUE)</f>
        <v>4000</v>
      </c>
      <c r="BG221" s="57">
        <f ca="1">BF221*(AP221/100)</f>
        <v>4000</v>
      </c>
      <c r="BH221" s="57">
        <f>SUMIF(Invoice!A:A,F221,Invoice!B:B)</f>
        <v>4000</v>
      </c>
      <c r="BI221" s="57">
        <f ca="1">SUMIF(AS:AS,AS221,BG:BG)</f>
        <v>4000</v>
      </c>
      <c r="BJ221" s="57">
        <f ca="1">MIN((BI221-SUMIF($AS$5:AS220,AS221,$BJ$5:BJ220)),MAX(0,BH221-SUMIF($F$5:F220,F221,$BJ$5:BJ220)))</f>
        <v>4000</v>
      </c>
      <c r="BK221" s="57">
        <f ca="1">(-SUMIF(AS:AS,AS221,BG:BG)+SUMIF(AS:AS,AS221,BJ:BJ))*(AP221=100)*AR221</f>
        <v>0</v>
      </c>
      <c r="BL221" s="57">
        <f ca="1">MAX(0,SUMIF(Invoice!A:A,F221,Invoice!B:B)-SUMIF(F:F,F221,BJ:BJ))*(COUNTIF(F:F,F221)=COUNTIF($F$5:F221,F221))</f>
        <v>0</v>
      </c>
    </row>
    <row r="222" spans="1:64" hidden="1">
      <c r="A222" s="43">
        <v>222</v>
      </c>
      <c r="B222" s="35" t="s">
        <v>147</v>
      </c>
      <c r="C222" s="35" t="s">
        <v>146</v>
      </c>
      <c r="D222" s="35">
        <v>2</v>
      </c>
      <c r="E222" s="35">
        <v>780</v>
      </c>
      <c r="F222" s="64" t="s">
        <v>612</v>
      </c>
      <c r="G222" s="73" t="s">
        <v>613</v>
      </c>
      <c r="H222" s="35">
        <v>78</v>
      </c>
      <c r="I222" s="35" t="s">
        <v>55</v>
      </c>
      <c r="J222" s="35">
        <v>0</v>
      </c>
      <c r="K222" s="35" t="s">
        <v>150</v>
      </c>
      <c r="L222" s="35" t="s">
        <v>53</v>
      </c>
      <c r="M222" s="35">
        <v>4</v>
      </c>
      <c r="N222" s="35"/>
      <c r="O222" s="35">
        <v>1</v>
      </c>
      <c r="P222" s="35">
        <v>2</v>
      </c>
      <c r="Q222" s="35">
        <v>2</v>
      </c>
      <c r="R222" s="35" t="s">
        <v>73</v>
      </c>
      <c r="S222" s="35" t="s">
        <v>73</v>
      </c>
      <c r="T222" s="36">
        <v>44901</v>
      </c>
      <c r="U222" s="36">
        <v>2958465</v>
      </c>
      <c r="V222" s="35" t="s">
        <v>282</v>
      </c>
      <c r="W222" s="35" t="s">
        <v>145</v>
      </c>
      <c r="X222" s="35"/>
      <c r="Y222" s="35" t="s">
        <v>143</v>
      </c>
      <c r="Z222" s="35">
        <v>7589154</v>
      </c>
      <c r="AA222" s="35">
        <v>332</v>
      </c>
      <c r="AB222" s="35">
        <v>166</v>
      </c>
      <c r="AC222" s="35"/>
      <c r="AE222" s="51">
        <f>M222/O222</f>
        <v>4</v>
      </c>
      <c r="AG222" s="6" t="str">
        <f>C222</f>
        <v>90MB1BJ0-C1BAY0</v>
      </c>
      <c r="AH222" s="6" t="str">
        <f>IF($D222&lt;=AH$4,"",IF(AND($D221=AH$4,$D222&gt;AH$4),$F221,AH221))</f>
        <v>59MB1BJB-MB0A02S</v>
      </c>
      <c r="AI222" s="6" t="str">
        <f>IF($D222&lt;=AI$4,"",IF(AND($D221=AI$4,$D222&gt;AI$4),$F221,AI221))</f>
        <v/>
      </c>
      <c r="AJ222" s="6" t="str">
        <f>IF($D222&lt;=AJ$4,"",IF(AND($D221=AJ$4,$D222&gt;AJ$4),$F221,AJ221))</f>
        <v/>
      </c>
      <c r="AK222" s="6" t="str">
        <f>IF($D222&lt;=AK$4,"",IF(AND($D221=AK$4,$D222&gt;AK$4),$F221,AK221))</f>
        <v/>
      </c>
      <c r="AL222" s="6" t="str">
        <f>IF($D222&lt;=AL$4,"",IF(AND($D221=AL$4,$D222&gt;AL$4),$F221,AL221))</f>
        <v/>
      </c>
      <c r="AM222" s="6" t="str">
        <f>IF($D222&lt;=AM$4,"",IF(AND($D221=AM$4,$D222&gt;AM$4),$F221,AM221))</f>
        <v/>
      </c>
      <c r="AN222" s="6" t="str">
        <f>IF($D222&lt;=AN$4,"",IF(AND($D221=AN$4,$D222&gt;AN$4),$F221,AN221))</f>
        <v/>
      </c>
      <c r="AO222" s="6" t="str">
        <f>CONCATENATE(AG222," | ",AH222," | ",AI222," | ",AJ222," | ",AK222," | ",AL222," | ",AM222," | ",AN222)</f>
        <v xml:space="preserve">90MB1BJ0-C1BAY0 | 59MB1BJB-MB0A02S |  |  |  |  |  | </v>
      </c>
      <c r="AP222" s="6">
        <f>IF(TRIM(H222)="",100,J222)</f>
        <v>0</v>
      </c>
      <c r="AQ222" s="4"/>
      <c r="AR222" s="6" t="b">
        <f>NOT(TRIM(W222)&lt;&gt;"F")</f>
        <v>1</v>
      </c>
      <c r="AS222" s="6" t="str">
        <f>$B222&amp;" | "&amp;$AO222&amp;" | "&amp;IF(TRIM(H222)="","uniq"&amp;ROW(),TRIM(H222))</f>
        <v>461E | 90MB1BJ0-C1BAY0 | 59MB1BJB-MB0A02S |  |  |  |  |  |  | 78</v>
      </c>
      <c r="AT222" s="63">
        <f>IF(NOT(AR222),IF(TRIM($H222)="","Assembly","Phantom Alt"),VLOOKUP(F222,ZPCS04!B:G,6,0))</f>
        <v>943</v>
      </c>
      <c r="AU222" s="7"/>
      <c r="AV222" s="38">
        <f ca="1">IF(TRIM($W222)="F",OFFSET($A$5,MATCH($AS222,$AS$5:$AS222,0)-1,0),$A222)</f>
        <v>221</v>
      </c>
      <c r="AW222" s="38">
        <f ca="1">IFERROR(OFFSET(ZPCS04!$A$1,MATCH(F222,ZPCS04!B:B,0)-1,0),100)</f>
        <v>2</v>
      </c>
      <c r="AX222" s="7"/>
      <c r="AY222" s="6" t="b">
        <f>SUMIF(AS:AS,AS222,AP:AP)=100</f>
        <v>1</v>
      </c>
      <c r="AZ222" s="6" t="b">
        <f>SUMIF(AS:AS,AS222,AE:AE)/COUNTIF(AS:AS,AS222)=AE222</f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>C222&amp;" | "&amp;F222</f>
        <v>90MB1BJ0-C1BAY0 | 09016-00350100</v>
      </c>
      <c r="BE222" s="55" t="str">
        <f ca="1">C222&amp;" | "&amp;OFFSET($AF222,0,8-COUNTBLANK($AG222:$AN222))</f>
        <v>90MB1BJ0-C1BAY0 | 59MB1BJB-MB0A02S</v>
      </c>
      <c r="BF222" s="57">
        <f ca="1">IFERROR(VLOOKUP($BE222,$BD$5:$BF221,3,0)*$AE222,VLOOKUP($C222,Demanda!$A:$B,2,0)*$AE222)*IF(AT222="Phantom Alt",$BC222,TRUE)</f>
        <v>4000</v>
      </c>
      <c r="BG222" s="57">
        <f ca="1">BF222*(AP222/100)</f>
        <v>0</v>
      </c>
      <c r="BH222" s="57">
        <f>SUMIF(Invoice!A:A,F222,Invoice!B:B)</f>
        <v>0</v>
      </c>
      <c r="BI222" s="57">
        <f ca="1">SUMIF(AS:AS,AS222,BG:BG)</f>
        <v>4000</v>
      </c>
      <c r="BJ222" s="57">
        <f ca="1">MIN((BI222-SUMIF($AS$5:AS221,AS222,$BJ$5:BJ221)),MAX(0,BH222-SUMIF($F$5:F221,F222,$BJ$5:BJ221)))</f>
        <v>0</v>
      </c>
      <c r="BK222" s="57">
        <f ca="1">(-SUMIF(AS:AS,AS222,BG:BG)+SUMIF(AS:AS,AS222,BJ:BJ))*(AP222=100)*AR222</f>
        <v>0</v>
      </c>
      <c r="BL222" s="57">
        <f ca="1">MAX(0,SUMIF(Invoice!A:A,F222,Invoice!B:B)-SUMIF(F:F,F222,BJ:BJ))*(COUNTIF(F:F,F222)=COUNTIF($F$5:F222,F222))</f>
        <v>0</v>
      </c>
    </row>
    <row r="223" spans="1:64" hidden="1">
      <c r="A223" s="43">
        <v>223</v>
      </c>
      <c r="B223" s="35" t="s">
        <v>147</v>
      </c>
      <c r="C223" s="35" t="s">
        <v>146</v>
      </c>
      <c r="D223" s="35">
        <v>2</v>
      </c>
      <c r="E223" s="35">
        <v>790</v>
      </c>
      <c r="F223" s="64" t="s">
        <v>614</v>
      </c>
      <c r="G223" s="73" t="s">
        <v>615</v>
      </c>
      <c r="H223" s="35"/>
      <c r="I223" s="35" t="s">
        <v>54</v>
      </c>
      <c r="J223" s="35">
        <v>0</v>
      </c>
      <c r="K223" s="35" t="s">
        <v>150</v>
      </c>
      <c r="L223" s="35" t="s">
        <v>53</v>
      </c>
      <c r="M223" s="35">
        <v>2</v>
      </c>
      <c r="N223" s="35">
        <v>2</v>
      </c>
      <c r="O223" s="35">
        <v>1</v>
      </c>
      <c r="P223" s="35"/>
      <c r="Q223" s="35"/>
      <c r="R223" s="35" t="s">
        <v>73</v>
      </c>
      <c r="S223" s="35" t="s">
        <v>73</v>
      </c>
      <c r="T223" s="36">
        <v>44901</v>
      </c>
      <c r="U223" s="36">
        <v>2958465</v>
      </c>
      <c r="V223" s="35" t="s">
        <v>282</v>
      </c>
      <c r="W223" s="35" t="s">
        <v>145</v>
      </c>
      <c r="X223" s="35"/>
      <c r="Y223" s="35" t="s">
        <v>143</v>
      </c>
      <c r="Z223" s="35">
        <v>7589154</v>
      </c>
      <c r="AA223" s="35">
        <v>334</v>
      </c>
      <c r="AB223" s="35">
        <v>167</v>
      </c>
      <c r="AC223" s="35"/>
      <c r="AE223" s="51">
        <f>M223/O223</f>
        <v>2</v>
      </c>
      <c r="AG223" s="6" t="str">
        <f>C223</f>
        <v>90MB1BJ0-C1BAY0</v>
      </c>
      <c r="AH223" s="6" t="str">
        <f>IF($D223&lt;=AH$4,"",IF(AND($D222=AH$4,$D223&gt;AH$4),$F222,AH222))</f>
        <v>59MB1BJB-MB0A02S</v>
      </c>
      <c r="AI223" s="6" t="str">
        <f>IF($D223&lt;=AI$4,"",IF(AND($D222=AI$4,$D223&gt;AI$4),$F222,AI222))</f>
        <v/>
      </c>
      <c r="AJ223" s="6" t="str">
        <f>IF($D223&lt;=AJ$4,"",IF(AND($D222=AJ$4,$D223&gt;AJ$4),$F222,AJ222))</f>
        <v/>
      </c>
      <c r="AK223" s="6" t="str">
        <f>IF($D223&lt;=AK$4,"",IF(AND($D222=AK$4,$D223&gt;AK$4),$F222,AK222))</f>
        <v/>
      </c>
      <c r="AL223" s="6" t="str">
        <f>IF($D223&lt;=AL$4,"",IF(AND($D222=AL$4,$D223&gt;AL$4),$F222,AL222))</f>
        <v/>
      </c>
      <c r="AM223" s="6" t="str">
        <f>IF($D223&lt;=AM$4,"",IF(AND($D222=AM$4,$D223&gt;AM$4),$F222,AM222))</f>
        <v/>
      </c>
      <c r="AN223" s="6" t="str">
        <f>IF($D223&lt;=AN$4,"",IF(AND($D222=AN$4,$D223&gt;AN$4),$F222,AN222))</f>
        <v/>
      </c>
      <c r="AO223" s="6" t="str">
        <f>CONCATENATE(AG223," | ",AH223," | ",AI223," | ",AJ223," | ",AK223," | ",AL223," | ",AM223," | ",AN223)</f>
        <v xml:space="preserve">90MB1BJ0-C1BAY0 | 59MB1BJB-MB0A02S |  |  |  |  |  | </v>
      </c>
      <c r="AP223" s="6">
        <f>IF(TRIM(H223)="",100,J223)</f>
        <v>100</v>
      </c>
      <c r="AQ223" s="4"/>
      <c r="AR223" s="6" t="b">
        <f>NOT(TRIM(W223)&lt;&gt;"F")</f>
        <v>1</v>
      </c>
      <c r="AS223" s="6" t="str">
        <f>$B223&amp;" | "&amp;$AO223&amp;" | "&amp;IF(TRIM(H223)="","uniq"&amp;ROW(),TRIM(H223))</f>
        <v>461E | 90MB1BJ0-C1BAY0 | 59MB1BJB-MB0A02S |  |  |  |  |  |  | uniq223</v>
      </c>
      <c r="AT223" s="63">
        <f>IF(NOT(AR223),IF(TRIM($H223)="","Assembly","Phantom Alt"),VLOOKUP(F223,ZPCS04!B:G,6,0))</f>
        <v>105</v>
      </c>
      <c r="AU223" s="7"/>
      <c r="AV223" s="38">
        <f ca="1">IF(TRIM($W223)="F",OFFSET($A$5,MATCH($AS223,$AS$5:$AS223,0)-1,0),$A223)</f>
        <v>223</v>
      </c>
      <c r="AW223" s="38">
        <f ca="1">IFERROR(OFFSET(ZPCS04!$A$1,MATCH(F223,ZPCS04!B:B,0)-1,0),100)</f>
        <v>1.9999999800000001</v>
      </c>
      <c r="AX223" s="7"/>
      <c r="AY223" s="6" t="b">
        <f>SUMIF(AS:AS,AS223,AP:AP)=100</f>
        <v>1</v>
      </c>
      <c r="AZ223" s="6" t="b">
        <f>SUMIF(AS:AS,AS223,AE:AE)/COUNTIF(AS:AS,AS223)=AE223</f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>C223&amp;" | "&amp;F223</f>
        <v>90MB1BJ0-C1BAY0 | 09016-00542000</v>
      </c>
      <c r="BE223" s="55" t="str">
        <f ca="1">C223&amp;" | "&amp;OFFSET($AF223,0,8-COUNTBLANK($AG223:$AN223))</f>
        <v>90MB1BJ0-C1BAY0 | 59MB1BJB-MB0A02S</v>
      </c>
      <c r="BF223" s="57">
        <f ca="1">IFERROR(VLOOKUP($BE223,$BD$5:$BF222,3,0)*$AE223,VLOOKUP($C223,Demanda!$A:$B,2,0)*$AE223)*IF(AT223="Phantom Alt",$BC223,TRUE)</f>
        <v>2000</v>
      </c>
      <c r="BG223" s="57">
        <f ca="1">BF223*(AP223/100)</f>
        <v>2000</v>
      </c>
      <c r="BH223" s="57">
        <f>SUMIF(Invoice!A:A,F223,Invoice!B:B)</f>
        <v>2000</v>
      </c>
      <c r="BI223" s="57">
        <f ca="1">SUMIF(AS:AS,AS223,BG:BG)</f>
        <v>2000</v>
      </c>
      <c r="BJ223" s="57">
        <f ca="1">MIN((BI223-SUMIF($AS$5:AS222,AS223,$BJ$5:BJ222)),MAX(0,BH223-SUMIF($F$5:F222,F223,$BJ$5:BJ222)))</f>
        <v>2000</v>
      </c>
      <c r="BK223" s="57">
        <f ca="1">(-SUMIF(AS:AS,AS223,BG:BG)+SUMIF(AS:AS,AS223,BJ:BJ))*(AP223=100)*AR223</f>
        <v>0</v>
      </c>
      <c r="BL223" s="57">
        <f ca="1">MAX(0,SUMIF(Invoice!A:A,F223,Invoice!B:B)-SUMIF(F:F,F223,BJ:BJ))*(COUNTIF(F:F,F223)=COUNTIF($F$5:F223,F223))</f>
        <v>0</v>
      </c>
    </row>
    <row r="224" spans="1:64" hidden="1">
      <c r="A224" s="43">
        <v>224</v>
      </c>
      <c r="B224" s="35" t="s">
        <v>147</v>
      </c>
      <c r="C224" s="35" t="s">
        <v>146</v>
      </c>
      <c r="D224" s="35">
        <v>2</v>
      </c>
      <c r="E224" s="35">
        <v>800</v>
      </c>
      <c r="F224" s="64" t="s">
        <v>616</v>
      </c>
      <c r="G224" s="73" t="s">
        <v>617</v>
      </c>
      <c r="H224" s="35">
        <v>80</v>
      </c>
      <c r="I224" s="35" t="s">
        <v>54</v>
      </c>
      <c r="J224" s="35">
        <v>100</v>
      </c>
      <c r="K224" s="35" t="s">
        <v>607</v>
      </c>
      <c r="L224" s="35" t="s">
        <v>53</v>
      </c>
      <c r="M224" s="35">
        <v>3</v>
      </c>
      <c r="N224" s="35">
        <v>3</v>
      </c>
      <c r="O224" s="35">
        <v>1</v>
      </c>
      <c r="P224" s="35">
        <v>2</v>
      </c>
      <c r="Q224" s="35">
        <v>1</v>
      </c>
      <c r="R224" s="35" t="s">
        <v>122</v>
      </c>
      <c r="S224" s="35" t="s">
        <v>122</v>
      </c>
      <c r="T224" s="36">
        <v>44901</v>
      </c>
      <c r="U224" s="36">
        <v>2958465</v>
      </c>
      <c r="V224" s="35" t="s">
        <v>282</v>
      </c>
      <c r="W224" s="35" t="s">
        <v>145</v>
      </c>
      <c r="X224" s="35"/>
      <c r="Y224" s="35" t="s">
        <v>143</v>
      </c>
      <c r="Z224" s="35">
        <v>7589154</v>
      </c>
      <c r="AA224" s="35">
        <v>336</v>
      </c>
      <c r="AB224" s="35">
        <v>168</v>
      </c>
      <c r="AC224" s="35"/>
      <c r="AE224" s="51">
        <f>M224/O224</f>
        <v>3</v>
      </c>
      <c r="AG224" s="6" t="str">
        <f>C224</f>
        <v>90MB1BJ0-C1BAY0</v>
      </c>
      <c r="AH224" s="6" t="str">
        <f>IF($D224&lt;=AH$4,"",IF(AND($D223=AH$4,$D224&gt;AH$4),$F223,AH223))</f>
        <v>59MB1BJB-MB0A02S</v>
      </c>
      <c r="AI224" s="6" t="str">
        <f>IF($D224&lt;=AI$4,"",IF(AND($D223=AI$4,$D224&gt;AI$4),$F223,AI223))</f>
        <v/>
      </c>
      <c r="AJ224" s="6" t="str">
        <f>IF($D224&lt;=AJ$4,"",IF(AND($D223=AJ$4,$D224&gt;AJ$4),$F223,AJ223))</f>
        <v/>
      </c>
      <c r="AK224" s="6" t="str">
        <f>IF($D224&lt;=AK$4,"",IF(AND($D223=AK$4,$D224&gt;AK$4),$F223,AK223))</f>
        <v/>
      </c>
      <c r="AL224" s="6" t="str">
        <f>IF($D224&lt;=AL$4,"",IF(AND($D223=AL$4,$D224&gt;AL$4),$F223,AL223))</f>
        <v/>
      </c>
      <c r="AM224" s="6" t="str">
        <f>IF($D224&lt;=AM$4,"",IF(AND($D223=AM$4,$D224&gt;AM$4),$F223,AM223))</f>
        <v/>
      </c>
      <c r="AN224" s="6" t="str">
        <f>IF($D224&lt;=AN$4,"",IF(AND($D223=AN$4,$D224&gt;AN$4),$F223,AN223))</f>
        <v/>
      </c>
      <c r="AO224" s="6" t="str">
        <f>CONCATENATE(AG224," | ",AH224," | ",AI224," | ",AJ224," | ",AK224," | ",AL224," | ",AM224," | ",AN224)</f>
        <v xml:space="preserve">90MB1BJ0-C1BAY0 | 59MB1BJB-MB0A02S |  |  |  |  |  | </v>
      </c>
      <c r="AP224" s="6">
        <f>IF(TRIM(H224)="",100,J224)</f>
        <v>100</v>
      </c>
      <c r="AQ224" s="4"/>
      <c r="AR224" s="6" t="b">
        <f>NOT(TRIM(W224)&lt;&gt;"F")</f>
        <v>1</v>
      </c>
      <c r="AS224" s="6" t="str">
        <f>$B224&amp;" | "&amp;$AO224&amp;" | "&amp;IF(TRIM(H224)="","uniq"&amp;ROW(),TRIM(H224))</f>
        <v>461E | 90MB1BJ0-C1BAY0 | 59MB1BJB-MB0A02S |  |  |  |  |  |  | 80</v>
      </c>
      <c r="AT224" s="63">
        <f>IF(NOT(AR224),IF(TRIM($H224)="","Assembly","Phantom Alt"),VLOOKUP(F224,ZPCS04!B:G,6,0))</f>
        <v>1259</v>
      </c>
      <c r="AU224" s="7"/>
      <c r="AV224" s="38">
        <f ca="1">IF(TRIM($W224)="F",OFFSET($A$5,MATCH($AS224,$AS$5:$AS224,0)-1,0),$A224)</f>
        <v>224</v>
      </c>
      <c r="AW224" s="38">
        <f ca="1">IFERROR(OFFSET(ZPCS04!$A$1,MATCH(F224,ZPCS04!B:B,0)-1,0),100)</f>
        <v>1.99999996</v>
      </c>
      <c r="AX224" s="7"/>
      <c r="AY224" s="6" t="b">
        <f>SUMIF(AS:AS,AS224,AP:AP)=100</f>
        <v>1</v>
      </c>
      <c r="AZ224" s="6" t="b">
        <f>SUMIF(AS:AS,AS224,AE:AE)/COUNTIF(AS:AS,AS224)=AE224</f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>C224&amp;" | "&amp;F224</f>
        <v>90MB1BJ0-C1BAY0 | 09G013120112</v>
      </c>
      <c r="BE224" s="55" t="str">
        <f ca="1">C224&amp;" | "&amp;OFFSET($AF224,0,8-COUNTBLANK($AG224:$AN224))</f>
        <v>90MB1BJ0-C1BAY0 | 59MB1BJB-MB0A02S</v>
      </c>
      <c r="BF224" s="57">
        <f ca="1">IFERROR(VLOOKUP($BE224,$BD$5:$BF223,3,0)*$AE224,VLOOKUP($C224,Demanda!$A:$B,2,0)*$AE224)*IF(AT224="Phantom Alt",$BC224,TRUE)</f>
        <v>3000</v>
      </c>
      <c r="BG224" s="57">
        <f ca="1">BF224*(AP224/100)</f>
        <v>3000</v>
      </c>
      <c r="BH224" s="57">
        <f>SUMIF(Invoice!A:A,F224,Invoice!B:B)</f>
        <v>4000</v>
      </c>
      <c r="BI224" s="57">
        <f ca="1">SUMIF(AS:AS,AS224,BG:BG)</f>
        <v>3000</v>
      </c>
      <c r="BJ224" s="57">
        <f ca="1">MIN((BI224-SUMIF($AS$5:AS223,AS224,$BJ$5:BJ223)),MAX(0,BH224-SUMIF($F$5:F223,F224,$BJ$5:BJ223)))</f>
        <v>3000</v>
      </c>
      <c r="BK224" s="57">
        <f ca="1">(-SUMIF(AS:AS,AS224,BG:BG)+SUMIF(AS:AS,AS224,BJ:BJ))*(AP224=100)*AR224</f>
        <v>0</v>
      </c>
      <c r="BL224" s="57">
        <f ca="1">MAX(0,SUMIF(Invoice!A:A,F224,Invoice!B:B)-SUMIF(F:F,F224,BJ:BJ))*(COUNTIF(F:F,F224)=COUNTIF($F$5:F224,F224))</f>
        <v>1000</v>
      </c>
    </row>
    <row r="225" spans="1:64" hidden="1">
      <c r="A225" s="43">
        <v>225</v>
      </c>
      <c r="B225" s="35" t="s">
        <v>147</v>
      </c>
      <c r="C225" s="35" t="s">
        <v>146</v>
      </c>
      <c r="D225" s="35">
        <v>2</v>
      </c>
      <c r="E225" s="35">
        <v>800</v>
      </c>
      <c r="F225" s="64" t="s">
        <v>618</v>
      </c>
      <c r="G225" s="73" t="s">
        <v>619</v>
      </c>
      <c r="H225" s="35">
        <v>80</v>
      </c>
      <c r="I225" s="35" t="s">
        <v>55</v>
      </c>
      <c r="J225" s="35">
        <v>0</v>
      </c>
      <c r="K225" s="35" t="s">
        <v>607</v>
      </c>
      <c r="L225" s="35" t="s">
        <v>53</v>
      </c>
      <c r="M225" s="35">
        <v>3</v>
      </c>
      <c r="N225" s="35"/>
      <c r="O225" s="35">
        <v>1</v>
      </c>
      <c r="P225" s="35">
        <v>2</v>
      </c>
      <c r="Q225" s="35">
        <v>2</v>
      </c>
      <c r="R225" s="35" t="s">
        <v>122</v>
      </c>
      <c r="S225" s="35" t="s">
        <v>122</v>
      </c>
      <c r="T225" s="36">
        <v>44901</v>
      </c>
      <c r="U225" s="36">
        <v>2958465</v>
      </c>
      <c r="V225" s="35" t="s">
        <v>282</v>
      </c>
      <c r="W225" s="35" t="s">
        <v>145</v>
      </c>
      <c r="X225" s="35"/>
      <c r="Y225" s="35" t="s">
        <v>143</v>
      </c>
      <c r="Z225" s="35">
        <v>7589154</v>
      </c>
      <c r="AA225" s="35">
        <v>338</v>
      </c>
      <c r="AB225" s="35">
        <v>169</v>
      </c>
      <c r="AC225" s="35"/>
      <c r="AE225" s="51">
        <f>M225/O225</f>
        <v>3</v>
      </c>
      <c r="AG225" s="6" t="str">
        <f>C225</f>
        <v>90MB1BJ0-C1BAY0</v>
      </c>
      <c r="AH225" s="6" t="str">
        <f>IF($D225&lt;=AH$4,"",IF(AND($D224=AH$4,$D225&gt;AH$4),$F224,AH224))</f>
        <v>59MB1BJB-MB0A02S</v>
      </c>
      <c r="AI225" s="6" t="str">
        <f>IF($D225&lt;=AI$4,"",IF(AND($D224=AI$4,$D225&gt;AI$4),$F224,AI224))</f>
        <v/>
      </c>
      <c r="AJ225" s="6" t="str">
        <f>IF($D225&lt;=AJ$4,"",IF(AND($D224=AJ$4,$D225&gt;AJ$4),$F224,AJ224))</f>
        <v/>
      </c>
      <c r="AK225" s="6" t="str">
        <f>IF($D225&lt;=AK$4,"",IF(AND($D224=AK$4,$D225&gt;AK$4),$F224,AK224))</f>
        <v/>
      </c>
      <c r="AL225" s="6" t="str">
        <f>IF($D225&lt;=AL$4,"",IF(AND($D224=AL$4,$D225&gt;AL$4),$F224,AL224))</f>
        <v/>
      </c>
      <c r="AM225" s="6" t="str">
        <f>IF($D225&lt;=AM$4,"",IF(AND($D224=AM$4,$D225&gt;AM$4),$F224,AM224))</f>
        <v/>
      </c>
      <c r="AN225" s="6" t="str">
        <f>IF($D225&lt;=AN$4,"",IF(AND($D224=AN$4,$D225&gt;AN$4),$F224,AN224))</f>
        <v/>
      </c>
      <c r="AO225" s="6" t="str">
        <f>CONCATENATE(AG225," | ",AH225," | ",AI225," | ",AJ225," | ",AK225," | ",AL225," | ",AM225," | ",AN225)</f>
        <v xml:space="preserve">90MB1BJ0-C1BAY0 | 59MB1BJB-MB0A02S |  |  |  |  |  | </v>
      </c>
      <c r="AP225" s="6">
        <f>IF(TRIM(H225)="",100,J225)</f>
        <v>0</v>
      </c>
      <c r="AQ225" s="4"/>
      <c r="AR225" s="6" t="b">
        <f>NOT(TRIM(W225)&lt;&gt;"F")</f>
        <v>1</v>
      </c>
      <c r="AS225" s="6" t="str">
        <f>$B225&amp;" | "&amp;$AO225&amp;" | "&amp;IF(TRIM(H225)="","uniq"&amp;ROW(),TRIM(H225))</f>
        <v>461E | 90MB1BJ0-C1BAY0 | 59MB1BJB-MB0A02S |  |  |  |  |  |  | 80</v>
      </c>
      <c r="AT225" s="63">
        <f>IF(NOT(AR225),IF(TRIM($H225)="","Assembly","Phantom Alt"),VLOOKUP(F225,ZPCS04!B:G,6,0))</f>
        <v>1259</v>
      </c>
      <c r="AU225" s="7"/>
      <c r="AV225" s="38">
        <f ca="1">IF(TRIM($W225)="F",OFFSET($A$5,MATCH($AS225,$AS$5:$AS225,0)-1,0),$A225)</f>
        <v>224</v>
      </c>
      <c r="AW225" s="38">
        <f ca="1">IFERROR(OFFSET(ZPCS04!$A$1,MATCH(F225,ZPCS04!B:B,0)-1,0),100)</f>
        <v>2</v>
      </c>
      <c r="AX225" s="7"/>
      <c r="AY225" s="6" t="b">
        <f>SUMIF(AS:AS,AS225,AP:AP)=100</f>
        <v>1</v>
      </c>
      <c r="AZ225" s="6" t="b">
        <f>SUMIF(AS:AS,AS225,AE:AE)/COUNTIF(AS:AS,AS225)=AE225</f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>C225&amp;" | "&amp;F225</f>
        <v>90MB1BJ0-C1BAY0 | 09G013120114</v>
      </c>
      <c r="BE225" s="55" t="str">
        <f ca="1">C225&amp;" | "&amp;OFFSET($AF225,0,8-COUNTBLANK($AG225:$AN225))</f>
        <v>90MB1BJ0-C1BAY0 | 59MB1BJB-MB0A02S</v>
      </c>
      <c r="BF225" s="57">
        <f ca="1">IFERROR(VLOOKUP($BE225,$BD$5:$BF224,3,0)*$AE225,VLOOKUP($C225,Demanda!$A:$B,2,0)*$AE225)*IF(AT225="Phantom Alt",$BC225,TRUE)</f>
        <v>3000</v>
      </c>
      <c r="BG225" s="57">
        <f ca="1">BF225*(AP225/100)</f>
        <v>0</v>
      </c>
      <c r="BH225" s="57">
        <f>SUMIF(Invoice!A:A,F225,Invoice!B:B)</f>
        <v>0</v>
      </c>
      <c r="BI225" s="57">
        <f ca="1">SUMIF(AS:AS,AS225,BG:BG)</f>
        <v>3000</v>
      </c>
      <c r="BJ225" s="57">
        <f ca="1">MIN((BI225-SUMIF($AS$5:AS224,AS225,$BJ$5:BJ224)),MAX(0,BH225-SUMIF($F$5:F224,F225,$BJ$5:BJ224)))</f>
        <v>0</v>
      </c>
      <c r="BK225" s="57">
        <f ca="1">(-SUMIF(AS:AS,AS225,BG:BG)+SUMIF(AS:AS,AS225,BJ:BJ))*(AP225=100)*AR225</f>
        <v>0</v>
      </c>
      <c r="BL225" s="57">
        <f ca="1">MAX(0,SUMIF(Invoice!A:A,F225,Invoice!B:B)-SUMIF(F:F,F225,BJ:BJ))*(COUNTIF(F:F,F225)=COUNTIF($F$5:F225,F225))</f>
        <v>0</v>
      </c>
    </row>
    <row r="226" spans="1:64" hidden="1">
      <c r="A226" s="43">
        <v>227</v>
      </c>
      <c r="B226" s="35" t="s">
        <v>147</v>
      </c>
      <c r="C226" s="35" t="s">
        <v>146</v>
      </c>
      <c r="D226" s="35">
        <v>2</v>
      </c>
      <c r="E226" s="35">
        <v>810</v>
      </c>
      <c r="F226" s="64" t="s">
        <v>622</v>
      </c>
      <c r="G226" s="73" t="s">
        <v>623</v>
      </c>
      <c r="H226" s="35">
        <v>81</v>
      </c>
      <c r="I226" s="35" t="s">
        <v>54</v>
      </c>
      <c r="J226" s="35">
        <v>100</v>
      </c>
      <c r="K226" s="35" t="s">
        <v>150</v>
      </c>
      <c r="L226" s="35" t="s">
        <v>53</v>
      </c>
      <c r="M226" s="35">
        <v>1</v>
      </c>
      <c r="N226" s="35">
        <v>1</v>
      </c>
      <c r="O226" s="35">
        <v>1</v>
      </c>
      <c r="P226" s="35">
        <v>2</v>
      </c>
      <c r="Q226" s="35">
        <v>1</v>
      </c>
      <c r="R226" s="35" t="s">
        <v>73</v>
      </c>
      <c r="S226" s="35" t="s">
        <v>73</v>
      </c>
      <c r="T226" s="36">
        <v>44901</v>
      </c>
      <c r="U226" s="36">
        <v>2958465</v>
      </c>
      <c r="V226" s="35" t="s">
        <v>282</v>
      </c>
      <c r="W226" s="35" t="s">
        <v>145</v>
      </c>
      <c r="X226" s="35"/>
      <c r="Y226" s="35" t="s">
        <v>143</v>
      </c>
      <c r="Z226" s="35">
        <v>7589154</v>
      </c>
      <c r="AA226" s="35">
        <v>340</v>
      </c>
      <c r="AB226" s="35">
        <v>170</v>
      </c>
      <c r="AC226" s="35"/>
      <c r="AE226" s="51">
        <f>M226/O226</f>
        <v>1</v>
      </c>
      <c r="AG226" s="6" t="str">
        <f>C226</f>
        <v>90MB1BJ0-C1BAY0</v>
      </c>
      <c r="AH226" s="6" t="str">
        <f>IF($D226&lt;=AH$4,"",IF(AND($D225=AH$4,$D226&gt;AH$4),$F225,AH225))</f>
        <v>59MB1BJB-MB0A02S</v>
      </c>
      <c r="AI226" s="6" t="str">
        <f>IF($D226&lt;=AI$4,"",IF(AND($D225=AI$4,$D226&gt;AI$4),$F225,AI225))</f>
        <v/>
      </c>
      <c r="AJ226" s="6" t="str">
        <f>IF($D226&lt;=AJ$4,"",IF(AND($D225=AJ$4,$D226&gt;AJ$4),$F225,AJ225))</f>
        <v/>
      </c>
      <c r="AK226" s="6" t="str">
        <f>IF($D226&lt;=AK$4,"",IF(AND($D225=AK$4,$D226&gt;AK$4),$F225,AK225))</f>
        <v/>
      </c>
      <c r="AL226" s="6" t="str">
        <f>IF($D226&lt;=AL$4,"",IF(AND($D225=AL$4,$D226&gt;AL$4),$F225,AL225))</f>
        <v/>
      </c>
      <c r="AM226" s="6" t="str">
        <f>IF($D226&lt;=AM$4,"",IF(AND($D225=AM$4,$D226&gt;AM$4),$F225,AM225))</f>
        <v/>
      </c>
      <c r="AN226" s="6" t="str">
        <f>IF($D226&lt;=AN$4,"",IF(AND($D225=AN$4,$D226&gt;AN$4),$F225,AN225))</f>
        <v/>
      </c>
      <c r="AO226" s="6" t="str">
        <f>CONCATENATE(AG226," | ",AH226," | ",AI226," | ",AJ226," | ",AK226," | ",AL226," | ",AM226," | ",AN226)</f>
        <v xml:space="preserve">90MB1BJ0-C1BAY0 | 59MB1BJB-MB0A02S |  |  |  |  |  | </v>
      </c>
      <c r="AP226" s="6">
        <f>IF(TRIM(H226)="",100,J226)</f>
        <v>100</v>
      </c>
      <c r="AQ226" s="4"/>
      <c r="AR226" s="6" t="b">
        <f>NOT(TRIM(W226)&lt;&gt;"F")</f>
        <v>1</v>
      </c>
      <c r="AS226" s="6" t="str">
        <f>$B226&amp;" | "&amp;$AO226&amp;" | "&amp;IF(TRIM(H226)="","uniq"&amp;ROW(),TRIM(H226))</f>
        <v>461E | 90MB1BJ0-C1BAY0 | 59MB1BJB-MB0A02S |  |  |  |  |  |  | 81</v>
      </c>
      <c r="AT226" s="63">
        <f>IF(NOT(AR226),IF(TRIM($H226)="","Assembly","Phantom Alt"),VLOOKUP(F226,ZPCS04!B:G,6,0))</f>
        <v>1260</v>
      </c>
      <c r="AU226" s="7"/>
      <c r="AV226" s="38">
        <f ca="1">IF(TRIM($W226)="F",OFFSET($A$5,MATCH($AS226,$AS$5:$AS226,0)-1,0),$A226)</f>
        <v>227</v>
      </c>
      <c r="AW226" s="38">
        <f ca="1">IFERROR(OFFSET(ZPCS04!$A$1,MATCH(F226,ZPCS04!B:B,0)-1,0),100)</f>
        <v>1.9999999900000001</v>
      </c>
      <c r="AX226" s="7"/>
      <c r="AY226" s="6" t="b">
        <f>SUMIF(AS:AS,AS226,AP:AP)=100</f>
        <v>1</v>
      </c>
      <c r="AZ226" s="6" t="b">
        <f>SUMIF(AS:AS,AS226,AE:AE)/COUNTIF(AS:AS,AS226)=AE226</f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>C226&amp;" | "&amp;F226</f>
        <v>90MB1BJ0-C1BAY0 | 09G02X102300</v>
      </c>
      <c r="BE226" s="55" t="str">
        <f ca="1">C226&amp;" | "&amp;OFFSET($AF226,0,8-COUNTBLANK($AG226:$AN226))</f>
        <v>90MB1BJ0-C1BAY0 | 59MB1BJB-MB0A02S</v>
      </c>
      <c r="BF226" s="57">
        <f ca="1">IFERROR(VLOOKUP($BE226,$BD$5:$BF225,3,0)*$AE226,VLOOKUP($C226,Demanda!$A:$B,2,0)*$AE226)*IF(AT226="Phantom Alt",$BC226,TRUE)</f>
        <v>1000</v>
      </c>
      <c r="BG226" s="57">
        <f ca="1">BF226*(AP226/100)</f>
        <v>1000</v>
      </c>
      <c r="BH226" s="57">
        <f>SUMIF(Invoice!A:A,F226,Invoice!B:B)</f>
        <v>1000</v>
      </c>
      <c r="BI226" s="57">
        <f ca="1">SUMIF(AS:AS,AS226,BG:BG)</f>
        <v>1000</v>
      </c>
      <c r="BJ226" s="57">
        <f ca="1">MIN((BI226-SUMIF($AS$5:AS225,AS226,$BJ$5:BJ225)),MAX(0,BH226-SUMIF($F$5:F225,F226,$BJ$5:BJ225)))</f>
        <v>1000</v>
      </c>
      <c r="BK226" s="57">
        <f ca="1">(-SUMIF(AS:AS,AS226,BG:BG)+SUMIF(AS:AS,AS226,BJ:BJ))*(AP226=100)*AR226</f>
        <v>0</v>
      </c>
      <c r="BL226" s="57">
        <f ca="1">MAX(0,SUMIF(Invoice!A:A,F226,Invoice!B:B)-SUMIF(F:F,F226,BJ:BJ))*(COUNTIF(F:F,F226)=COUNTIF($F$5:F226,F226))</f>
        <v>0</v>
      </c>
    </row>
    <row r="227" spans="1:64" hidden="1">
      <c r="A227" s="43">
        <v>226</v>
      </c>
      <c r="B227" s="35" t="s">
        <v>147</v>
      </c>
      <c r="C227" s="35" t="s">
        <v>146</v>
      </c>
      <c r="D227" s="35">
        <v>2</v>
      </c>
      <c r="E227" s="35">
        <v>810</v>
      </c>
      <c r="F227" s="64" t="s">
        <v>620</v>
      </c>
      <c r="G227" s="73" t="s">
        <v>621</v>
      </c>
      <c r="H227" s="35">
        <v>81</v>
      </c>
      <c r="I227" s="35" t="s">
        <v>55</v>
      </c>
      <c r="J227" s="35">
        <v>0</v>
      </c>
      <c r="K227" s="35" t="s">
        <v>150</v>
      </c>
      <c r="L227" s="35" t="s">
        <v>53</v>
      </c>
      <c r="M227" s="35">
        <v>1</v>
      </c>
      <c r="N227" s="35"/>
      <c r="O227" s="35">
        <v>1</v>
      </c>
      <c r="P227" s="35">
        <v>2</v>
      </c>
      <c r="Q227" s="35">
        <v>2</v>
      </c>
      <c r="R227" s="35" t="s">
        <v>73</v>
      </c>
      <c r="S227" s="35" t="s">
        <v>73</v>
      </c>
      <c r="T227" s="36">
        <v>44901</v>
      </c>
      <c r="U227" s="36">
        <v>2958465</v>
      </c>
      <c r="V227" s="35" t="s">
        <v>282</v>
      </c>
      <c r="W227" s="35" t="s">
        <v>145</v>
      </c>
      <c r="X227" s="35"/>
      <c r="Y227" s="35" t="s">
        <v>143</v>
      </c>
      <c r="Z227" s="35">
        <v>7589154</v>
      </c>
      <c r="AA227" s="35">
        <v>342</v>
      </c>
      <c r="AB227" s="35">
        <v>171</v>
      </c>
      <c r="AC227" s="35"/>
      <c r="AE227" s="51">
        <f>M227/O227</f>
        <v>1</v>
      </c>
      <c r="AG227" s="6" t="str">
        <f>C227</f>
        <v>90MB1BJ0-C1BAY0</v>
      </c>
      <c r="AH227" s="6" t="str">
        <f>IF($D227&lt;=AH$4,"",IF(AND($D226=AH$4,$D227&gt;AH$4),$F226,AH226))</f>
        <v>59MB1BJB-MB0A02S</v>
      </c>
      <c r="AI227" s="6" t="str">
        <f>IF($D227&lt;=AI$4,"",IF(AND($D226=AI$4,$D227&gt;AI$4),$F226,AI226))</f>
        <v/>
      </c>
      <c r="AJ227" s="6" t="str">
        <f>IF($D227&lt;=AJ$4,"",IF(AND($D226=AJ$4,$D227&gt;AJ$4),$F226,AJ226))</f>
        <v/>
      </c>
      <c r="AK227" s="6" t="str">
        <f>IF($D227&lt;=AK$4,"",IF(AND($D226=AK$4,$D227&gt;AK$4),$F226,AK226))</f>
        <v/>
      </c>
      <c r="AL227" s="6" t="str">
        <f>IF($D227&lt;=AL$4,"",IF(AND($D226=AL$4,$D227&gt;AL$4),$F226,AL226))</f>
        <v/>
      </c>
      <c r="AM227" s="6" t="str">
        <f>IF($D227&lt;=AM$4,"",IF(AND($D226=AM$4,$D227&gt;AM$4),$F226,AM226))</f>
        <v/>
      </c>
      <c r="AN227" s="6" t="str">
        <f>IF($D227&lt;=AN$4,"",IF(AND($D226=AN$4,$D227&gt;AN$4),$F226,AN226))</f>
        <v/>
      </c>
      <c r="AO227" s="6" t="str">
        <f>CONCATENATE(AG227," | ",AH227," | ",AI227," | ",AJ227," | ",AK227," | ",AL227," | ",AM227," | ",AN227)</f>
        <v xml:space="preserve">90MB1BJ0-C1BAY0 | 59MB1BJB-MB0A02S |  |  |  |  |  | </v>
      </c>
      <c r="AP227" s="6">
        <f>IF(TRIM(H227)="",100,J227)</f>
        <v>0</v>
      </c>
      <c r="AQ227" s="4"/>
      <c r="AR227" s="6" t="b">
        <f>NOT(TRIM(W227)&lt;&gt;"F")</f>
        <v>1</v>
      </c>
      <c r="AS227" s="6" t="str">
        <f>$B227&amp;" | "&amp;$AO227&amp;" | "&amp;IF(TRIM(H227)="","uniq"&amp;ROW(),TRIM(H227))</f>
        <v>461E | 90MB1BJ0-C1BAY0 | 59MB1BJB-MB0A02S |  |  |  |  |  |  | 81</v>
      </c>
      <c r="AT227" s="63">
        <f>IF(NOT(AR227),IF(TRIM($H227)="","Assembly","Phantom Alt"),VLOOKUP(F227,ZPCS04!B:G,6,0))</f>
        <v>1260</v>
      </c>
      <c r="AU227" s="7"/>
      <c r="AV227" s="38">
        <f ca="1">IF(TRIM($W227)="F",OFFSET($A$5,MATCH($AS227,$AS$5:$AS227,0)-1,0),$A227)</f>
        <v>227</v>
      </c>
      <c r="AW227" s="38">
        <f ca="1">IFERROR(OFFSET(ZPCS04!$A$1,MATCH(F227,ZPCS04!B:B,0)-1,0),100)</f>
        <v>2</v>
      </c>
      <c r="AX227" s="7"/>
      <c r="AY227" s="6" t="b">
        <f>SUMIF(AS:AS,AS227,AP:AP)=100</f>
        <v>1</v>
      </c>
      <c r="AZ227" s="6" t="b">
        <f>SUMIF(AS:AS,AS227,AE:AE)/COUNTIF(AS:AS,AS227)=AE227</f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>C227&amp;" | "&amp;F227</f>
        <v>90MB1BJ0-C1BAY0 | 09016-00540000</v>
      </c>
      <c r="BE227" s="55" t="str">
        <f ca="1">C227&amp;" | "&amp;OFFSET($AF227,0,8-COUNTBLANK($AG227:$AN227))</f>
        <v>90MB1BJ0-C1BAY0 | 59MB1BJB-MB0A02S</v>
      </c>
      <c r="BF227" s="57">
        <f ca="1">IFERROR(VLOOKUP($BE227,$BD$5:$BF226,3,0)*$AE227,VLOOKUP($C227,Demanda!$A:$B,2,0)*$AE227)*IF(AT227="Phantom Alt",$BC227,TRUE)</f>
        <v>1000</v>
      </c>
      <c r="BG227" s="57">
        <f ca="1">BF227*(AP227/100)</f>
        <v>0</v>
      </c>
      <c r="BH227" s="57">
        <f>SUMIF(Invoice!A:A,F227,Invoice!B:B)</f>
        <v>0</v>
      </c>
      <c r="BI227" s="57">
        <f ca="1">SUMIF(AS:AS,AS227,BG:BG)</f>
        <v>1000</v>
      </c>
      <c r="BJ227" s="57">
        <f ca="1">MIN((BI227-SUMIF($AS$5:AS226,AS227,$BJ$5:BJ226)),MAX(0,BH227-SUMIF($F$5:F226,F227,$BJ$5:BJ226)))</f>
        <v>0</v>
      </c>
      <c r="BK227" s="57">
        <f ca="1">(-SUMIF(AS:AS,AS227,BG:BG)+SUMIF(AS:AS,AS227,BJ:BJ))*(AP227=100)*AR227</f>
        <v>0</v>
      </c>
      <c r="BL227" s="57">
        <f ca="1">MAX(0,SUMIF(Invoice!A:A,F227,Invoice!B:B)-SUMIF(F:F,F227,BJ:BJ))*(COUNTIF(F:F,F227)=COUNTIF($F$5:F227,F227))</f>
        <v>0</v>
      </c>
    </row>
    <row r="228" spans="1:64" hidden="1">
      <c r="A228" s="43">
        <v>228</v>
      </c>
      <c r="B228" s="35" t="s">
        <v>147</v>
      </c>
      <c r="C228" s="35" t="s">
        <v>146</v>
      </c>
      <c r="D228" s="35">
        <v>2</v>
      </c>
      <c r="E228" s="35">
        <v>820</v>
      </c>
      <c r="F228" s="64" t="s">
        <v>624</v>
      </c>
      <c r="G228" s="73" t="s">
        <v>625</v>
      </c>
      <c r="H228" s="35">
        <v>82</v>
      </c>
      <c r="I228" s="35" t="s">
        <v>55</v>
      </c>
      <c r="J228" s="35">
        <v>0</v>
      </c>
      <c r="K228" s="35" t="s">
        <v>150</v>
      </c>
      <c r="L228" s="35" t="s">
        <v>53</v>
      </c>
      <c r="M228" s="35">
        <v>13</v>
      </c>
      <c r="N228" s="35"/>
      <c r="O228" s="35">
        <v>1</v>
      </c>
      <c r="P228" s="35">
        <v>2</v>
      </c>
      <c r="Q228" s="35">
        <v>2</v>
      </c>
      <c r="R228" s="35" t="s">
        <v>73</v>
      </c>
      <c r="S228" s="35" t="s">
        <v>73</v>
      </c>
      <c r="T228" s="36">
        <v>44901</v>
      </c>
      <c r="U228" s="36">
        <v>2958465</v>
      </c>
      <c r="V228" s="35" t="s">
        <v>282</v>
      </c>
      <c r="W228" s="35" t="s">
        <v>145</v>
      </c>
      <c r="X228" s="35"/>
      <c r="Y228" s="35" t="s">
        <v>143</v>
      </c>
      <c r="Z228" s="35">
        <v>7589154</v>
      </c>
      <c r="AA228" s="35">
        <v>346</v>
      </c>
      <c r="AB228" s="35">
        <v>173</v>
      </c>
      <c r="AC228" s="35"/>
      <c r="AE228" s="51">
        <f>M228/O228</f>
        <v>13</v>
      </c>
      <c r="AG228" s="6" t="str">
        <f>C228</f>
        <v>90MB1BJ0-C1BAY0</v>
      </c>
      <c r="AH228" s="6" t="str">
        <f>IF($D228&lt;=AH$4,"",IF(AND($D227=AH$4,$D228&gt;AH$4),$F227,AH227))</f>
        <v>59MB1BJB-MB0A02S</v>
      </c>
      <c r="AI228" s="6" t="str">
        <f>IF($D228&lt;=AI$4,"",IF(AND($D227=AI$4,$D228&gt;AI$4),$F227,AI227))</f>
        <v/>
      </c>
      <c r="AJ228" s="6" t="str">
        <f>IF($D228&lt;=AJ$4,"",IF(AND($D227=AJ$4,$D228&gt;AJ$4),$F227,AJ227))</f>
        <v/>
      </c>
      <c r="AK228" s="6" t="str">
        <f>IF($D228&lt;=AK$4,"",IF(AND($D227=AK$4,$D228&gt;AK$4),$F227,AK227))</f>
        <v/>
      </c>
      <c r="AL228" s="6" t="str">
        <f>IF($D228&lt;=AL$4,"",IF(AND($D227=AL$4,$D228&gt;AL$4),$F227,AL227))</f>
        <v/>
      </c>
      <c r="AM228" s="6" t="str">
        <f>IF($D228&lt;=AM$4,"",IF(AND($D227=AM$4,$D228&gt;AM$4),$F227,AM227))</f>
        <v/>
      </c>
      <c r="AN228" s="6" t="str">
        <f>IF($D228&lt;=AN$4,"",IF(AND($D227=AN$4,$D228&gt;AN$4),$F227,AN227))</f>
        <v/>
      </c>
      <c r="AO228" s="6" t="str">
        <f>CONCATENATE(AG228," | ",AH228," | ",AI228," | ",AJ228," | ",AK228," | ",AL228," | ",AM228," | ",AN228)</f>
        <v xml:space="preserve">90MB1BJ0-C1BAY0 | 59MB1BJB-MB0A02S |  |  |  |  |  | </v>
      </c>
      <c r="AP228" s="6">
        <f>IF(TRIM(H228)="",100,J228)</f>
        <v>0</v>
      </c>
      <c r="AQ228" s="4"/>
      <c r="AR228" s="6" t="b">
        <f>NOT(TRIM(W228)&lt;&gt;"F")</f>
        <v>1</v>
      </c>
      <c r="AS228" s="6" t="str">
        <f>$B228&amp;" | "&amp;$AO228&amp;" | "&amp;IF(TRIM(H228)="","uniq"&amp;ROW(),TRIM(H228))</f>
        <v>461E | 90MB1BJ0-C1BAY0 | 59MB1BJB-MB0A02S |  |  |  |  |  |  | 82</v>
      </c>
      <c r="AT228" s="63">
        <f>IF(NOT(AR228),IF(TRIM($H228)="","Assembly","Phantom Alt"),VLOOKUP(F228,ZPCS04!B:G,6,0))</f>
        <v>618</v>
      </c>
      <c r="AU228" s="7"/>
      <c r="AV228" s="38">
        <f ca="1">IF(TRIM($W228)="F",OFFSET($A$5,MATCH($AS228,$AS$5:$AS228,0)-1,0),$A228)</f>
        <v>228</v>
      </c>
      <c r="AW228" s="38">
        <f ca="1">IFERROR(OFFSET(ZPCS04!$A$1,MATCH(F228,ZPCS04!B:B,0)-1,0),100)</f>
        <v>1.99999985</v>
      </c>
      <c r="AX228" s="7"/>
      <c r="AY228" s="6" t="b">
        <f>SUMIF(AS:AS,AS228,AP:AP)=100</f>
        <v>1</v>
      </c>
      <c r="AZ228" s="6" t="b">
        <f>SUMIF(AS:AS,AS228,AE:AE)/COUNTIF(AS:AS,AS228)=AE228</f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>C228&amp;" | "&amp;F228</f>
        <v>90MB1BJ0-C1BAY0 | 10005-00051000</v>
      </c>
      <c r="BE228" s="55" t="str">
        <f ca="1">C228&amp;" | "&amp;OFFSET($AF228,0,8-COUNTBLANK($AG228:$AN228))</f>
        <v>90MB1BJ0-C1BAY0 | 59MB1BJB-MB0A02S</v>
      </c>
      <c r="BF228" s="57">
        <f ca="1">IFERROR(VLOOKUP($BE228,$BD$5:$BF227,3,0)*$AE228,VLOOKUP($C228,Demanda!$A:$B,2,0)*$AE228)*IF(AT228="Phantom Alt",$BC228,TRUE)</f>
        <v>13000</v>
      </c>
      <c r="BG228" s="57">
        <f ca="1">BF228*(AP228/100)</f>
        <v>0</v>
      </c>
      <c r="BH228" s="57">
        <f>SUMIF(Invoice!A:A,F228,Invoice!B:B)</f>
        <v>15000</v>
      </c>
      <c r="BI228" s="57">
        <f ca="1">SUMIF(AS:AS,AS228,BG:BG)</f>
        <v>13000</v>
      </c>
      <c r="BJ228" s="57">
        <f ca="1">MIN((BI228-SUMIF($AS$5:AS227,AS228,$BJ$5:BJ227)),MAX(0,BH228-SUMIF($F$5:F227,F228,$BJ$5:BJ227)))</f>
        <v>13000</v>
      </c>
      <c r="BK228" s="57">
        <f ca="1">(-SUMIF(AS:AS,AS228,BG:BG)+SUMIF(AS:AS,AS228,BJ:BJ))*(AP228=100)*AR228</f>
        <v>0</v>
      </c>
      <c r="BL228" s="57">
        <f ca="1">MAX(0,SUMIF(Invoice!A:A,F228,Invoice!B:B)-SUMIF(F:F,F228,BJ:BJ))*(COUNTIF(F:F,F228)=COUNTIF($F$5:F228,F228))</f>
        <v>2000</v>
      </c>
    </row>
    <row r="229" spans="1:64" hidden="1">
      <c r="A229" s="43">
        <v>229</v>
      </c>
      <c r="B229" s="35" t="s">
        <v>147</v>
      </c>
      <c r="C229" s="35" t="s">
        <v>146</v>
      </c>
      <c r="D229" s="35">
        <v>2</v>
      </c>
      <c r="E229" s="35">
        <v>820</v>
      </c>
      <c r="F229" s="64" t="s">
        <v>626</v>
      </c>
      <c r="G229" s="73" t="s">
        <v>627</v>
      </c>
      <c r="H229" s="35">
        <v>82</v>
      </c>
      <c r="I229" s="35" t="s">
        <v>54</v>
      </c>
      <c r="J229" s="35">
        <v>100</v>
      </c>
      <c r="K229" s="35" t="s">
        <v>150</v>
      </c>
      <c r="L229" s="35" t="s">
        <v>53</v>
      </c>
      <c r="M229" s="35">
        <v>13</v>
      </c>
      <c r="N229" s="35">
        <v>13</v>
      </c>
      <c r="O229" s="35">
        <v>1</v>
      </c>
      <c r="P229" s="35">
        <v>2</v>
      </c>
      <c r="Q229" s="35">
        <v>1</v>
      </c>
      <c r="R229" s="35" t="s">
        <v>73</v>
      </c>
      <c r="S229" s="35" t="s">
        <v>73</v>
      </c>
      <c r="T229" s="36">
        <v>44901</v>
      </c>
      <c r="U229" s="36">
        <v>2958465</v>
      </c>
      <c r="V229" s="35" t="s">
        <v>282</v>
      </c>
      <c r="W229" s="35" t="s">
        <v>145</v>
      </c>
      <c r="X229" s="35"/>
      <c r="Y229" s="35" t="s">
        <v>143</v>
      </c>
      <c r="Z229" s="35">
        <v>7589154</v>
      </c>
      <c r="AA229" s="35">
        <v>344</v>
      </c>
      <c r="AB229" s="35">
        <v>172</v>
      </c>
      <c r="AC229" s="35"/>
      <c r="AE229" s="51">
        <f>M229/O229</f>
        <v>13</v>
      </c>
      <c r="AG229" s="6" t="str">
        <f>C229</f>
        <v>90MB1BJ0-C1BAY0</v>
      </c>
      <c r="AH229" s="6" t="str">
        <f>IF($D229&lt;=AH$4,"",IF(AND($D228=AH$4,$D229&gt;AH$4),$F228,AH228))</f>
        <v>59MB1BJB-MB0A02S</v>
      </c>
      <c r="AI229" s="6" t="str">
        <f>IF($D229&lt;=AI$4,"",IF(AND($D228=AI$4,$D229&gt;AI$4),$F228,AI228))</f>
        <v/>
      </c>
      <c r="AJ229" s="6" t="str">
        <f>IF($D229&lt;=AJ$4,"",IF(AND($D228=AJ$4,$D229&gt;AJ$4),$F228,AJ228))</f>
        <v/>
      </c>
      <c r="AK229" s="6" t="str">
        <f>IF($D229&lt;=AK$4,"",IF(AND($D228=AK$4,$D229&gt;AK$4),$F228,AK228))</f>
        <v/>
      </c>
      <c r="AL229" s="6" t="str">
        <f>IF($D229&lt;=AL$4,"",IF(AND($D228=AL$4,$D229&gt;AL$4),$F228,AL228))</f>
        <v/>
      </c>
      <c r="AM229" s="6" t="str">
        <f>IF($D229&lt;=AM$4,"",IF(AND($D228=AM$4,$D229&gt;AM$4),$F228,AM228))</f>
        <v/>
      </c>
      <c r="AN229" s="6" t="str">
        <f>IF($D229&lt;=AN$4,"",IF(AND($D228=AN$4,$D229&gt;AN$4),$F228,AN228))</f>
        <v/>
      </c>
      <c r="AO229" s="6" t="str">
        <f>CONCATENATE(AG229," | ",AH229," | ",AI229," | ",AJ229," | ",AK229," | ",AL229," | ",AM229," | ",AN229)</f>
        <v xml:space="preserve">90MB1BJ0-C1BAY0 | 59MB1BJB-MB0A02S |  |  |  |  |  | </v>
      </c>
      <c r="AP229" s="6">
        <f>IF(TRIM(H229)="",100,J229)</f>
        <v>100</v>
      </c>
      <c r="AQ229" s="4"/>
      <c r="AR229" s="6" t="b">
        <f>NOT(TRIM(W229)&lt;&gt;"F")</f>
        <v>1</v>
      </c>
      <c r="AS229" s="6" t="str">
        <f>$B229&amp;" | "&amp;$AO229&amp;" | "&amp;IF(TRIM(H229)="","uniq"&amp;ROW(),TRIM(H229))</f>
        <v>461E | 90MB1BJ0-C1BAY0 | 59MB1BJB-MB0A02S |  |  |  |  |  |  | 82</v>
      </c>
      <c r="AT229" s="63">
        <f>IF(NOT(AR229),IF(TRIM($H229)="","Assembly","Phantom Alt"),VLOOKUP(F229,ZPCS04!B:G,6,0))</f>
        <v>618</v>
      </c>
      <c r="AU229" s="7"/>
      <c r="AV229" s="38">
        <f ca="1">IF(TRIM($W229)="F",OFFSET($A$5,MATCH($AS229,$AS$5:$AS229,0)-1,0),$A229)</f>
        <v>228</v>
      </c>
      <c r="AW229" s="38">
        <f ca="1">IFERROR(OFFSET(ZPCS04!$A$1,MATCH(F229,ZPCS04!B:B,0)-1,0),100)</f>
        <v>2</v>
      </c>
      <c r="AX229" s="7"/>
      <c r="AY229" s="6" t="b">
        <f>SUMIF(AS:AS,AS229,AP:AP)=100</f>
        <v>1</v>
      </c>
      <c r="AZ229" s="6" t="b">
        <f>SUMIF(AS:AS,AS229,AE:AE)/COUNTIF(AS:AS,AS229)=AE229</f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>C229&amp;" | "&amp;F229</f>
        <v>90MB1BJ0-C1BAY0 | 10005-00057000</v>
      </c>
      <c r="BE229" s="55" t="str">
        <f ca="1">C229&amp;" | "&amp;OFFSET($AF229,0,8-COUNTBLANK($AG229:$AN229))</f>
        <v>90MB1BJ0-C1BAY0 | 59MB1BJB-MB0A02S</v>
      </c>
      <c r="BF229" s="57">
        <f ca="1">IFERROR(VLOOKUP($BE229,$BD$5:$BF228,3,0)*$AE229,VLOOKUP($C229,Demanda!$A:$B,2,0)*$AE229)*IF(AT229="Phantom Alt",$BC229,TRUE)</f>
        <v>13000</v>
      </c>
      <c r="BG229" s="57">
        <f ca="1">BF229*(AP229/100)</f>
        <v>13000</v>
      </c>
      <c r="BH229" s="57">
        <f>SUMIF(Invoice!A:A,F229,Invoice!B:B)</f>
        <v>0</v>
      </c>
      <c r="BI229" s="57">
        <f ca="1">SUMIF(AS:AS,AS229,BG:BG)</f>
        <v>13000</v>
      </c>
      <c r="BJ229" s="57">
        <f ca="1">MIN((BI229-SUMIF($AS$5:AS228,AS229,$BJ$5:BJ228)),MAX(0,BH229-SUMIF($F$5:F228,F229,$BJ$5:BJ228)))</f>
        <v>0</v>
      </c>
      <c r="BK229" s="57">
        <f ca="1">(-SUMIF(AS:AS,AS229,BG:BG)+SUMIF(AS:AS,AS229,BJ:BJ))*(AP229=100)*AR229</f>
        <v>0</v>
      </c>
      <c r="BL229" s="57">
        <f ca="1">MAX(0,SUMIF(Invoice!A:A,F229,Invoice!B:B)-SUMIF(F:F,F229,BJ:BJ))*(COUNTIF(F:F,F229)=COUNTIF($F$5:F229,F229))</f>
        <v>0</v>
      </c>
    </row>
    <row r="230" spans="1:64" hidden="1">
      <c r="A230" s="43">
        <v>230</v>
      </c>
      <c r="B230" s="35" t="s">
        <v>147</v>
      </c>
      <c r="C230" s="35" t="s">
        <v>146</v>
      </c>
      <c r="D230" s="35">
        <v>2</v>
      </c>
      <c r="E230" s="35">
        <v>830</v>
      </c>
      <c r="F230" s="64" t="s">
        <v>628</v>
      </c>
      <c r="G230" s="73" t="s">
        <v>629</v>
      </c>
      <c r="H230" s="35">
        <v>83</v>
      </c>
      <c r="I230" s="35" t="s">
        <v>55</v>
      </c>
      <c r="J230" s="35">
        <v>0</v>
      </c>
      <c r="K230" s="35" t="s">
        <v>150</v>
      </c>
      <c r="L230" s="35" t="s">
        <v>53</v>
      </c>
      <c r="M230" s="35">
        <v>3</v>
      </c>
      <c r="N230" s="35"/>
      <c r="O230" s="35">
        <v>1</v>
      </c>
      <c r="P230" s="35">
        <v>2</v>
      </c>
      <c r="Q230" s="35">
        <v>2</v>
      </c>
      <c r="R230" s="35" t="s">
        <v>73</v>
      </c>
      <c r="S230" s="35" t="s">
        <v>73</v>
      </c>
      <c r="T230" s="36">
        <v>44901</v>
      </c>
      <c r="U230" s="36">
        <v>2958465</v>
      </c>
      <c r="V230" s="35" t="s">
        <v>282</v>
      </c>
      <c r="W230" s="35" t="s">
        <v>145</v>
      </c>
      <c r="X230" s="35"/>
      <c r="Y230" s="35" t="s">
        <v>143</v>
      </c>
      <c r="Z230" s="35">
        <v>7589154</v>
      </c>
      <c r="AA230" s="35">
        <v>350</v>
      </c>
      <c r="AB230" s="35">
        <v>175</v>
      </c>
      <c r="AC230" s="35"/>
      <c r="AE230" s="51">
        <f>M230/O230</f>
        <v>3</v>
      </c>
      <c r="AG230" s="6" t="str">
        <f>C230</f>
        <v>90MB1BJ0-C1BAY0</v>
      </c>
      <c r="AH230" s="6" t="str">
        <f>IF($D230&lt;=AH$4,"",IF(AND($D229=AH$4,$D230&gt;AH$4),$F229,AH229))</f>
        <v>59MB1BJB-MB0A02S</v>
      </c>
      <c r="AI230" s="6" t="str">
        <f>IF($D230&lt;=AI$4,"",IF(AND($D229=AI$4,$D230&gt;AI$4),$F229,AI229))</f>
        <v/>
      </c>
      <c r="AJ230" s="6" t="str">
        <f>IF($D230&lt;=AJ$4,"",IF(AND($D229=AJ$4,$D230&gt;AJ$4),$F229,AJ229))</f>
        <v/>
      </c>
      <c r="AK230" s="6" t="str">
        <f>IF($D230&lt;=AK$4,"",IF(AND($D229=AK$4,$D230&gt;AK$4),$F229,AK229))</f>
        <v/>
      </c>
      <c r="AL230" s="6" t="str">
        <f>IF($D230&lt;=AL$4,"",IF(AND($D229=AL$4,$D230&gt;AL$4),$F229,AL229))</f>
        <v/>
      </c>
      <c r="AM230" s="6" t="str">
        <f>IF($D230&lt;=AM$4,"",IF(AND($D229=AM$4,$D230&gt;AM$4),$F229,AM229))</f>
        <v/>
      </c>
      <c r="AN230" s="6" t="str">
        <f>IF($D230&lt;=AN$4,"",IF(AND($D229=AN$4,$D230&gt;AN$4),$F229,AN229))</f>
        <v/>
      </c>
      <c r="AO230" s="6" t="str">
        <f>CONCATENATE(AG230," | ",AH230," | ",AI230," | ",AJ230," | ",AK230," | ",AL230," | ",AM230," | ",AN230)</f>
        <v xml:space="preserve">90MB1BJ0-C1BAY0 | 59MB1BJB-MB0A02S |  |  |  |  |  | </v>
      </c>
      <c r="AP230" s="6">
        <f>IF(TRIM(H230)="",100,J230)</f>
        <v>0</v>
      </c>
      <c r="AQ230" s="4"/>
      <c r="AR230" s="6" t="b">
        <f>NOT(TRIM(W230)&lt;&gt;"F")</f>
        <v>1</v>
      </c>
      <c r="AS230" s="6" t="str">
        <f>$B230&amp;" | "&amp;$AO230&amp;" | "&amp;IF(TRIM(H230)="","uniq"&amp;ROW(),TRIM(H230))</f>
        <v>461E | 90MB1BJ0-C1BAY0 | 59MB1BJB-MB0A02S |  |  |  |  |  |  | 83</v>
      </c>
      <c r="AT230" s="63">
        <f>IF(NOT(AR230),IF(TRIM($H230)="","Assembly","Phantom Alt"),VLOOKUP(F230,ZPCS04!B:G,6,0))</f>
        <v>619</v>
      </c>
      <c r="AU230" s="7"/>
      <c r="AV230" s="38">
        <f ca="1">IF(TRIM($W230)="F",OFFSET($A$5,MATCH($AS230,$AS$5:$AS230,0)-1,0),$A230)</f>
        <v>230</v>
      </c>
      <c r="AW230" s="38">
        <f ca="1">IFERROR(OFFSET(ZPCS04!$A$1,MATCH(F230,ZPCS04!B:B,0)-1,0),100)</f>
        <v>1.9999999499999999</v>
      </c>
      <c r="AX230" s="7"/>
      <c r="AY230" s="6" t="b">
        <f>SUMIF(AS:AS,AS230,AP:AP)=100</f>
        <v>1</v>
      </c>
      <c r="AZ230" s="6" t="b">
        <f>SUMIF(AS:AS,AS230,AE:AE)/COUNTIF(AS:AS,AS230)=AE230</f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>C230&amp;" | "&amp;F230</f>
        <v>90MB1BJ0-C1BAY0 | 10005-00061000</v>
      </c>
      <c r="BE230" s="55" t="str">
        <f ca="1">C230&amp;" | "&amp;OFFSET($AF230,0,8-COUNTBLANK($AG230:$AN230))</f>
        <v>90MB1BJ0-C1BAY0 | 59MB1BJB-MB0A02S</v>
      </c>
      <c r="BF230" s="57">
        <f ca="1">IFERROR(VLOOKUP($BE230,$BD$5:$BF229,3,0)*$AE230,VLOOKUP($C230,Demanda!$A:$B,2,0)*$AE230)*IF(AT230="Phantom Alt",$BC230,TRUE)</f>
        <v>3000</v>
      </c>
      <c r="BG230" s="57">
        <f ca="1">BF230*(AP230/100)</f>
        <v>0</v>
      </c>
      <c r="BH230" s="57">
        <f>SUMIF(Invoice!A:A,F230,Invoice!B:B)</f>
        <v>5000</v>
      </c>
      <c r="BI230" s="57">
        <f ca="1">SUMIF(AS:AS,AS230,BG:BG)</f>
        <v>3000</v>
      </c>
      <c r="BJ230" s="57">
        <f ca="1">MIN((BI230-SUMIF($AS$5:AS229,AS230,$BJ$5:BJ229)),MAX(0,BH230-SUMIF($F$5:F229,F230,$BJ$5:BJ229)))</f>
        <v>3000</v>
      </c>
      <c r="BK230" s="57">
        <f ca="1">(-SUMIF(AS:AS,AS230,BG:BG)+SUMIF(AS:AS,AS230,BJ:BJ))*(AP230=100)*AR230</f>
        <v>0</v>
      </c>
      <c r="BL230" s="57">
        <f ca="1">MAX(0,SUMIF(Invoice!A:A,F230,Invoice!B:B)-SUMIF(F:F,F230,BJ:BJ))*(COUNTIF(F:F,F230)=COUNTIF($F$5:F230,F230))</f>
        <v>2000</v>
      </c>
    </row>
    <row r="231" spans="1:64" hidden="1">
      <c r="A231" s="43">
        <v>231</v>
      </c>
      <c r="B231" s="35" t="s">
        <v>147</v>
      </c>
      <c r="C231" s="35" t="s">
        <v>146</v>
      </c>
      <c r="D231" s="35">
        <v>2</v>
      </c>
      <c r="E231" s="35">
        <v>830</v>
      </c>
      <c r="F231" s="64" t="s">
        <v>630</v>
      </c>
      <c r="G231" s="73" t="s">
        <v>631</v>
      </c>
      <c r="H231" s="35">
        <v>83</v>
      </c>
      <c r="I231" s="35" t="s">
        <v>54</v>
      </c>
      <c r="J231" s="35">
        <v>100</v>
      </c>
      <c r="K231" s="35" t="s">
        <v>150</v>
      </c>
      <c r="L231" s="35" t="s">
        <v>53</v>
      </c>
      <c r="M231" s="35">
        <v>3</v>
      </c>
      <c r="N231" s="35">
        <v>3</v>
      </c>
      <c r="O231" s="35">
        <v>1</v>
      </c>
      <c r="P231" s="35">
        <v>2</v>
      </c>
      <c r="Q231" s="35">
        <v>1</v>
      </c>
      <c r="R231" s="35" t="s">
        <v>73</v>
      </c>
      <c r="S231" s="35" t="s">
        <v>73</v>
      </c>
      <c r="T231" s="36">
        <v>44901</v>
      </c>
      <c r="U231" s="36">
        <v>2958465</v>
      </c>
      <c r="V231" s="35" t="s">
        <v>282</v>
      </c>
      <c r="W231" s="35" t="s">
        <v>145</v>
      </c>
      <c r="X231" s="35"/>
      <c r="Y231" s="35" t="s">
        <v>143</v>
      </c>
      <c r="Z231" s="35">
        <v>7589154</v>
      </c>
      <c r="AA231" s="35">
        <v>348</v>
      </c>
      <c r="AB231" s="35">
        <v>174</v>
      </c>
      <c r="AC231" s="35"/>
      <c r="AE231" s="51">
        <f>M231/O231</f>
        <v>3</v>
      </c>
      <c r="AG231" s="6" t="str">
        <f>C231</f>
        <v>90MB1BJ0-C1BAY0</v>
      </c>
      <c r="AH231" s="6" t="str">
        <f>IF($D231&lt;=AH$4,"",IF(AND($D230=AH$4,$D231&gt;AH$4),$F230,AH230))</f>
        <v>59MB1BJB-MB0A02S</v>
      </c>
      <c r="AI231" s="6" t="str">
        <f>IF($D231&lt;=AI$4,"",IF(AND($D230=AI$4,$D231&gt;AI$4),$F230,AI230))</f>
        <v/>
      </c>
      <c r="AJ231" s="6" t="str">
        <f>IF($D231&lt;=AJ$4,"",IF(AND($D230=AJ$4,$D231&gt;AJ$4),$F230,AJ230))</f>
        <v/>
      </c>
      <c r="AK231" s="6" t="str">
        <f>IF($D231&lt;=AK$4,"",IF(AND($D230=AK$4,$D231&gt;AK$4),$F230,AK230))</f>
        <v/>
      </c>
      <c r="AL231" s="6" t="str">
        <f>IF($D231&lt;=AL$4,"",IF(AND($D230=AL$4,$D231&gt;AL$4),$F230,AL230))</f>
        <v/>
      </c>
      <c r="AM231" s="6" t="str">
        <f>IF($D231&lt;=AM$4,"",IF(AND($D230=AM$4,$D231&gt;AM$4),$F230,AM230))</f>
        <v/>
      </c>
      <c r="AN231" s="6" t="str">
        <f>IF($D231&lt;=AN$4,"",IF(AND($D230=AN$4,$D231&gt;AN$4),$F230,AN230))</f>
        <v/>
      </c>
      <c r="AO231" s="6" t="str">
        <f>CONCATENATE(AG231," | ",AH231," | ",AI231," | ",AJ231," | ",AK231," | ",AL231," | ",AM231," | ",AN231)</f>
        <v xml:space="preserve">90MB1BJ0-C1BAY0 | 59MB1BJB-MB0A02S |  |  |  |  |  | </v>
      </c>
      <c r="AP231" s="6">
        <f>IF(TRIM(H231)="",100,J231)</f>
        <v>100</v>
      </c>
      <c r="AQ231" s="4"/>
      <c r="AR231" s="6" t="b">
        <f>NOT(TRIM(W231)&lt;&gt;"F")</f>
        <v>1</v>
      </c>
      <c r="AS231" s="6" t="str">
        <f>$B231&amp;" | "&amp;$AO231&amp;" | "&amp;IF(TRIM(H231)="","uniq"&amp;ROW(),TRIM(H231))</f>
        <v>461E | 90MB1BJ0-C1BAY0 | 59MB1BJB-MB0A02S |  |  |  |  |  |  | 83</v>
      </c>
      <c r="AT231" s="63">
        <f>IF(NOT(AR231),IF(TRIM($H231)="","Assembly","Phantom Alt"),VLOOKUP(F231,ZPCS04!B:G,6,0))</f>
        <v>619</v>
      </c>
      <c r="AU231" s="7"/>
      <c r="AV231" s="38">
        <f ca="1">IF(TRIM($W231)="F",OFFSET($A$5,MATCH($AS231,$AS$5:$AS231,0)-1,0),$A231)</f>
        <v>230</v>
      </c>
      <c r="AW231" s="38">
        <f ca="1">IFERROR(OFFSET(ZPCS04!$A$1,MATCH(F231,ZPCS04!B:B,0)-1,0),100)</f>
        <v>2</v>
      </c>
      <c r="AX231" s="7"/>
      <c r="AY231" s="6" t="b">
        <f>SUMIF(AS:AS,AS231,AP:AP)=100</f>
        <v>1</v>
      </c>
      <c r="AZ231" s="6" t="b">
        <f>SUMIF(AS:AS,AS231,AE:AE)/COUNTIF(AS:AS,AS231)=AE231</f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>C231&amp;" | "&amp;F231</f>
        <v>90MB1BJ0-C1BAY0 | 10005-00067000</v>
      </c>
      <c r="BE231" s="55" t="str">
        <f ca="1">C231&amp;" | "&amp;OFFSET($AF231,0,8-COUNTBLANK($AG231:$AN231))</f>
        <v>90MB1BJ0-C1BAY0 | 59MB1BJB-MB0A02S</v>
      </c>
      <c r="BF231" s="57">
        <f ca="1">IFERROR(VLOOKUP($BE231,$BD$5:$BF230,3,0)*$AE231,VLOOKUP($C231,Demanda!$A:$B,2,0)*$AE231)*IF(AT231="Phantom Alt",$BC231,TRUE)</f>
        <v>3000</v>
      </c>
      <c r="BG231" s="57">
        <f ca="1">BF231*(AP231/100)</f>
        <v>3000</v>
      </c>
      <c r="BH231" s="57">
        <f>SUMIF(Invoice!A:A,F231,Invoice!B:B)</f>
        <v>0</v>
      </c>
      <c r="BI231" s="57">
        <f ca="1">SUMIF(AS:AS,AS231,BG:BG)</f>
        <v>3000</v>
      </c>
      <c r="BJ231" s="57">
        <f ca="1">MIN((BI231-SUMIF($AS$5:AS230,AS231,$BJ$5:BJ230)),MAX(0,BH231-SUMIF($F$5:F230,F231,$BJ$5:BJ230)))</f>
        <v>0</v>
      </c>
      <c r="BK231" s="57">
        <f ca="1">(-SUMIF(AS:AS,AS231,BG:BG)+SUMIF(AS:AS,AS231,BJ:BJ))*(AP231=100)*AR231</f>
        <v>0</v>
      </c>
      <c r="BL231" s="57">
        <f ca="1">MAX(0,SUMIF(Invoice!A:A,F231,Invoice!B:B)-SUMIF(F:F,F231,BJ:BJ))*(COUNTIF(F:F,F231)=COUNTIF($F$5:F231,F231))</f>
        <v>0</v>
      </c>
    </row>
    <row r="232" spans="1:64" hidden="1">
      <c r="A232" s="43">
        <v>232</v>
      </c>
      <c r="B232" s="35" t="s">
        <v>147</v>
      </c>
      <c r="C232" s="35" t="s">
        <v>146</v>
      </c>
      <c r="D232" s="35">
        <v>2</v>
      </c>
      <c r="E232" s="35">
        <v>840</v>
      </c>
      <c r="F232" s="64" t="s">
        <v>632</v>
      </c>
      <c r="G232" s="73" t="s">
        <v>633</v>
      </c>
      <c r="H232" s="35">
        <v>84</v>
      </c>
      <c r="I232" s="35" t="s">
        <v>55</v>
      </c>
      <c r="J232" s="35">
        <v>0</v>
      </c>
      <c r="K232" s="35" t="s">
        <v>150</v>
      </c>
      <c r="L232" s="35" t="s">
        <v>53</v>
      </c>
      <c r="M232" s="35">
        <v>7</v>
      </c>
      <c r="N232" s="35"/>
      <c r="O232" s="35">
        <v>1</v>
      </c>
      <c r="P232" s="35">
        <v>2</v>
      </c>
      <c r="Q232" s="35">
        <v>2</v>
      </c>
      <c r="R232" s="35" t="s">
        <v>73</v>
      </c>
      <c r="S232" s="35" t="s">
        <v>73</v>
      </c>
      <c r="T232" s="36">
        <v>44901</v>
      </c>
      <c r="U232" s="36">
        <v>2958465</v>
      </c>
      <c r="V232" s="35" t="s">
        <v>282</v>
      </c>
      <c r="W232" s="35" t="s">
        <v>145</v>
      </c>
      <c r="X232" s="35"/>
      <c r="Y232" s="35" t="s">
        <v>143</v>
      </c>
      <c r="Z232" s="35">
        <v>7589154</v>
      </c>
      <c r="AA232" s="35">
        <v>354</v>
      </c>
      <c r="AB232" s="35">
        <v>177</v>
      </c>
      <c r="AC232" s="35"/>
      <c r="AE232" s="51">
        <f>M232/O232</f>
        <v>7</v>
      </c>
      <c r="AG232" s="6" t="str">
        <f>C232</f>
        <v>90MB1BJ0-C1BAY0</v>
      </c>
      <c r="AH232" s="6" t="str">
        <f>IF($D232&lt;=AH$4,"",IF(AND($D231=AH$4,$D232&gt;AH$4),$F231,AH231))</f>
        <v>59MB1BJB-MB0A02S</v>
      </c>
      <c r="AI232" s="6" t="str">
        <f>IF($D232&lt;=AI$4,"",IF(AND($D231=AI$4,$D232&gt;AI$4),$F231,AI231))</f>
        <v/>
      </c>
      <c r="AJ232" s="6" t="str">
        <f>IF($D232&lt;=AJ$4,"",IF(AND($D231=AJ$4,$D232&gt;AJ$4),$F231,AJ231))</f>
        <v/>
      </c>
      <c r="AK232" s="6" t="str">
        <f>IF($D232&lt;=AK$4,"",IF(AND($D231=AK$4,$D232&gt;AK$4),$F231,AK231))</f>
        <v/>
      </c>
      <c r="AL232" s="6" t="str">
        <f>IF($D232&lt;=AL$4,"",IF(AND($D231=AL$4,$D232&gt;AL$4),$F231,AL231))</f>
        <v/>
      </c>
      <c r="AM232" s="6" t="str">
        <f>IF($D232&lt;=AM$4,"",IF(AND($D231=AM$4,$D232&gt;AM$4),$F231,AM231))</f>
        <v/>
      </c>
      <c r="AN232" s="6" t="str">
        <f>IF($D232&lt;=AN$4,"",IF(AND($D231=AN$4,$D232&gt;AN$4),$F231,AN231))</f>
        <v/>
      </c>
      <c r="AO232" s="6" t="str">
        <f>CONCATENATE(AG232," | ",AH232," | ",AI232," | ",AJ232," | ",AK232," | ",AL232," | ",AM232," | ",AN232)</f>
        <v xml:space="preserve">90MB1BJ0-C1BAY0 | 59MB1BJB-MB0A02S |  |  |  |  |  | </v>
      </c>
      <c r="AP232" s="6">
        <f>IF(TRIM(H232)="",100,J232)</f>
        <v>0</v>
      </c>
      <c r="AQ232" s="4"/>
      <c r="AR232" s="6" t="b">
        <f>NOT(TRIM(W232)&lt;&gt;"F")</f>
        <v>1</v>
      </c>
      <c r="AS232" s="6" t="str">
        <f>$B232&amp;" | "&amp;$AO232&amp;" | "&amp;IF(TRIM(H232)="","uniq"&amp;ROW(),TRIM(H232))</f>
        <v>461E | 90MB1BJ0-C1BAY0 | 59MB1BJB-MB0A02S |  |  |  |  |  |  | 84</v>
      </c>
      <c r="AT232" s="63">
        <f>IF(NOT(AR232),IF(TRIM($H232)="","Assembly","Phantom Alt"),VLOOKUP(F232,ZPCS04!B:G,6,0))</f>
        <v>621</v>
      </c>
      <c r="AU232" s="7"/>
      <c r="AV232" s="38">
        <f ca="1">IF(TRIM($W232)="F",OFFSET($A$5,MATCH($AS232,$AS$5:$AS232,0)-1,0),$A232)</f>
        <v>232</v>
      </c>
      <c r="AW232" s="38">
        <f ca="1">IFERROR(OFFSET(ZPCS04!$A$1,MATCH(F232,ZPCS04!B:B,0)-1,0),100)</f>
        <v>1.9999999000000002</v>
      </c>
      <c r="AX232" s="7"/>
      <c r="AY232" s="6" t="b">
        <f>SUMIF(AS:AS,AS232,AP:AP)=100</f>
        <v>1</v>
      </c>
      <c r="AZ232" s="6" t="b">
        <f>SUMIF(AS:AS,AS232,AE:AE)/COUNTIF(AS:AS,AS232)=AE232</f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>C232&amp;" | "&amp;F232</f>
        <v>90MB1BJ0-C1BAY0 | 10005-00281000</v>
      </c>
      <c r="BE232" s="55" t="str">
        <f ca="1">C232&amp;" | "&amp;OFFSET($AF232,0,8-COUNTBLANK($AG232:$AN232))</f>
        <v>90MB1BJ0-C1BAY0 | 59MB1BJB-MB0A02S</v>
      </c>
      <c r="BF232" s="57">
        <f ca="1">IFERROR(VLOOKUP($BE232,$BD$5:$BF231,3,0)*$AE232,VLOOKUP($C232,Demanda!$A:$B,2,0)*$AE232)*IF(AT232="Phantom Alt",$BC232,TRUE)</f>
        <v>7000</v>
      </c>
      <c r="BG232" s="57">
        <f ca="1">BF232*(AP232/100)</f>
        <v>0</v>
      </c>
      <c r="BH232" s="57">
        <f>SUMIF(Invoice!A:A,F232,Invoice!B:B)</f>
        <v>10000</v>
      </c>
      <c r="BI232" s="57">
        <f ca="1">SUMIF(AS:AS,AS232,BG:BG)</f>
        <v>7000</v>
      </c>
      <c r="BJ232" s="57">
        <f ca="1">MIN((BI232-SUMIF($AS$5:AS231,AS232,$BJ$5:BJ231)),MAX(0,BH232-SUMIF($F$5:F231,F232,$BJ$5:BJ231)))</f>
        <v>7000</v>
      </c>
      <c r="BK232" s="57">
        <f ca="1">(-SUMIF(AS:AS,AS232,BG:BG)+SUMIF(AS:AS,AS232,BJ:BJ))*(AP232=100)*AR232</f>
        <v>0</v>
      </c>
      <c r="BL232" s="57">
        <f ca="1">MAX(0,SUMIF(Invoice!A:A,F232,Invoice!B:B)-SUMIF(F:F,F232,BJ:BJ))*(COUNTIF(F:F,F232)=COUNTIF($F$5:F232,F232))</f>
        <v>3000</v>
      </c>
    </row>
    <row r="233" spans="1:64" hidden="1">
      <c r="A233" s="43">
        <v>233</v>
      </c>
      <c r="B233" s="35" t="s">
        <v>147</v>
      </c>
      <c r="C233" s="35" t="s">
        <v>146</v>
      </c>
      <c r="D233" s="35">
        <v>2</v>
      </c>
      <c r="E233" s="35">
        <v>840</v>
      </c>
      <c r="F233" s="64" t="s">
        <v>634</v>
      </c>
      <c r="G233" s="73" t="s">
        <v>635</v>
      </c>
      <c r="H233" s="35">
        <v>84</v>
      </c>
      <c r="I233" s="35" t="s">
        <v>54</v>
      </c>
      <c r="J233" s="35">
        <v>100</v>
      </c>
      <c r="K233" s="35" t="s">
        <v>150</v>
      </c>
      <c r="L233" s="35" t="s">
        <v>53</v>
      </c>
      <c r="M233" s="35">
        <v>7</v>
      </c>
      <c r="N233" s="35">
        <v>7</v>
      </c>
      <c r="O233" s="35">
        <v>1</v>
      </c>
      <c r="P233" s="35">
        <v>2</v>
      </c>
      <c r="Q233" s="35">
        <v>1</v>
      </c>
      <c r="R233" s="35" t="s">
        <v>73</v>
      </c>
      <c r="S233" s="35" t="s">
        <v>73</v>
      </c>
      <c r="T233" s="36">
        <v>44901</v>
      </c>
      <c r="U233" s="36">
        <v>2958465</v>
      </c>
      <c r="V233" s="35" t="s">
        <v>282</v>
      </c>
      <c r="W233" s="35" t="s">
        <v>145</v>
      </c>
      <c r="X233" s="35"/>
      <c r="Y233" s="35" t="s">
        <v>143</v>
      </c>
      <c r="Z233" s="35">
        <v>7589154</v>
      </c>
      <c r="AA233" s="35">
        <v>352</v>
      </c>
      <c r="AB233" s="35">
        <v>176</v>
      </c>
      <c r="AC233" s="35"/>
      <c r="AE233" s="51">
        <f>M233/O233</f>
        <v>7</v>
      </c>
      <c r="AG233" s="6" t="str">
        <f>C233</f>
        <v>90MB1BJ0-C1BAY0</v>
      </c>
      <c r="AH233" s="6" t="str">
        <f>IF($D233&lt;=AH$4,"",IF(AND($D232=AH$4,$D233&gt;AH$4),$F232,AH232))</f>
        <v>59MB1BJB-MB0A02S</v>
      </c>
      <c r="AI233" s="6" t="str">
        <f>IF($D233&lt;=AI$4,"",IF(AND($D232=AI$4,$D233&gt;AI$4),$F232,AI232))</f>
        <v/>
      </c>
      <c r="AJ233" s="6" t="str">
        <f>IF($D233&lt;=AJ$4,"",IF(AND($D232=AJ$4,$D233&gt;AJ$4),$F232,AJ232))</f>
        <v/>
      </c>
      <c r="AK233" s="6" t="str">
        <f>IF($D233&lt;=AK$4,"",IF(AND($D232=AK$4,$D233&gt;AK$4),$F232,AK232))</f>
        <v/>
      </c>
      <c r="AL233" s="6" t="str">
        <f>IF($D233&lt;=AL$4,"",IF(AND($D232=AL$4,$D233&gt;AL$4),$F232,AL232))</f>
        <v/>
      </c>
      <c r="AM233" s="6" t="str">
        <f>IF($D233&lt;=AM$4,"",IF(AND($D232=AM$4,$D233&gt;AM$4),$F232,AM232))</f>
        <v/>
      </c>
      <c r="AN233" s="6" t="str">
        <f>IF($D233&lt;=AN$4,"",IF(AND($D232=AN$4,$D233&gt;AN$4),$F232,AN232))</f>
        <v/>
      </c>
      <c r="AO233" s="6" t="str">
        <f>CONCATENATE(AG233," | ",AH233," | ",AI233," | ",AJ233," | ",AK233," | ",AL233," | ",AM233," | ",AN233)</f>
        <v xml:space="preserve">90MB1BJ0-C1BAY0 | 59MB1BJB-MB0A02S |  |  |  |  |  | </v>
      </c>
      <c r="AP233" s="6">
        <f>IF(TRIM(H233)="",100,J233)</f>
        <v>100</v>
      </c>
      <c r="AQ233" s="4"/>
      <c r="AR233" s="6" t="b">
        <f>NOT(TRIM(W233)&lt;&gt;"F")</f>
        <v>1</v>
      </c>
      <c r="AS233" s="6" t="str">
        <f>$B233&amp;" | "&amp;$AO233&amp;" | "&amp;IF(TRIM(H233)="","uniq"&amp;ROW(),TRIM(H233))</f>
        <v>461E | 90MB1BJ0-C1BAY0 | 59MB1BJB-MB0A02S |  |  |  |  |  |  | 84</v>
      </c>
      <c r="AT233" s="63">
        <f>IF(NOT(AR233),IF(TRIM($H233)="","Assembly","Phantom Alt"),VLOOKUP(F233,ZPCS04!B:G,6,0))</f>
        <v>621</v>
      </c>
      <c r="AU233" s="7"/>
      <c r="AV233" s="38">
        <f ca="1">IF(TRIM($W233)="F",OFFSET($A$5,MATCH($AS233,$AS$5:$AS233,0)-1,0),$A233)</f>
        <v>232</v>
      </c>
      <c r="AW233" s="38">
        <f ca="1">IFERROR(OFFSET(ZPCS04!$A$1,MATCH(F233,ZPCS04!B:B,0)-1,0),100)</f>
        <v>2</v>
      </c>
      <c r="AX233" s="7"/>
      <c r="AY233" s="6" t="b">
        <f>SUMIF(AS:AS,AS233,AP:AP)=100</f>
        <v>1</v>
      </c>
      <c r="AZ233" s="6" t="b">
        <f>SUMIF(AS:AS,AS233,AE:AE)/COUNTIF(AS:AS,AS233)=AE233</f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>C233&amp;" | "&amp;F233</f>
        <v>90MB1BJ0-C1BAY0 | 10005-00287000</v>
      </c>
      <c r="BE233" s="55" t="str">
        <f ca="1">C233&amp;" | "&amp;OFFSET($AF233,0,8-COUNTBLANK($AG233:$AN233))</f>
        <v>90MB1BJ0-C1BAY0 | 59MB1BJB-MB0A02S</v>
      </c>
      <c r="BF233" s="57">
        <f ca="1">IFERROR(VLOOKUP($BE233,$BD$5:$BF232,3,0)*$AE233,VLOOKUP($C233,Demanda!$A:$B,2,0)*$AE233)*IF(AT233="Phantom Alt",$BC233,TRUE)</f>
        <v>7000</v>
      </c>
      <c r="BG233" s="57">
        <f ca="1">BF233*(AP233/100)</f>
        <v>7000</v>
      </c>
      <c r="BH233" s="57">
        <f>SUMIF(Invoice!A:A,F233,Invoice!B:B)</f>
        <v>0</v>
      </c>
      <c r="BI233" s="57">
        <f ca="1">SUMIF(AS:AS,AS233,BG:BG)</f>
        <v>7000</v>
      </c>
      <c r="BJ233" s="57">
        <f ca="1">MIN((BI233-SUMIF($AS$5:AS232,AS233,$BJ$5:BJ232)),MAX(0,BH233-SUMIF($F$5:F232,F233,$BJ$5:BJ232)))</f>
        <v>0</v>
      </c>
      <c r="BK233" s="57">
        <f ca="1">(-SUMIF(AS:AS,AS233,BG:BG)+SUMIF(AS:AS,AS233,BJ:BJ))*(AP233=100)*AR233</f>
        <v>0</v>
      </c>
      <c r="BL233" s="57">
        <f ca="1">MAX(0,SUMIF(Invoice!A:A,F233,Invoice!B:B)-SUMIF(F:F,F233,BJ:BJ))*(COUNTIF(F:F,F233)=COUNTIF($F$5:F233,F233))</f>
        <v>0</v>
      </c>
    </row>
    <row r="234" spans="1:64" hidden="1">
      <c r="A234" s="43">
        <v>234</v>
      </c>
      <c r="B234" s="35" t="s">
        <v>147</v>
      </c>
      <c r="C234" s="35" t="s">
        <v>146</v>
      </c>
      <c r="D234" s="35">
        <v>2</v>
      </c>
      <c r="E234" s="35">
        <v>850</v>
      </c>
      <c r="F234" s="64" t="s">
        <v>636</v>
      </c>
      <c r="G234" s="73" t="s">
        <v>637</v>
      </c>
      <c r="H234" s="35">
        <v>85</v>
      </c>
      <c r="I234" s="35" t="s">
        <v>55</v>
      </c>
      <c r="J234" s="35">
        <v>0</v>
      </c>
      <c r="K234" s="35" t="s">
        <v>150</v>
      </c>
      <c r="L234" s="35" t="s">
        <v>53</v>
      </c>
      <c r="M234" s="35">
        <v>10</v>
      </c>
      <c r="N234" s="35"/>
      <c r="O234" s="35">
        <v>1</v>
      </c>
      <c r="P234" s="35">
        <v>2</v>
      </c>
      <c r="Q234" s="35">
        <v>2</v>
      </c>
      <c r="R234" s="35" t="s">
        <v>73</v>
      </c>
      <c r="S234" s="35" t="s">
        <v>73</v>
      </c>
      <c r="T234" s="36">
        <v>44901</v>
      </c>
      <c r="U234" s="36">
        <v>2958465</v>
      </c>
      <c r="V234" s="35" t="s">
        <v>282</v>
      </c>
      <c r="W234" s="35" t="s">
        <v>145</v>
      </c>
      <c r="X234" s="35"/>
      <c r="Y234" s="35" t="s">
        <v>143</v>
      </c>
      <c r="Z234" s="35">
        <v>7589154</v>
      </c>
      <c r="AA234" s="35">
        <v>358</v>
      </c>
      <c r="AB234" s="35">
        <v>179</v>
      </c>
      <c r="AC234" s="35"/>
      <c r="AE234" s="51">
        <f>M234/O234</f>
        <v>10</v>
      </c>
      <c r="AG234" s="6" t="str">
        <f>C234</f>
        <v>90MB1BJ0-C1BAY0</v>
      </c>
      <c r="AH234" s="6" t="str">
        <f>IF($D234&lt;=AH$4,"",IF(AND($D233=AH$4,$D234&gt;AH$4),$F233,AH233))</f>
        <v>59MB1BJB-MB0A02S</v>
      </c>
      <c r="AI234" s="6" t="str">
        <f>IF($D234&lt;=AI$4,"",IF(AND($D233=AI$4,$D234&gt;AI$4),$F233,AI233))</f>
        <v/>
      </c>
      <c r="AJ234" s="6" t="str">
        <f>IF($D234&lt;=AJ$4,"",IF(AND($D233=AJ$4,$D234&gt;AJ$4),$F233,AJ233))</f>
        <v/>
      </c>
      <c r="AK234" s="6" t="str">
        <f>IF($D234&lt;=AK$4,"",IF(AND($D233=AK$4,$D234&gt;AK$4),$F233,AK233))</f>
        <v/>
      </c>
      <c r="AL234" s="6" t="str">
        <f>IF($D234&lt;=AL$4,"",IF(AND($D233=AL$4,$D234&gt;AL$4),$F233,AL233))</f>
        <v/>
      </c>
      <c r="AM234" s="6" t="str">
        <f>IF($D234&lt;=AM$4,"",IF(AND($D233=AM$4,$D234&gt;AM$4),$F233,AM233))</f>
        <v/>
      </c>
      <c r="AN234" s="6" t="str">
        <f>IF($D234&lt;=AN$4,"",IF(AND($D233=AN$4,$D234&gt;AN$4),$F233,AN233))</f>
        <v/>
      </c>
      <c r="AO234" s="6" t="str">
        <f>CONCATENATE(AG234," | ",AH234," | ",AI234," | ",AJ234," | ",AK234," | ",AL234," | ",AM234," | ",AN234)</f>
        <v xml:space="preserve">90MB1BJ0-C1BAY0 | 59MB1BJB-MB0A02S |  |  |  |  |  | </v>
      </c>
      <c r="AP234" s="6">
        <f>IF(TRIM(H234)="",100,J234)</f>
        <v>0</v>
      </c>
      <c r="AQ234" s="4"/>
      <c r="AR234" s="6" t="b">
        <f>NOT(TRIM(W234)&lt;&gt;"F")</f>
        <v>1</v>
      </c>
      <c r="AS234" s="6" t="str">
        <f>$B234&amp;" | "&amp;$AO234&amp;" | "&amp;IF(TRIM(H234)="","uniq"&amp;ROW(),TRIM(H234))</f>
        <v>461E | 90MB1BJ0-C1BAY0 | 59MB1BJB-MB0A02S |  |  |  |  |  |  | 85</v>
      </c>
      <c r="AT234" s="63">
        <f>IF(NOT(AR234),IF(TRIM($H234)="","Assembly","Phantom Alt"),VLOOKUP(F234,ZPCS04!B:G,6,0))</f>
        <v>622</v>
      </c>
      <c r="AU234" s="7"/>
      <c r="AV234" s="38">
        <f ca="1">IF(TRIM($W234)="F",OFFSET($A$5,MATCH($AS234,$AS$5:$AS234,0)-1,0),$A234)</f>
        <v>234</v>
      </c>
      <c r="AW234" s="38">
        <f ca="1">IFERROR(OFFSET(ZPCS04!$A$1,MATCH(F234,ZPCS04!B:B,0)-1,0),100)</f>
        <v>1.9999999000000002</v>
      </c>
      <c r="AX234" s="7"/>
      <c r="AY234" s="6" t="b">
        <f>SUMIF(AS:AS,AS234,AP:AP)=100</f>
        <v>1</v>
      </c>
      <c r="AZ234" s="6" t="b">
        <f>SUMIF(AS:AS,AS234,AE:AE)/COUNTIF(AS:AS,AS234)=AE234</f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>C234&amp;" | "&amp;F234</f>
        <v>90MB1BJ0-C1BAY0 | 10005-00321000</v>
      </c>
      <c r="BE234" s="55" t="str">
        <f ca="1">C234&amp;" | "&amp;OFFSET($AF234,0,8-COUNTBLANK($AG234:$AN234))</f>
        <v>90MB1BJ0-C1BAY0 | 59MB1BJB-MB0A02S</v>
      </c>
      <c r="BF234" s="57">
        <f ca="1">IFERROR(VLOOKUP($BE234,$BD$5:$BF233,3,0)*$AE234,VLOOKUP($C234,Demanda!$A:$B,2,0)*$AE234)*IF(AT234="Phantom Alt",$BC234,TRUE)</f>
        <v>10000</v>
      </c>
      <c r="BG234" s="57">
        <f ca="1">BF234*(AP234/100)</f>
        <v>0</v>
      </c>
      <c r="BH234" s="57">
        <f>SUMIF(Invoice!A:A,F234,Invoice!B:B)</f>
        <v>10000</v>
      </c>
      <c r="BI234" s="57">
        <f ca="1">SUMIF(AS:AS,AS234,BG:BG)</f>
        <v>10000</v>
      </c>
      <c r="BJ234" s="57">
        <f ca="1">MIN((BI234-SUMIF($AS$5:AS233,AS234,$BJ$5:BJ233)),MAX(0,BH234-SUMIF($F$5:F233,F234,$BJ$5:BJ233)))</f>
        <v>10000</v>
      </c>
      <c r="BK234" s="57">
        <f ca="1">(-SUMIF(AS:AS,AS234,BG:BG)+SUMIF(AS:AS,AS234,BJ:BJ))*(AP234=100)*AR234</f>
        <v>0</v>
      </c>
      <c r="BL234" s="57">
        <f ca="1">MAX(0,SUMIF(Invoice!A:A,F234,Invoice!B:B)-SUMIF(F:F,F234,BJ:BJ))*(COUNTIF(F:F,F234)=COUNTIF($F$5:F234,F234))</f>
        <v>0</v>
      </c>
    </row>
    <row r="235" spans="1:64" hidden="1">
      <c r="A235" s="43">
        <v>235</v>
      </c>
      <c r="B235" s="35" t="s">
        <v>147</v>
      </c>
      <c r="C235" s="35" t="s">
        <v>146</v>
      </c>
      <c r="D235" s="35">
        <v>2</v>
      </c>
      <c r="E235" s="35">
        <v>850</v>
      </c>
      <c r="F235" s="64" t="s">
        <v>638</v>
      </c>
      <c r="G235" s="73" t="s">
        <v>639</v>
      </c>
      <c r="H235" s="35">
        <v>85</v>
      </c>
      <c r="I235" s="35" t="s">
        <v>54</v>
      </c>
      <c r="J235" s="35">
        <v>100</v>
      </c>
      <c r="K235" s="35" t="s">
        <v>150</v>
      </c>
      <c r="L235" s="35" t="s">
        <v>53</v>
      </c>
      <c r="M235" s="35">
        <v>10</v>
      </c>
      <c r="N235" s="35">
        <v>10</v>
      </c>
      <c r="O235" s="35">
        <v>1</v>
      </c>
      <c r="P235" s="35">
        <v>2</v>
      </c>
      <c r="Q235" s="35">
        <v>1</v>
      </c>
      <c r="R235" s="35" t="s">
        <v>73</v>
      </c>
      <c r="S235" s="35" t="s">
        <v>73</v>
      </c>
      <c r="T235" s="36">
        <v>44901</v>
      </c>
      <c r="U235" s="36">
        <v>2958465</v>
      </c>
      <c r="V235" s="35" t="s">
        <v>282</v>
      </c>
      <c r="W235" s="35" t="s">
        <v>145</v>
      </c>
      <c r="X235" s="35"/>
      <c r="Y235" s="35" t="s">
        <v>143</v>
      </c>
      <c r="Z235" s="35">
        <v>7589154</v>
      </c>
      <c r="AA235" s="35">
        <v>356</v>
      </c>
      <c r="AB235" s="35">
        <v>178</v>
      </c>
      <c r="AC235" s="35"/>
      <c r="AE235" s="51">
        <f>M235/O235</f>
        <v>10</v>
      </c>
      <c r="AG235" s="6" t="str">
        <f>C235</f>
        <v>90MB1BJ0-C1BAY0</v>
      </c>
      <c r="AH235" s="6" t="str">
        <f>IF($D235&lt;=AH$4,"",IF(AND($D234=AH$4,$D235&gt;AH$4),$F234,AH234))</f>
        <v>59MB1BJB-MB0A02S</v>
      </c>
      <c r="AI235" s="6" t="str">
        <f>IF($D235&lt;=AI$4,"",IF(AND($D234=AI$4,$D235&gt;AI$4),$F234,AI234))</f>
        <v/>
      </c>
      <c r="AJ235" s="6" t="str">
        <f>IF($D235&lt;=AJ$4,"",IF(AND($D234=AJ$4,$D235&gt;AJ$4),$F234,AJ234))</f>
        <v/>
      </c>
      <c r="AK235" s="6" t="str">
        <f>IF($D235&lt;=AK$4,"",IF(AND($D234=AK$4,$D235&gt;AK$4),$F234,AK234))</f>
        <v/>
      </c>
      <c r="AL235" s="6" t="str">
        <f>IF($D235&lt;=AL$4,"",IF(AND($D234=AL$4,$D235&gt;AL$4),$F234,AL234))</f>
        <v/>
      </c>
      <c r="AM235" s="6" t="str">
        <f>IF($D235&lt;=AM$4,"",IF(AND($D234=AM$4,$D235&gt;AM$4),$F234,AM234))</f>
        <v/>
      </c>
      <c r="AN235" s="6" t="str">
        <f>IF($D235&lt;=AN$4,"",IF(AND($D234=AN$4,$D235&gt;AN$4),$F234,AN234))</f>
        <v/>
      </c>
      <c r="AO235" s="6" t="str">
        <f>CONCATENATE(AG235," | ",AH235," | ",AI235," | ",AJ235," | ",AK235," | ",AL235," | ",AM235," | ",AN235)</f>
        <v xml:space="preserve">90MB1BJ0-C1BAY0 | 59MB1BJB-MB0A02S |  |  |  |  |  | </v>
      </c>
      <c r="AP235" s="6">
        <f>IF(TRIM(H235)="",100,J235)</f>
        <v>100</v>
      </c>
      <c r="AQ235" s="4"/>
      <c r="AR235" s="6" t="b">
        <f>NOT(TRIM(W235)&lt;&gt;"F")</f>
        <v>1</v>
      </c>
      <c r="AS235" s="6" t="str">
        <f>$B235&amp;" | "&amp;$AO235&amp;" | "&amp;IF(TRIM(H235)="","uniq"&amp;ROW(),TRIM(H235))</f>
        <v>461E | 90MB1BJ0-C1BAY0 | 59MB1BJB-MB0A02S |  |  |  |  |  |  | 85</v>
      </c>
      <c r="AT235" s="63">
        <f>IF(NOT(AR235),IF(TRIM($H235)="","Assembly","Phantom Alt"),VLOOKUP(F235,ZPCS04!B:G,6,0))</f>
        <v>622</v>
      </c>
      <c r="AU235" s="7"/>
      <c r="AV235" s="38">
        <f ca="1">IF(TRIM($W235)="F",OFFSET($A$5,MATCH($AS235,$AS$5:$AS235,0)-1,0),$A235)</f>
        <v>234</v>
      </c>
      <c r="AW235" s="38">
        <f ca="1">IFERROR(OFFSET(ZPCS04!$A$1,MATCH(F235,ZPCS04!B:B,0)-1,0),100)</f>
        <v>2</v>
      </c>
      <c r="AX235" s="7"/>
      <c r="AY235" s="6" t="b">
        <f>SUMIF(AS:AS,AS235,AP:AP)=100</f>
        <v>1</v>
      </c>
      <c r="AZ235" s="6" t="b">
        <f>SUMIF(AS:AS,AS235,AE:AE)/COUNTIF(AS:AS,AS235)=AE235</f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>C235&amp;" | "&amp;F235</f>
        <v>90MB1BJ0-C1BAY0 | 10005-00327000</v>
      </c>
      <c r="BE235" s="55" t="str">
        <f ca="1">C235&amp;" | "&amp;OFFSET($AF235,0,8-COUNTBLANK($AG235:$AN235))</f>
        <v>90MB1BJ0-C1BAY0 | 59MB1BJB-MB0A02S</v>
      </c>
      <c r="BF235" s="57">
        <f ca="1">IFERROR(VLOOKUP($BE235,$BD$5:$BF234,3,0)*$AE235,VLOOKUP($C235,Demanda!$A:$B,2,0)*$AE235)*IF(AT235="Phantom Alt",$BC235,TRUE)</f>
        <v>10000</v>
      </c>
      <c r="BG235" s="57">
        <f ca="1">BF235*(AP235/100)</f>
        <v>10000</v>
      </c>
      <c r="BH235" s="57">
        <f>SUMIF(Invoice!A:A,F235,Invoice!B:B)</f>
        <v>0</v>
      </c>
      <c r="BI235" s="57">
        <f ca="1">SUMIF(AS:AS,AS235,BG:BG)</f>
        <v>10000</v>
      </c>
      <c r="BJ235" s="57">
        <f ca="1">MIN((BI235-SUMIF($AS$5:AS234,AS235,$BJ$5:BJ234)),MAX(0,BH235-SUMIF($F$5:F234,F235,$BJ$5:BJ234)))</f>
        <v>0</v>
      </c>
      <c r="BK235" s="57">
        <f ca="1">(-SUMIF(AS:AS,AS235,BG:BG)+SUMIF(AS:AS,AS235,BJ:BJ))*(AP235=100)*AR235</f>
        <v>0</v>
      </c>
      <c r="BL235" s="57">
        <f ca="1">MAX(0,SUMIF(Invoice!A:A,F235,Invoice!B:B)-SUMIF(F:F,F235,BJ:BJ))*(COUNTIF(F:F,F235)=COUNTIF($F$5:F235,F235))</f>
        <v>0</v>
      </c>
    </row>
    <row r="236" spans="1:64" hidden="1">
      <c r="A236" s="43">
        <v>236</v>
      </c>
      <c r="B236" s="35" t="s">
        <v>147</v>
      </c>
      <c r="C236" s="35" t="s">
        <v>146</v>
      </c>
      <c r="D236" s="35">
        <v>2</v>
      </c>
      <c r="E236" s="35">
        <v>860</v>
      </c>
      <c r="F236" s="64" t="s">
        <v>640</v>
      </c>
      <c r="G236" s="73" t="s">
        <v>641</v>
      </c>
      <c r="H236" s="35">
        <v>86</v>
      </c>
      <c r="I236" s="35" t="s">
        <v>55</v>
      </c>
      <c r="J236" s="35">
        <v>0</v>
      </c>
      <c r="K236" s="35" t="s">
        <v>150</v>
      </c>
      <c r="L236" s="35" t="s">
        <v>53</v>
      </c>
      <c r="M236" s="35">
        <v>2</v>
      </c>
      <c r="N236" s="35"/>
      <c r="O236" s="35">
        <v>1</v>
      </c>
      <c r="P236" s="35">
        <v>2</v>
      </c>
      <c r="Q236" s="35">
        <v>2</v>
      </c>
      <c r="R236" s="35" t="s">
        <v>73</v>
      </c>
      <c r="S236" s="35" t="s">
        <v>73</v>
      </c>
      <c r="T236" s="36">
        <v>44901</v>
      </c>
      <c r="U236" s="36">
        <v>2958465</v>
      </c>
      <c r="V236" s="35" t="s">
        <v>282</v>
      </c>
      <c r="W236" s="35" t="s">
        <v>145</v>
      </c>
      <c r="X236" s="35"/>
      <c r="Y236" s="35" t="s">
        <v>143</v>
      </c>
      <c r="Z236" s="35">
        <v>7589154</v>
      </c>
      <c r="AA236" s="35">
        <v>362</v>
      </c>
      <c r="AB236" s="35">
        <v>181</v>
      </c>
      <c r="AC236" s="35"/>
      <c r="AE236" s="51">
        <f>M236/O236</f>
        <v>2</v>
      </c>
      <c r="AG236" s="6" t="str">
        <f>C236</f>
        <v>90MB1BJ0-C1BAY0</v>
      </c>
      <c r="AH236" s="6" t="str">
        <f>IF($D236&lt;=AH$4,"",IF(AND($D235=AH$4,$D236&gt;AH$4),$F235,AH235))</f>
        <v>59MB1BJB-MB0A02S</v>
      </c>
      <c r="AI236" s="6" t="str">
        <f>IF($D236&lt;=AI$4,"",IF(AND($D235=AI$4,$D236&gt;AI$4),$F235,AI235))</f>
        <v/>
      </c>
      <c r="AJ236" s="6" t="str">
        <f>IF($D236&lt;=AJ$4,"",IF(AND($D235=AJ$4,$D236&gt;AJ$4),$F235,AJ235))</f>
        <v/>
      </c>
      <c r="AK236" s="6" t="str">
        <f>IF($D236&lt;=AK$4,"",IF(AND($D235=AK$4,$D236&gt;AK$4),$F235,AK235))</f>
        <v/>
      </c>
      <c r="AL236" s="6" t="str">
        <f>IF($D236&lt;=AL$4,"",IF(AND($D235=AL$4,$D236&gt;AL$4),$F235,AL235))</f>
        <v/>
      </c>
      <c r="AM236" s="6" t="str">
        <f>IF($D236&lt;=AM$4,"",IF(AND($D235=AM$4,$D236&gt;AM$4),$F235,AM235))</f>
        <v/>
      </c>
      <c r="AN236" s="6" t="str">
        <f>IF($D236&lt;=AN$4,"",IF(AND($D235=AN$4,$D236&gt;AN$4),$F235,AN235))</f>
        <v/>
      </c>
      <c r="AO236" s="6" t="str">
        <f>CONCATENATE(AG236," | ",AH236," | ",AI236," | ",AJ236," | ",AK236," | ",AL236," | ",AM236," | ",AN236)</f>
        <v xml:space="preserve">90MB1BJ0-C1BAY0 | 59MB1BJB-MB0A02S |  |  |  |  |  | </v>
      </c>
      <c r="AP236" s="6">
        <f>IF(TRIM(H236)="",100,J236)</f>
        <v>0</v>
      </c>
      <c r="AQ236" s="4"/>
      <c r="AR236" s="6" t="b">
        <f>NOT(TRIM(W236)&lt;&gt;"F")</f>
        <v>1</v>
      </c>
      <c r="AS236" s="6" t="str">
        <f>$B236&amp;" | "&amp;$AO236&amp;" | "&amp;IF(TRIM(H236)="","uniq"&amp;ROW(),TRIM(H236))</f>
        <v>461E | 90MB1BJ0-C1BAY0 | 59MB1BJB-MB0A02S |  |  |  |  |  |  | 86</v>
      </c>
      <c r="AT236" s="63">
        <f>IF(NOT(AR236),IF(TRIM($H236)="","Assembly","Phantom Alt"),VLOOKUP(F236,ZPCS04!B:G,6,0))</f>
        <v>623</v>
      </c>
      <c r="AU236" s="7"/>
      <c r="AV236" s="38">
        <f ca="1">IF(TRIM($W236)="F",OFFSET($A$5,MATCH($AS236,$AS$5:$AS236,0)-1,0),$A236)</f>
        <v>236</v>
      </c>
      <c r="AW236" s="38">
        <f ca="1">IFERROR(OFFSET(ZPCS04!$A$1,MATCH(F236,ZPCS04!B:B,0)-1,0),100)</f>
        <v>1.9999999499999999</v>
      </c>
      <c r="AX236" s="7"/>
      <c r="AY236" s="6" t="b">
        <f>SUMIF(AS:AS,AS236,AP:AP)=100</f>
        <v>1</v>
      </c>
      <c r="AZ236" s="6" t="b">
        <f>SUMIF(AS:AS,AS236,AE:AE)/COUNTIF(AS:AS,AS236)=AE236</f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>C236&amp;" | "&amp;F236</f>
        <v>90MB1BJ0-C1BAY0 | 10005-00461000</v>
      </c>
      <c r="BE236" s="55" t="str">
        <f ca="1">C236&amp;" | "&amp;OFFSET($AF236,0,8-COUNTBLANK($AG236:$AN236))</f>
        <v>90MB1BJ0-C1BAY0 | 59MB1BJB-MB0A02S</v>
      </c>
      <c r="BF236" s="57">
        <f ca="1">IFERROR(VLOOKUP($BE236,$BD$5:$BF235,3,0)*$AE236,VLOOKUP($C236,Demanda!$A:$B,2,0)*$AE236)*IF(AT236="Phantom Alt",$BC236,TRUE)</f>
        <v>2000</v>
      </c>
      <c r="BG236" s="57">
        <f ca="1">BF236*(AP236/100)</f>
        <v>0</v>
      </c>
      <c r="BH236" s="57">
        <f>SUMIF(Invoice!A:A,F236,Invoice!B:B)</f>
        <v>5000</v>
      </c>
      <c r="BI236" s="57">
        <f ca="1">SUMIF(AS:AS,AS236,BG:BG)</f>
        <v>2000</v>
      </c>
      <c r="BJ236" s="57">
        <f ca="1">MIN((BI236-SUMIF($AS$5:AS235,AS236,$BJ$5:BJ235)),MAX(0,BH236-SUMIF($F$5:F235,F236,$BJ$5:BJ235)))</f>
        <v>2000</v>
      </c>
      <c r="BK236" s="57">
        <f ca="1">(-SUMIF(AS:AS,AS236,BG:BG)+SUMIF(AS:AS,AS236,BJ:BJ))*(AP236=100)*AR236</f>
        <v>0</v>
      </c>
      <c r="BL236" s="57">
        <f ca="1">MAX(0,SUMIF(Invoice!A:A,F236,Invoice!B:B)-SUMIF(F:F,F236,BJ:BJ))*(COUNTIF(F:F,F236)=COUNTIF($F$5:F236,F236))</f>
        <v>3000</v>
      </c>
    </row>
    <row r="237" spans="1:64" hidden="1">
      <c r="A237" s="43">
        <v>237</v>
      </c>
      <c r="B237" s="35" t="s">
        <v>147</v>
      </c>
      <c r="C237" s="35" t="s">
        <v>146</v>
      </c>
      <c r="D237" s="35">
        <v>2</v>
      </c>
      <c r="E237" s="35">
        <v>860</v>
      </c>
      <c r="F237" s="64" t="s">
        <v>642</v>
      </c>
      <c r="G237" s="73" t="s">
        <v>643</v>
      </c>
      <c r="H237" s="35">
        <v>86</v>
      </c>
      <c r="I237" s="35" t="s">
        <v>54</v>
      </c>
      <c r="J237" s="35">
        <v>100</v>
      </c>
      <c r="K237" s="35" t="s">
        <v>150</v>
      </c>
      <c r="L237" s="35" t="s">
        <v>53</v>
      </c>
      <c r="M237" s="35">
        <v>2</v>
      </c>
      <c r="N237" s="35">
        <v>2</v>
      </c>
      <c r="O237" s="35">
        <v>1</v>
      </c>
      <c r="P237" s="35">
        <v>2</v>
      </c>
      <c r="Q237" s="35">
        <v>1</v>
      </c>
      <c r="R237" s="35" t="s">
        <v>73</v>
      </c>
      <c r="S237" s="35" t="s">
        <v>73</v>
      </c>
      <c r="T237" s="36">
        <v>44901</v>
      </c>
      <c r="U237" s="36">
        <v>2958465</v>
      </c>
      <c r="V237" s="35" t="s">
        <v>282</v>
      </c>
      <c r="W237" s="35" t="s">
        <v>145</v>
      </c>
      <c r="X237" s="35"/>
      <c r="Y237" s="35" t="s">
        <v>143</v>
      </c>
      <c r="Z237" s="35">
        <v>7589154</v>
      </c>
      <c r="AA237" s="35">
        <v>360</v>
      </c>
      <c r="AB237" s="35">
        <v>180</v>
      </c>
      <c r="AC237" s="35"/>
      <c r="AE237" s="51">
        <f>M237/O237</f>
        <v>2</v>
      </c>
      <c r="AG237" s="6" t="str">
        <f>C237</f>
        <v>90MB1BJ0-C1BAY0</v>
      </c>
      <c r="AH237" s="6" t="str">
        <f>IF($D237&lt;=AH$4,"",IF(AND($D236=AH$4,$D237&gt;AH$4),$F236,AH236))</f>
        <v>59MB1BJB-MB0A02S</v>
      </c>
      <c r="AI237" s="6" t="str">
        <f>IF($D237&lt;=AI$4,"",IF(AND($D236=AI$4,$D237&gt;AI$4),$F236,AI236))</f>
        <v/>
      </c>
      <c r="AJ237" s="6" t="str">
        <f>IF($D237&lt;=AJ$4,"",IF(AND($D236=AJ$4,$D237&gt;AJ$4),$F236,AJ236))</f>
        <v/>
      </c>
      <c r="AK237" s="6" t="str">
        <f>IF($D237&lt;=AK$4,"",IF(AND($D236=AK$4,$D237&gt;AK$4),$F236,AK236))</f>
        <v/>
      </c>
      <c r="AL237" s="6" t="str">
        <f>IF($D237&lt;=AL$4,"",IF(AND($D236=AL$4,$D237&gt;AL$4),$F236,AL236))</f>
        <v/>
      </c>
      <c r="AM237" s="6" t="str">
        <f>IF($D237&lt;=AM$4,"",IF(AND($D236=AM$4,$D237&gt;AM$4),$F236,AM236))</f>
        <v/>
      </c>
      <c r="AN237" s="6" t="str">
        <f>IF($D237&lt;=AN$4,"",IF(AND($D236=AN$4,$D237&gt;AN$4),$F236,AN236))</f>
        <v/>
      </c>
      <c r="AO237" s="6" t="str">
        <f>CONCATENATE(AG237," | ",AH237," | ",AI237," | ",AJ237," | ",AK237," | ",AL237," | ",AM237," | ",AN237)</f>
        <v xml:space="preserve">90MB1BJ0-C1BAY0 | 59MB1BJB-MB0A02S |  |  |  |  |  | </v>
      </c>
      <c r="AP237" s="6">
        <f>IF(TRIM(H237)="",100,J237)</f>
        <v>100</v>
      </c>
      <c r="AQ237" s="4"/>
      <c r="AR237" s="6" t="b">
        <f>NOT(TRIM(W237)&lt;&gt;"F")</f>
        <v>1</v>
      </c>
      <c r="AS237" s="6" t="str">
        <f>$B237&amp;" | "&amp;$AO237&amp;" | "&amp;IF(TRIM(H237)="","uniq"&amp;ROW(),TRIM(H237))</f>
        <v>461E | 90MB1BJ0-C1BAY0 | 59MB1BJB-MB0A02S |  |  |  |  |  |  | 86</v>
      </c>
      <c r="AT237" s="63">
        <f>IF(NOT(AR237),IF(TRIM($H237)="","Assembly","Phantom Alt"),VLOOKUP(F237,ZPCS04!B:G,6,0))</f>
        <v>623</v>
      </c>
      <c r="AU237" s="7"/>
      <c r="AV237" s="38">
        <f ca="1">IF(TRIM($W237)="F",OFFSET($A$5,MATCH($AS237,$AS$5:$AS237,0)-1,0),$A237)</f>
        <v>236</v>
      </c>
      <c r="AW237" s="38">
        <f ca="1">IFERROR(OFFSET(ZPCS04!$A$1,MATCH(F237,ZPCS04!B:B,0)-1,0),100)</f>
        <v>2</v>
      </c>
      <c r="AX237" s="7"/>
      <c r="AY237" s="6" t="b">
        <f>SUMIF(AS:AS,AS237,AP:AP)=100</f>
        <v>1</v>
      </c>
      <c r="AZ237" s="6" t="b">
        <f>SUMIF(AS:AS,AS237,AE:AE)/COUNTIF(AS:AS,AS237)=AE237</f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>C237&amp;" | "&amp;F237</f>
        <v>90MB1BJ0-C1BAY0 | 10005-00467000</v>
      </c>
      <c r="BE237" s="55" t="str">
        <f ca="1">C237&amp;" | "&amp;OFFSET($AF237,0,8-COUNTBLANK($AG237:$AN237))</f>
        <v>90MB1BJ0-C1BAY0 | 59MB1BJB-MB0A02S</v>
      </c>
      <c r="BF237" s="57">
        <f ca="1">IFERROR(VLOOKUP($BE237,$BD$5:$BF236,3,0)*$AE237,VLOOKUP($C237,Demanda!$A:$B,2,0)*$AE237)*IF(AT237="Phantom Alt",$BC237,TRUE)</f>
        <v>2000</v>
      </c>
      <c r="BG237" s="57">
        <f ca="1">BF237*(AP237/100)</f>
        <v>2000</v>
      </c>
      <c r="BH237" s="57">
        <f>SUMIF(Invoice!A:A,F237,Invoice!B:B)</f>
        <v>0</v>
      </c>
      <c r="BI237" s="57">
        <f ca="1">SUMIF(AS:AS,AS237,BG:BG)</f>
        <v>2000</v>
      </c>
      <c r="BJ237" s="57">
        <f ca="1">MIN((BI237-SUMIF($AS$5:AS236,AS237,$BJ$5:BJ236)),MAX(0,BH237-SUMIF($F$5:F236,F237,$BJ$5:BJ236)))</f>
        <v>0</v>
      </c>
      <c r="BK237" s="57">
        <f ca="1">(-SUMIF(AS:AS,AS237,BG:BG)+SUMIF(AS:AS,AS237,BJ:BJ))*(AP237=100)*AR237</f>
        <v>0</v>
      </c>
      <c r="BL237" s="57">
        <f ca="1">MAX(0,SUMIF(Invoice!A:A,F237,Invoice!B:B)-SUMIF(F:F,F237,BJ:BJ))*(COUNTIF(F:F,F237)=COUNTIF($F$5:F237,F237))</f>
        <v>0</v>
      </c>
    </row>
    <row r="238" spans="1:64" hidden="1">
      <c r="A238" s="43">
        <v>238</v>
      </c>
      <c r="B238" s="35" t="s">
        <v>147</v>
      </c>
      <c r="C238" s="35" t="s">
        <v>146</v>
      </c>
      <c r="D238" s="35">
        <v>2</v>
      </c>
      <c r="E238" s="35">
        <v>870</v>
      </c>
      <c r="F238" s="64" t="s">
        <v>644</v>
      </c>
      <c r="G238" s="73" t="s">
        <v>645</v>
      </c>
      <c r="H238" s="35">
        <v>87</v>
      </c>
      <c r="I238" s="35" t="s">
        <v>55</v>
      </c>
      <c r="J238" s="35">
        <v>0</v>
      </c>
      <c r="K238" s="35" t="s">
        <v>150</v>
      </c>
      <c r="L238" s="35" t="s">
        <v>53</v>
      </c>
      <c r="M238" s="35">
        <v>2</v>
      </c>
      <c r="N238" s="35"/>
      <c r="O238" s="35">
        <v>1</v>
      </c>
      <c r="P238" s="35">
        <v>2</v>
      </c>
      <c r="Q238" s="35">
        <v>2</v>
      </c>
      <c r="R238" s="35" t="s">
        <v>73</v>
      </c>
      <c r="S238" s="35" t="s">
        <v>73</v>
      </c>
      <c r="T238" s="36">
        <v>44901</v>
      </c>
      <c r="U238" s="36">
        <v>2958465</v>
      </c>
      <c r="V238" s="35" t="s">
        <v>282</v>
      </c>
      <c r="W238" s="35" t="s">
        <v>145</v>
      </c>
      <c r="X238" s="35"/>
      <c r="Y238" s="35" t="s">
        <v>143</v>
      </c>
      <c r="Z238" s="35">
        <v>7589154</v>
      </c>
      <c r="AA238" s="35">
        <v>366</v>
      </c>
      <c r="AB238" s="35">
        <v>183</v>
      </c>
      <c r="AC238" s="35"/>
      <c r="AE238" s="51">
        <f>M238/O238</f>
        <v>2</v>
      </c>
      <c r="AG238" s="6" t="str">
        <f>C238</f>
        <v>90MB1BJ0-C1BAY0</v>
      </c>
      <c r="AH238" s="6" t="str">
        <f>IF($D238&lt;=AH$4,"",IF(AND($D237=AH$4,$D238&gt;AH$4),$F237,AH237))</f>
        <v>59MB1BJB-MB0A02S</v>
      </c>
      <c r="AI238" s="6" t="str">
        <f>IF($D238&lt;=AI$4,"",IF(AND($D237=AI$4,$D238&gt;AI$4),$F237,AI237))</f>
        <v/>
      </c>
      <c r="AJ238" s="6" t="str">
        <f>IF($D238&lt;=AJ$4,"",IF(AND($D237=AJ$4,$D238&gt;AJ$4),$F237,AJ237))</f>
        <v/>
      </c>
      <c r="AK238" s="6" t="str">
        <f>IF($D238&lt;=AK$4,"",IF(AND($D237=AK$4,$D238&gt;AK$4),$F237,AK237))</f>
        <v/>
      </c>
      <c r="AL238" s="6" t="str">
        <f>IF($D238&lt;=AL$4,"",IF(AND($D237=AL$4,$D238&gt;AL$4),$F237,AL237))</f>
        <v/>
      </c>
      <c r="AM238" s="6" t="str">
        <f>IF($D238&lt;=AM$4,"",IF(AND($D237=AM$4,$D238&gt;AM$4),$F237,AM237))</f>
        <v/>
      </c>
      <c r="AN238" s="6" t="str">
        <f>IF($D238&lt;=AN$4,"",IF(AND($D237=AN$4,$D238&gt;AN$4),$F237,AN237))</f>
        <v/>
      </c>
      <c r="AO238" s="6" t="str">
        <f>CONCATENATE(AG238," | ",AH238," | ",AI238," | ",AJ238," | ",AK238," | ",AL238," | ",AM238," | ",AN238)</f>
        <v xml:space="preserve">90MB1BJ0-C1BAY0 | 59MB1BJB-MB0A02S |  |  |  |  |  | </v>
      </c>
      <c r="AP238" s="6">
        <f>IF(TRIM(H238)="",100,J238)</f>
        <v>0</v>
      </c>
      <c r="AQ238" s="4"/>
      <c r="AR238" s="6" t="b">
        <f>NOT(TRIM(W238)&lt;&gt;"F")</f>
        <v>1</v>
      </c>
      <c r="AS238" s="6" t="str">
        <f>$B238&amp;" | "&amp;$AO238&amp;" | "&amp;IF(TRIM(H238)="","uniq"&amp;ROW(),TRIM(H238))</f>
        <v>461E | 90MB1BJ0-C1BAY0 | 59MB1BJB-MB0A02S |  |  |  |  |  |  | 87</v>
      </c>
      <c r="AT238" s="63">
        <f>IF(NOT(AR238),IF(TRIM($H238)="","Assembly","Phantom Alt"),VLOOKUP(F238,ZPCS04!B:G,6,0))</f>
        <v>624</v>
      </c>
      <c r="AU238" s="7"/>
      <c r="AV238" s="38">
        <f ca="1">IF(TRIM($W238)="F",OFFSET($A$5,MATCH($AS238,$AS$5:$AS238,0)-1,0),$A238)</f>
        <v>238</v>
      </c>
      <c r="AW238" s="38">
        <f ca="1">IFERROR(OFFSET(ZPCS04!$A$1,MATCH(F238,ZPCS04!B:B,0)-1,0),100)</f>
        <v>1.9999999499999999</v>
      </c>
      <c r="AX238" s="7"/>
      <c r="AY238" s="6" t="b">
        <f>SUMIF(AS:AS,AS238,AP:AP)=100</f>
        <v>1</v>
      </c>
      <c r="AZ238" s="6" t="b">
        <f>SUMIF(AS:AS,AS238,AE:AE)/COUNTIF(AS:AS,AS238)=AE238</f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>C238&amp;" | "&amp;F238</f>
        <v>90MB1BJ0-C1BAY0 | 10005-00481000</v>
      </c>
      <c r="BE238" s="55" t="str">
        <f ca="1">C238&amp;" | "&amp;OFFSET($AF238,0,8-COUNTBLANK($AG238:$AN238))</f>
        <v>90MB1BJ0-C1BAY0 | 59MB1BJB-MB0A02S</v>
      </c>
      <c r="BF238" s="57">
        <f ca="1">IFERROR(VLOOKUP($BE238,$BD$5:$BF237,3,0)*$AE238,VLOOKUP($C238,Demanda!$A:$B,2,0)*$AE238)*IF(AT238="Phantom Alt",$BC238,TRUE)</f>
        <v>2000</v>
      </c>
      <c r="BG238" s="57">
        <f ca="1">BF238*(AP238/100)</f>
        <v>0</v>
      </c>
      <c r="BH238" s="57">
        <f>SUMIF(Invoice!A:A,F238,Invoice!B:B)</f>
        <v>5000</v>
      </c>
      <c r="BI238" s="57">
        <f ca="1">SUMIF(AS:AS,AS238,BG:BG)</f>
        <v>2000</v>
      </c>
      <c r="BJ238" s="57">
        <f ca="1">MIN((BI238-SUMIF($AS$5:AS237,AS238,$BJ$5:BJ237)),MAX(0,BH238-SUMIF($F$5:F237,F238,$BJ$5:BJ237)))</f>
        <v>2000</v>
      </c>
      <c r="BK238" s="57">
        <f ca="1">(-SUMIF(AS:AS,AS238,BG:BG)+SUMIF(AS:AS,AS238,BJ:BJ))*(AP238=100)*AR238</f>
        <v>0</v>
      </c>
      <c r="BL238" s="57">
        <f ca="1">MAX(0,SUMIF(Invoice!A:A,F238,Invoice!B:B)-SUMIF(F:F,F238,BJ:BJ))*(COUNTIF(F:F,F238)=COUNTIF($F$5:F238,F238))</f>
        <v>3000</v>
      </c>
    </row>
    <row r="239" spans="1:64" hidden="1">
      <c r="A239" s="43">
        <v>239</v>
      </c>
      <c r="B239" s="35" t="s">
        <v>147</v>
      </c>
      <c r="C239" s="35" t="s">
        <v>146</v>
      </c>
      <c r="D239" s="35">
        <v>2</v>
      </c>
      <c r="E239" s="35">
        <v>870</v>
      </c>
      <c r="F239" s="64" t="s">
        <v>646</v>
      </c>
      <c r="G239" s="73" t="s">
        <v>647</v>
      </c>
      <c r="H239" s="35">
        <v>87</v>
      </c>
      <c r="I239" s="35" t="s">
        <v>54</v>
      </c>
      <c r="J239" s="35">
        <v>100</v>
      </c>
      <c r="K239" s="35" t="s">
        <v>150</v>
      </c>
      <c r="L239" s="35" t="s">
        <v>53</v>
      </c>
      <c r="M239" s="35">
        <v>2</v>
      </c>
      <c r="N239" s="35">
        <v>2</v>
      </c>
      <c r="O239" s="35">
        <v>1</v>
      </c>
      <c r="P239" s="35">
        <v>2</v>
      </c>
      <c r="Q239" s="35">
        <v>1</v>
      </c>
      <c r="R239" s="35" t="s">
        <v>73</v>
      </c>
      <c r="S239" s="35" t="s">
        <v>73</v>
      </c>
      <c r="T239" s="36">
        <v>44901</v>
      </c>
      <c r="U239" s="36">
        <v>2958465</v>
      </c>
      <c r="V239" s="35" t="s">
        <v>282</v>
      </c>
      <c r="W239" s="35" t="s">
        <v>145</v>
      </c>
      <c r="X239" s="35"/>
      <c r="Y239" s="35" t="s">
        <v>143</v>
      </c>
      <c r="Z239" s="35">
        <v>7589154</v>
      </c>
      <c r="AA239" s="35">
        <v>364</v>
      </c>
      <c r="AB239" s="35">
        <v>182</v>
      </c>
      <c r="AC239" s="35"/>
      <c r="AE239" s="51">
        <f>M239/O239</f>
        <v>2</v>
      </c>
      <c r="AG239" s="6" t="str">
        <f>C239</f>
        <v>90MB1BJ0-C1BAY0</v>
      </c>
      <c r="AH239" s="6" t="str">
        <f>IF($D239&lt;=AH$4,"",IF(AND($D238=AH$4,$D239&gt;AH$4),$F238,AH238))</f>
        <v>59MB1BJB-MB0A02S</v>
      </c>
      <c r="AI239" s="6" t="str">
        <f>IF($D239&lt;=AI$4,"",IF(AND($D238=AI$4,$D239&gt;AI$4),$F238,AI238))</f>
        <v/>
      </c>
      <c r="AJ239" s="6" t="str">
        <f>IF($D239&lt;=AJ$4,"",IF(AND($D238=AJ$4,$D239&gt;AJ$4),$F238,AJ238))</f>
        <v/>
      </c>
      <c r="AK239" s="6" t="str">
        <f>IF($D239&lt;=AK$4,"",IF(AND($D238=AK$4,$D239&gt;AK$4),$F238,AK238))</f>
        <v/>
      </c>
      <c r="AL239" s="6" t="str">
        <f>IF($D239&lt;=AL$4,"",IF(AND($D238=AL$4,$D239&gt;AL$4),$F238,AL238))</f>
        <v/>
      </c>
      <c r="AM239" s="6" t="str">
        <f>IF($D239&lt;=AM$4,"",IF(AND($D238=AM$4,$D239&gt;AM$4),$F238,AM238))</f>
        <v/>
      </c>
      <c r="AN239" s="6" t="str">
        <f>IF($D239&lt;=AN$4,"",IF(AND($D238=AN$4,$D239&gt;AN$4),$F238,AN238))</f>
        <v/>
      </c>
      <c r="AO239" s="6" t="str">
        <f>CONCATENATE(AG239," | ",AH239," | ",AI239," | ",AJ239," | ",AK239," | ",AL239," | ",AM239," | ",AN239)</f>
        <v xml:space="preserve">90MB1BJ0-C1BAY0 | 59MB1BJB-MB0A02S |  |  |  |  |  | </v>
      </c>
      <c r="AP239" s="6">
        <f>IF(TRIM(H239)="",100,J239)</f>
        <v>100</v>
      </c>
      <c r="AQ239" s="4"/>
      <c r="AR239" s="6" t="b">
        <f>NOT(TRIM(W239)&lt;&gt;"F")</f>
        <v>1</v>
      </c>
      <c r="AS239" s="6" t="str">
        <f>$B239&amp;" | "&amp;$AO239&amp;" | "&amp;IF(TRIM(H239)="","uniq"&amp;ROW(),TRIM(H239))</f>
        <v>461E | 90MB1BJ0-C1BAY0 | 59MB1BJB-MB0A02S |  |  |  |  |  |  | 87</v>
      </c>
      <c r="AT239" s="63">
        <f>IF(NOT(AR239),IF(TRIM($H239)="","Assembly","Phantom Alt"),VLOOKUP(F239,ZPCS04!B:G,6,0))</f>
        <v>624</v>
      </c>
      <c r="AU239" s="7"/>
      <c r="AV239" s="38">
        <f ca="1">IF(TRIM($W239)="F",OFFSET($A$5,MATCH($AS239,$AS$5:$AS239,0)-1,0),$A239)</f>
        <v>238</v>
      </c>
      <c r="AW239" s="38">
        <f ca="1">IFERROR(OFFSET(ZPCS04!$A$1,MATCH(F239,ZPCS04!B:B,0)-1,0),100)</f>
        <v>2</v>
      </c>
      <c r="AX239" s="7"/>
      <c r="AY239" s="6" t="b">
        <f>SUMIF(AS:AS,AS239,AP:AP)=100</f>
        <v>1</v>
      </c>
      <c r="AZ239" s="6" t="b">
        <f>SUMIF(AS:AS,AS239,AE:AE)/COUNTIF(AS:AS,AS239)=AE239</f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>C239&amp;" | "&amp;F239</f>
        <v>90MB1BJ0-C1BAY0 | 10005-00487000</v>
      </c>
      <c r="BE239" s="55" t="str">
        <f ca="1">C239&amp;" | "&amp;OFFSET($AF239,0,8-COUNTBLANK($AG239:$AN239))</f>
        <v>90MB1BJ0-C1BAY0 | 59MB1BJB-MB0A02S</v>
      </c>
      <c r="BF239" s="57">
        <f ca="1">IFERROR(VLOOKUP($BE239,$BD$5:$BF238,3,0)*$AE239,VLOOKUP($C239,Demanda!$A:$B,2,0)*$AE239)*IF(AT239="Phantom Alt",$BC239,TRUE)</f>
        <v>2000</v>
      </c>
      <c r="BG239" s="57">
        <f ca="1">BF239*(AP239/100)</f>
        <v>2000</v>
      </c>
      <c r="BH239" s="57">
        <f>SUMIF(Invoice!A:A,F239,Invoice!B:B)</f>
        <v>0</v>
      </c>
      <c r="BI239" s="57">
        <f ca="1">SUMIF(AS:AS,AS239,BG:BG)</f>
        <v>2000</v>
      </c>
      <c r="BJ239" s="57">
        <f ca="1">MIN((BI239-SUMIF($AS$5:AS238,AS239,$BJ$5:BJ238)),MAX(0,BH239-SUMIF($F$5:F238,F239,$BJ$5:BJ238)))</f>
        <v>0</v>
      </c>
      <c r="BK239" s="57">
        <f ca="1">(-SUMIF(AS:AS,AS239,BG:BG)+SUMIF(AS:AS,AS239,BJ:BJ))*(AP239=100)*AR239</f>
        <v>0</v>
      </c>
      <c r="BL239" s="57">
        <f ca="1">MAX(0,SUMIF(Invoice!A:A,F239,Invoice!B:B)-SUMIF(F:F,F239,BJ:BJ))*(COUNTIF(F:F,F239)=COUNTIF($F$5:F239,F239))</f>
        <v>0</v>
      </c>
    </row>
    <row r="240" spans="1:64" hidden="1">
      <c r="A240" s="43">
        <v>240</v>
      </c>
      <c r="B240" s="35" t="s">
        <v>147</v>
      </c>
      <c r="C240" s="35" t="s">
        <v>146</v>
      </c>
      <c r="D240" s="35">
        <v>2</v>
      </c>
      <c r="E240" s="35">
        <v>880</v>
      </c>
      <c r="F240" s="64" t="s">
        <v>648</v>
      </c>
      <c r="G240" s="73" t="s">
        <v>649</v>
      </c>
      <c r="H240" s="35">
        <v>88</v>
      </c>
      <c r="I240" s="35" t="s">
        <v>55</v>
      </c>
      <c r="J240" s="35">
        <v>0</v>
      </c>
      <c r="K240" s="35" t="s">
        <v>150</v>
      </c>
      <c r="L240" s="35" t="s">
        <v>53</v>
      </c>
      <c r="M240" s="35">
        <v>2</v>
      </c>
      <c r="N240" s="35"/>
      <c r="O240" s="35">
        <v>1</v>
      </c>
      <c r="P240" s="35">
        <v>2</v>
      </c>
      <c r="Q240" s="35">
        <v>2</v>
      </c>
      <c r="R240" s="35" t="s">
        <v>73</v>
      </c>
      <c r="S240" s="35" t="s">
        <v>73</v>
      </c>
      <c r="T240" s="36">
        <v>44901</v>
      </c>
      <c r="U240" s="36">
        <v>2958465</v>
      </c>
      <c r="V240" s="35" t="s">
        <v>282</v>
      </c>
      <c r="W240" s="35" t="s">
        <v>145</v>
      </c>
      <c r="X240" s="35"/>
      <c r="Y240" s="35" t="s">
        <v>143</v>
      </c>
      <c r="Z240" s="35">
        <v>7589154</v>
      </c>
      <c r="AA240" s="35">
        <v>370</v>
      </c>
      <c r="AB240" s="35">
        <v>185</v>
      </c>
      <c r="AC240" s="35"/>
      <c r="AE240" s="51">
        <f>M240/O240</f>
        <v>2</v>
      </c>
      <c r="AG240" s="6" t="str">
        <f>C240</f>
        <v>90MB1BJ0-C1BAY0</v>
      </c>
      <c r="AH240" s="6" t="str">
        <f>IF($D240&lt;=AH$4,"",IF(AND($D239=AH$4,$D240&gt;AH$4),$F239,AH239))</f>
        <v>59MB1BJB-MB0A02S</v>
      </c>
      <c r="AI240" s="6" t="str">
        <f>IF($D240&lt;=AI$4,"",IF(AND($D239=AI$4,$D240&gt;AI$4),$F239,AI239))</f>
        <v/>
      </c>
      <c r="AJ240" s="6" t="str">
        <f>IF($D240&lt;=AJ$4,"",IF(AND($D239=AJ$4,$D240&gt;AJ$4),$F239,AJ239))</f>
        <v/>
      </c>
      <c r="AK240" s="6" t="str">
        <f>IF($D240&lt;=AK$4,"",IF(AND($D239=AK$4,$D240&gt;AK$4),$F239,AK239))</f>
        <v/>
      </c>
      <c r="AL240" s="6" t="str">
        <f>IF($D240&lt;=AL$4,"",IF(AND($D239=AL$4,$D240&gt;AL$4),$F239,AL239))</f>
        <v/>
      </c>
      <c r="AM240" s="6" t="str">
        <f>IF($D240&lt;=AM$4,"",IF(AND($D239=AM$4,$D240&gt;AM$4),$F239,AM239))</f>
        <v/>
      </c>
      <c r="AN240" s="6" t="str">
        <f>IF($D240&lt;=AN$4,"",IF(AND($D239=AN$4,$D240&gt;AN$4),$F239,AN239))</f>
        <v/>
      </c>
      <c r="AO240" s="6" t="str">
        <f>CONCATENATE(AG240," | ",AH240," | ",AI240," | ",AJ240," | ",AK240," | ",AL240," | ",AM240," | ",AN240)</f>
        <v xml:space="preserve">90MB1BJ0-C1BAY0 | 59MB1BJB-MB0A02S |  |  |  |  |  | </v>
      </c>
      <c r="AP240" s="6">
        <f>IF(TRIM(H240)="",100,J240)</f>
        <v>0</v>
      </c>
      <c r="AQ240" s="4"/>
      <c r="AR240" s="6" t="b">
        <f>NOT(TRIM(W240)&lt;&gt;"F")</f>
        <v>1</v>
      </c>
      <c r="AS240" s="6" t="str">
        <f>$B240&amp;" | "&amp;$AO240&amp;" | "&amp;IF(TRIM(H240)="","uniq"&amp;ROW(),TRIM(H240))</f>
        <v>461E | 90MB1BJ0-C1BAY0 | 59MB1BJB-MB0A02S |  |  |  |  |  |  | 88</v>
      </c>
      <c r="AT240" s="63">
        <f>IF(NOT(AR240),IF(TRIM($H240)="","Assembly","Phantom Alt"),VLOOKUP(F240,ZPCS04!B:G,6,0))</f>
        <v>625</v>
      </c>
      <c r="AU240" s="7"/>
      <c r="AV240" s="38">
        <f ca="1">IF(TRIM($W240)="F",OFFSET($A$5,MATCH($AS240,$AS$5:$AS240,0)-1,0),$A240)</f>
        <v>240</v>
      </c>
      <c r="AW240" s="38">
        <f ca="1">IFERROR(OFFSET(ZPCS04!$A$1,MATCH(F240,ZPCS04!B:B,0)-1,0),100)</f>
        <v>1.9999999499999999</v>
      </c>
      <c r="AX240" s="7"/>
      <c r="AY240" s="6" t="b">
        <f>SUMIF(AS:AS,AS240,AP:AP)=100</f>
        <v>1</v>
      </c>
      <c r="AZ240" s="6" t="b">
        <f>SUMIF(AS:AS,AS240,AE:AE)/COUNTIF(AS:AS,AS240)=AE240</f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>C240&amp;" | "&amp;F240</f>
        <v>90MB1BJ0-C1BAY0 | 10005-00491000</v>
      </c>
      <c r="BE240" s="55" t="str">
        <f ca="1">C240&amp;" | "&amp;OFFSET($AF240,0,8-COUNTBLANK($AG240:$AN240))</f>
        <v>90MB1BJ0-C1BAY0 | 59MB1BJB-MB0A02S</v>
      </c>
      <c r="BF240" s="57">
        <f ca="1">IFERROR(VLOOKUP($BE240,$BD$5:$BF239,3,0)*$AE240,VLOOKUP($C240,Demanda!$A:$B,2,0)*$AE240)*IF(AT240="Phantom Alt",$BC240,TRUE)</f>
        <v>2000</v>
      </c>
      <c r="BG240" s="57">
        <f ca="1">BF240*(AP240/100)</f>
        <v>0</v>
      </c>
      <c r="BH240" s="57">
        <f>SUMIF(Invoice!A:A,F240,Invoice!B:B)</f>
        <v>5000</v>
      </c>
      <c r="BI240" s="57">
        <f ca="1">SUMIF(AS:AS,AS240,BG:BG)</f>
        <v>2000</v>
      </c>
      <c r="BJ240" s="57">
        <f ca="1">MIN((BI240-SUMIF($AS$5:AS239,AS240,$BJ$5:BJ239)),MAX(0,BH240-SUMIF($F$5:F239,F240,$BJ$5:BJ239)))</f>
        <v>2000</v>
      </c>
      <c r="BK240" s="57">
        <f ca="1">(-SUMIF(AS:AS,AS240,BG:BG)+SUMIF(AS:AS,AS240,BJ:BJ))*(AP240=100)*AR240</f>
        <v>0</v>
      </c>
      <c r="BL240" s="57">
        <f ca="1">MAX(0,SUMIF(Invoice!A:A,F240,Invoice!B:B)-SUMIF(F:F,F240,BJ:BJ))*(COUNTIF(F:F,F240)=COUNTIF($F$5:F240,F240))</f>
        <v>3000</v>
      </c>
    </row>
    <row r="241" spans="1:64" hidden="1">
      <c r="A241" s="43">
        <v>241</v>
      </c>
      <c r="B241" s="35" t="s">
        <v>147</v>
      </c>
      <c r="C241" s="35" t="s">
        <v>146</v>
      </c>
      <c r="D241" s="35">
        <v>2</v>
      </c>
      <c r="E241" s="35">
        <v>880</v>
      </c>
      <c r="F241" s="64" t="s">
        <v>650</v>
      </c>
      <c r="G241" s="73" t="s">
        <v>651</v>
      </c>
      <c r="H241" s="35">
        <v>88</v>
      </c>
      <c r="I241" s="35" t="s">
        <v>54</v>
      </c>
      <c r="J241" s="35">
        <v>100</v>
      </c>
      <c r="K241" s="35" t="s">
        <v>150</v>
      </c>
      <c r="L241" s="35" t="s">
        <v>53</v>
      </c>
      <c r="M241" s="35">
        <v>2</v>
      </c>
      <c r="N241" s="35">
        <v>2</v>
      </c>
      <c r="O241" s="35">
        <v>1</v>
      </c>
      <c r="P241" s="35">
        <v>2</v>
      </c>
      <c r="Q241" s="35">
        <v>1</v>
      </c>
      <c r="R241" s="35" t="s">
        <v>73</v>
      </c>
      <c r="S241" s="35" t="s">
        <v>73</v>
      </c>
      <c r="T241" s="36">
        <v>44901</v>
      </c>
      <c r="U241" s="36">
        <v>2958465</v>
      </c>
      <c r="V241" s="35" t="s">
        <v>282</v>
      </c>
      <c r="W241" s="35" t="s">
        <v>145</v>
      </c>
      <c r="X241" s="35"/>
      <c r="Y241" s="35" t="s">
        <v>143</v>
      </c>
      <c r="Z241" s="35">
        <v>7589154</v>
      </c>
      <c r="AA241" s="35">
        <v>368</v>
      </c>
      <c r="AB241" s="35">
        <v>184</v>
      </c>
      <c r="AC241" s="35"/>
      <c r="AE241" s="51">
        <f>M241/O241</f>
        <v>2</v>
      </c>
      <c r="AG241" s="6" t="str">
        <f>C241</f>
        <v>90MB1BJ0-C1BAY0</v>
      </c>
      <c r="AH241" s="6" t="str">
        <f>IF($D241&lt;=AH$4,"",IF(AND($D240=AH$4,$D241&gt;AH$4),$F240,AH240))</f>
        <v>59MB1BJB-MB0A02S</v>
      </c>
      <c r="AI241" s="6" t="str">
        <f>IF($D241&lt;=AI$4,"",IF(AND($D240=AI$4,$D241&gt;AI$4),$F240,AI240))</f>
        <v/>
      </c>
      <c r="AJ241" s="6" t="str">
        <f>IF($D241&lt;=AJ$4,"",IF(AND($D240=AJ$4,$D241&gt;AJ$4),$F240,AJ240))</f>
        <v/>
      </c>
      <c r="AK241" s="6" t="str">
        <f>IF($D241&lt;=AK$4,"",IF(AND($D240=AK$4,$D241&gt;AK$4),$F240,AK240))</f>
        <v/>
      </c>
      <c r="AL241" s="6" t="str">
        <f>IF($D241&lt;=AL$4,"",IF(AND($D240=AL$4,$D241&gt;AL$4),$F240,AL240))</f>
        <v/>
      </c>
      <c r="AM241" s="6" t="str">
        <f>IF($D241&lt;=AM$4,"",IF(AND($D240=AM$4,$D241&gt;AM$4),$F240,AM240))</f>
        <v/>
      </c>
      <c r="AN241" s="6" t="str">
        <f>IF($D241&lt;=AN$4,"",IF(AND($D240=AN$4,$D241&gt;AN$4),$F240,AN240))</f>
        <v/>
      </c>
      <c r="AO241" s="6" t="str">
        <f>CONCATENATE(AG241," | ",AH241," | ",AI241," | ",AJ241," | ",AK241," | ",AL241," | ",AM241," | ",AN241)</f>
        <v xml:space="preserve">90MB1BJ0-C1BAY0 | 59MB1BJB-MB0A02S |  |  |  |  |  | </v>
      </c>
      <c r="AP241" s="6">
        <f>IF(TRIM(H241)="",100,J241)</f>
        <v>100</v>
      </c>
      <c r="AQ241" s="4"/>
      <c r="AR241" s="6" t="b">
        <f>NOT(TRIM(W241)&lt;&gt;"F")</f>
        <v>1</v>
      </c>
      <c r="AS241" s="6" t="str">
        <f>$B241&amp;" | "&amp;$AO241&amp;" | "&amp;IF(TRIM(H241)="","uniq"&amp;ROW(),TRIM(H241))</f>
        <v>461E | 90MB1BJ0-C1BAY0 | 59MB1BJB-MB0A02S |  |  |  |  |  |  | 88</v>
      </c>
      <c r="AT241" s="63">
        <f>IF(NOT(AR241),IF(TRIM($H241)="","Assembly","Phantom Alt"),VLOOKUP(F241,ZPCS04!B:G,6,0))</f>
        <v>625</v>
      </c>
      <c r="AU241" s="7"/>
      <c r="AV241" s="38">
        <f ca="1">IF(TRIM($W241)="F",OFFSET($A$5,MATCH($AS241,$AS$5:$AS241,0)-1,0),$A241)</f>
        <v>240</v>
      </c>
      <c r="AW241" s="38">
        <f ca="1">IFERROR(OFFSET(ZPCS04!$A$1,MATCH(F241,ZPCS04!B:B,0)-1,0),100)</f>
        <v>2</v>
      </c>
      <c r="AX241" s="7"/>
      <c r="AY241" s="6" t="b">
        <f>SUMIF(AS:AS,AS241,AP:AP)=100</f>
        <v>1</v>
      </c>
      <c r="AZ241" s="6" t="b">
        <f>SUMIF(AS:AS,AS241,AE:AE)/COUNTIF(AS:AS,AS241)=AE241</f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>C241&amp;" | "&amp;F241</f>
        <v>90MB1BJ0-C1BAY0 | 10005-00497000</v>
      </c>
      <c r="BE241" s="55" t="str">
        <f ca="1">C241&amp;" | "&amp;OFFSET($AF241,0,8-COUNTBLANK($AG241:$AN241))</f>
        <v>90MB1BJ0-C1BAY0 | 59MB1BJB-MB0A02S</v>
      </c>
      <c r="BF241" s="57">
        <f ca="1">IFERROR(VLOOKUP($BE241,$BD$5:$BF240,3,0)*$AE241,VLOOKUP($C241,Demanda!$A:$B,2,0)*$AE241)*IF(AT241="Phantom Alt",$BC241,TRUE)</f>
        <v>2000</v>
      </c>
      <c r="BG241" s="57">
        <f ca="1">BF241*(AP241/100)</f>
        <v>2000</v>
      </c>
      <c r="BH241" s="57">
        <f>SUMIF(Invoice!A:A,F241,Invoice!B:B)</f>
        <v>0</v>
      </c>
      <c r="BI241" s="57">
        <f ca="1">SUMIF(AS:AS,AS241,BG:BG)</f>
        <v>2000</v>
      </c>
      <c r="BJ241" s="57">
        <f ca="1">MIN((BI241-SUMIF($AS$5:AS240,AS241,$BJ$5:BJ240)),MAX(0,BH241-SUMIF($F$5:F240,F241,$BJ$5:BJ240)))</f>
        <v>0</v>
      </c>
      <c r="BK241" s="57">
        <f ca="1">(-SUMIF(AS:AS,AS241,BG:BG)+SUMIF(AS:AS,AS241,BJ:BJ))*(AP241=100)*AR241</f>
        <v>0</v>
      </c>
      <c r="BL241" s="57">
        <f ca="1">MAX(0,SUMIF(Invoice!A:A,F241,Invoice!B:B)-SUMIF(F:F,F241,BJ:BJ))*(COUNTIF(F:F,F241)=COUNTIF($F$5:F241,F241))</f>
        <v>0</v>
      </c>
    </row>
    <row r="242" spans="1:64" hidden="1">
      <c r="A242" s="43">
        <v>242</v>
      </c>
      <c r="B242" s="35" t="s">
        <v>147</v>
      </c>
      <c r="C242" s="35" t="s">
        <v>146</v>
      </c>
      <c r="D242" s="35">
        <v>2</v>
      </c>
      <c r="E242" s="35">
        <v>890</v>
      </c>
      <c r="F242" s="64" t="s">
        <v>652</v>
      </c>
      <c r="G242" s="73" t="s">
        <v>653</v>
      </c>
      <c r="H242" s="35">
        <v>89</v>
      </c>
      <c r="I242" s="35" t="s">
        <v>55</v>
      </c>
      <c r="J242" s="35">
        <v>0</v>
      </c>
      <c r="K242" s="35" t="s">
        <v>150</v>
      </c>
      <c r="L242" s="35" t="s">
        <v>53</v>
      </c>
      <c r="M242" s="35">
        <v>3</v>
      </c>
      <c r="N242" s="35"/>
      <c r="O242" s="35">
        <v>1</v>
      </c>
      <c r="P242" s="35">
        <v>2</v>
      </c>
      <c r="Q242" s="35">
        <v>2</v>
      </c>
      <c r="R242" s="35" t="s">
        <v>73</v>
      </c>
      <c r="S242" s="35" t="s">
        <v>73</v>
      </c>
      <c r="T242" s="36">
        <v>44901</v>
      </c>
      <c r="U242" s="36">
        <v>2958465</v>
      </c>
      <c r="V242" s="35" t="s">
        <v>282</v>
      </c>
      <c r="W242" s="35" t="s">
        <v>145</v>
      </c>
      <c r="X242" s="35"/>
      <c r="Y242" s="35" t="s">
        <v>143</v>
      </c>
      <c r="Z242" s="35">
        <v>7589154</v>
      </c>
      <c r="AA242" s="35">
        <v>374</v>
      </c>
      <c r="AB242" s="35">
        <v>187</v>
      </c>
      <c r="AC242" s="35"/>
      <c r="AE242" s="51">
        <f>M242/O242</f>
        <v>3</v>
      </c>
      <c r="AG242" s="6" t="str">
        <f>C242</f>
        <v>90MB1BJ0-C1BAY0</v>
      </c>
      <c r="AH242" s="6" t="str">
        <f>IF($D242&lt;=AH$4,"",IF(AND($D241=AH$4,$D242&gt;AH$4),$F241,AH241))</f>
        <v>59MB1BJB-MB0A02S</v>
      </c>
      <c r="AI242" s="6" t="str">
        <f>IF($D242&lt;=AI$4,"",IF(AND($D241=AI$4,$D242&gt;AI$4),$F241,AI241))</f>
        <v/>
      </c>
      <c r="AJ242" s="6" t="str">
        <f>IF($D242&lt;=AJ$4,"",IF(AND($D241=AJ$4,$D242&gt;AJ$4),$F241,AJ241))</f>
        <v/>
      </c>
      <c r="AK242" s="6" t="str">
        <f>IF($D242&lt;=AK$4,"",IF(AND($D241=AK$4,$D242&gt;AK$4),$F241,AK241))</f>
        <v/>
      </c>
      <c r="AL242" s="6" t="str">
        <f>IF($D242&lt;=AL$4,"",IF(AND($D241=AL$4,$D242&gt;AL$4),$F241,AL241))</f>
        <v/>
      </c>
      <c r="AM242" s="6" t="str">
        <f>IF($D242&lt;=AM$4,"",IF(AND($D241=AM$4,$D242&gt;AM$4),$F241,AM241))</f>
        <v/>
      </c>
      <c r="AN242" s="6" t="str">
        <f>IF($D242&lt;=AN$4,"",IF(AND($D241=AN$4,$D242&gt;AN$4),$F241,AN241))</f>
        <v/>
      </c>
      <c r="AO242" s="6" t="str">
        <f>CONCATENATE(AG242," | ",AH242," | ",AI242," | ",AJ242," | ",AK242," | ",AL242," | ",AM242," | ",AN242)</f>
        <v xml:space="preserve">90MB1BJ0-C1BAY0 | 59MB1BJB-MB0A02S |  |  |  |  |  | </v>
      </c>
      <c r="AP242" s="6">
        <f>IF(TRIM(H242)="",100,J242)</f>
        <v>0</v>
      </c>
      <c r="AQ242" s="4"/>
      <c r="AR242" s="6" t="b">
        <f>NOT(TRIM(W242)&lt;&gt;"F")</f>
        <v>1</v>
      </c>
      <c r="AS242" s="6" t="str">
        <f>$B242&amp;" | "&amp;$AO242&amp;" | "&amp;IF(TRIM(H242)="","uniq"&amp;ROW(),TRIM(H242))</f>
        <v>461E | 90MB1BJ0-C1BAY0 | 59MB1BJB-MB0A02S |  |  |  |  |  |  | 89</v>
      </c>
      <c r="AT242" s="63">
        <f>IF(NOT(AR242),IF(TRIM($H242)="","Assembly","Phantom Alt"),VLOOKUP(F242,ZPCS04!B:G,6,0))</f>
        <v>626</v>
      </c>
      <c r="AU242" s="7"/>
      <c r="AV242" s="38">
        <f ca="1">IF(TRIM($W242)="F",OFFSET($A$5,MATCH($AS242,$AS$5:$AS242,0)-1,0),$A242)</f>
        <v>242</v>
      </c>
      <c r="AW242" s="38">
        <f ca="1">IFERROR(OFFSET(ZPCS04!$A$1,MATCH(F242,ZPCS04!B:B,0)-1,0),100)</f>
        <v>1.9999999499999999</v>
      </c>
      <c r="AX242" s="7"/>
      <c r="AY242" s="6" t="b">
        <f>SUMIF(AS:AS,AS242,AP:AP)=100</f>
        <v>1</v>
      </c>
      <c r="AZ242" s="6" t="b">
        <f>SUMIF(AS:AS,AS242,AE:AE)/COUNTIF(AS:AS,AS242)=AE242</f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>C242&amp;" | "&amp;F242</f>
        <v>90MB1BJ0-C1BAY0 | 10005-00581000</v>
      </c>
      <c r="BE242" s="55" t="str">
        <f ca="1">C242&amp;" | "&amp;OFFSET($AF242,0,8-COUNTBLANK($AG242:$AN242))</f>
        <v>90MB1BJ0-C1BAY0 | 59MB1BJB-MB0A02S</v>
      </c>
      <c r="BF242" s="57">
        <f ca="1">IFERROR(VLOOKUP($BE242,$BD$5:$BF241,3,0)*$AE242,VLOOKUP($C242,Demanda!$A:$B,2,0)*$AE242)*IF(AT242="Phantom Alt",$BC242,TRUE)</f>
        <v>3000</v>
      </c>
      <c r="BG242" s="57">
        <f ca="1">BF242*(AP242/100)</f>
        <v>0</v>
      </c>
      <c r="BH242" s="57">
        <f>SUMIF(Invoice!A:A,F242,Invoice!B:B)</f>
        <v>5000</v>
      </c>
      <c r="BI242" s="57">
        <f ca="1">SUMIF(AS:AS,AS242,BG:BG)</f>
        <v>3000</v>
      </c>
      <c r="BJ242" s="57">
        <f ca="1">MIN((BI242-SUMIF($AS$5:AS241,AS242,$BJ$5:BJ241)),MAX(0,BH242-SUMIF($F$5:F241,F242,$BJ$5:BJ241)))</f>
        <v>3000</v>
      </c>
      <c r="BK242" s="57">
        <f ca="1">(-SUMIF(AS:AS,AS242,BG:BG)+SUMIF(AS:AS,AS242,BJ:BJ))*(AP242=100)*AR242</f>
        <v>0</v>
      </c>
      <c r="BL242" s="57">
        <f ca="1">MAX(0,SUMIF(Invoice!A:A,F242,Invoice!B:B)-SUMIF(F:F,F242,BJ:BJ))*(COUNTIF(F:F,F242)=COUNTIF($F$5:F242,F242))</f>
        <v>2000</v>
      </c>
    </row>
    <row r="243" spans="1:64" hidden="1">
      <c r="A243" s="43">
        <v>243</v>
      </c>
      <c r="B243" s="35" t="s">
        <v>147</v>
      </c>
      <c r="C243" s="35" t="s">
        <v>146</v>
      </c>
      <c r="D243" s="35">
        <v>2</v>
      </c>
      <c r="E243" s="35">
        <v>890</v>
      </c>
      <c r="F243" s="64" t="s">
        <v>654</v>
      </c>
      <c r="G243" s="73" t="s">
        <v>655</v>
      </c>
      <c r="H243" s="35">
        <v>89</v>
      </c>
      <c r="I243" s="35" t="s">
        <v>54</v>
      </c>
      <c r="J243" s="35">
        <v>100</v>
      </c>
      <c r="K243" s="35" t="s">
        <v>150</v>
      </c>
      <c r="L243" s="35" t="s">
        <v>53</v>
      </c>
      <c r="M243" s="35">
        <v>3</v>
      </c>
      <c r="N243" s="35">
        <v>3</v>
      </c>
      <c r="O243" s="35">
        <v>1</v>
      </c>
      <c r="P243" s="35">
        <v>2</v>
      </c>
      <c r="Q243" s="35">
        <v>1</v>
      </c>
      <c r="R243" s="35" t="s">
        <v>73</v>
      </c>
      <c r="S243" s="35" t="s">
        <v>73</v>
      </c>
      <c r="T243" s="36">
        <v>44901</v>
      </c>
      <c r="U243" s="36">
        <v>2958465</v>
      </c>
      <c r="V243" s="35" t="s">
        <v>282</v>
      </c>
      <c r="W243" s="35" t="s">
        <v>145</v>
      </c>
      <c r="X243" s="35"/>
      <c r="Y243" s="35" t="s">
        <v>143</v>
      </c>
      <c r="Z243" s="35">
        <v>7589154</v>
      </c>
      <c r="AA243" s="35">
        <v>372</v>
      </c>
      <c r="AB243" s="35">
        <v>186</v>
      </c>
      <c r="AC243" s="35"/>
      <c r="AE243" s="51">
        <f>M243/O243</f>
        <v>3</v>
      </c>
      <c r="AG243" s="6" t="str">
        <f>C243</f>
        <v>90MB1BJ0-C1BAY0</v>
      </c>
      <c r="AH243" s="6" t="str">
        <f>IF($D243&lt;=AH$4,"",IF(AND($D242=AH$4,$D243&gt;AH$4),$F242,AH242))</f>
        <v>59MB1BJB-MB0A02S</v>
      </c>
      <c r="AI243" s="6" t="str">
        <f>IF($D243&lt;=AI$4,"",IF(AND($D242=AI$4,$D243&gt;AI$4),$F242,AI242))</f>
        <v/>
      </c>
      <c r="AJ243" s="6" t="str">
        <f>IF($D243&lt;=AJ$4,"",IF(AND($D242=AJ$4,$D243&gt;AJ$4),$F242,AJ242))</f>
        <v/>
      </c>
      <c r="AK243" s="6" t="str">
        <f>IF($D243&lt;=AK$4,"",IF(AND($D242=AK$4,$D243&gt;AK$4),$F242,AK242))</f>
        <v/>
      </c>
      <c r="AL243" s="6" t="str">
        <f>IF($D243&lt;=AL$4,"",IF(AND($D242=AL$4,$D243&gt;AL$4),$F242,AL242))</f>
        <v/>
      </c>
      <c r="AM243" s="6" t="str">
        <f>IF($D243&lt;=AM$4,"",IF(AND($D242=AM$4,$D243&gt;AM$4),$F242,AM242))</f>
        <v/>
      </c>
      <c r="AN243" s="6" t="str">
        <f>IF($D243&lt;=AN$4,"",IF(AND($D242=AN$4,$D243&gt;AN$4),$F242,AN242))</f>
        <v/>
      </c>
      <c r="AO243" s="6" t="str">
        <f>CONCATENATE(AG243," | ",AH243," | ",AI243," | ",AJ243," | ",AK243," | ",AL243," | ",AM243," | ",AN243)</f>
        <v xml:space="preserve">90MB1BJ0-C1BAY0 | 59MB1BJB-MB0A02S |  |  |  |  |  | </v>
      </c>
      <c r="AP243" s="6">
        <f>IF(TRIM(H243)="",100,J243)</f>
        <v>100</v>
      </c>
      <c r="AQ243" s="4"/>
      <c r="AR243" s="6" t="b">
        <f>NOT(TRIM(W243)&lt;&gt;"F")</f>
        <v>1</v>
      </c>
      <c r="AS243" s="6" t="str">
        <f>$B243&amp;" | "&amp;$AO243&amp;" | "&amp;IF(TRIM(H243)="","uniq"&amp;ROW(),TRIM(H243))</f>
        <v>461E | 90MB1BJ0-C1BAY0 | 59MB1BJB-MB0A02S |  |  |  |  |  |  | 89</v>
      </c>
      <c r="AT243" s="63">
        <f>IF(NOT(AR243),IF(TRIM($H243)="","Assembly","Phantom Alt"),VLOOKUP(F243,ZPCS04!B:G,6,0))</f>
        <v>626</v>
      </c>
      <c r="AU243" s="7"/>
      <c r="AV243" s="38">
        <f ca="1">IF(TRIM($W243)="F",OFFSET($A$5,MATCH($AS243,$AS$5:$AS243,0)-1,0),$A243)</f>
        <v>242</v>
      </c>
      <c r="AW243" s="38">
        <f ca="1">IFERROR(OFFSET(ZPCS04!$A$1,MATCH(F243,ZPCS04!B:B,0)-1,0),100)</f>
        <v>2</v>
      </c>
      <c r="AX243" s="7"/>
      <c r="AY243" s="6" t="b">
        <f>SUMIF(AS:AS,AS243,AP:AP)=100</f>
        <v>1</v>
      </c>
      <c r="AZ243" s="6" t="b">
        <f>SUMIF(AS:AS,AS243,AE:AE)/COUNTIF(AS:AS,AS243)=AE243</f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>C243&amp;" | "&amp;F243</f>
        <v>90MB1BJ0-C1BAY0 | 10005-00587000</v>
      </c>
      <c r="BE243" s="55" t="str">
        <f ca="1">C243&amp;" | "&amp;OFFSET($AF243,0,8-COUNTBLANK($AG243:$AN243))</f>
        <v>90MB1BJ0-C1BAY0 | 59MB1BJB-MB0A02S</v>
      </c>
      <c r="BF243" s="57">
        <f ca="1">IFERROR(VLOOKUP($BE243,$BD$5:$BF242,3,0)*$AE243,VLOOKUP($C243,Demanda!$A:$B,2,0)*$AE243)*IF(AT243="Phantom Alt",$BC243,TRUE)</f>
        <v>3000</v>
      </c>
      <c r="BG243" s="57">
        <f ca="1">BF243*(AP243/100)</f>
        <v>3000</v>
      </c>
      <c r="BH243" s="57">
        <f>SUMIF(Invoice!A:A,F243,Invoice!B:B)</f>
        <v>0</v>
      </c>
      <c r="BI243" s="57">
        <f ca="1">SUMIF(AS:AS,AS243,BG:BG)</f>
        <v>3000</v>
      </c>
      <c r="BJ243" s="57">
        <f ca="1">MIN((BI243-SUMIF($AS$5:AS242,AS243,$BJ$5:BJ242)),MAX(0,BH243-SUMIF($F$5:F242,F243,$BJ$5:BJ242)))</f>
        <v>0</v>
      </c>
      <c r="BK243" s="57">
        <f ca="1">(-SUMIF(AS:AS,AS243,BG:BG)+SUMIF(AS:AS,AS243,BJ:BJ))*(AP243=100)*AR243</f>
        <v>0</v>
      </c>
      <c r="BL243" s="57">
        <f ca="1">MAX(0,SUMIF(Invoice!A:A,F243,Invoice!B:B)-SUMIF(F:F,F243,BJ:BJ))*(COUNTIF(F:F,F243)=COUNTIF($F$5:F243,F243))</f>
        <v>0</v>
      </c>
    </row>
    <row r="244" spans="1:64" hidden="1">
      <c r="A244" s="43">
        <v>244</v>
      </c>
      <c r="B244" s="35" t="s">
        <v>147</v>
      </c>
      <c r="C244" s="35" t="s">
        <v>146</v>
      </c>
      <c r="D244" s="35">
        <v>2</v>
      </c>
      <c r="E244" s="35">
        <v>900</v>
      </c>
      <c r="F244" s="64" t="s">
        <v>656</v>
      </c>
      <c r="G244" s="73" t="s">
        <v>657</v>
      </c>
      <c r="H244" s="35"/>
      <c r="I244" s="35" t="s">
        <v>54</v>
      </c>
      <c r="J244" s="35">
        <v>0</v>
      </c>
      <c r="K244" s="35" t="s">
        <v>150</v>
      </c>
      <c r="L244" s="35" t="s">
        <v>53</v>
      </c>
      <c r="M244" s="35">
        <v>1</v>
      </c>
      <c r="N244" s="35">
        <v>1</v>
      </c>
      <c r="O244" s="35">
        <v>1</v>
      </c>
      <c r="P244" s="35"/>
      <c r="Q244" s="35"/>
      <c r="R244" s="35" t="s">
        <v>73</v>
      </c>
      <c r="S244" s="35" t="s">
        <v>73</v>
      </c>
      <c r="T244" s="36">
        <v>44901</v>
      </c>
      <c r="U244" s="36">
        <v>2958465</v>
      </c>
      <c r="V244" s="35" t="s">
        <v>282</v>
      </c>
      <c r="W244" s="35" t="s">
        <v>145</v>
      </c>
      <c r="X244" s="35"/>
      <c r="Y244" s="35" t="s">
        <v>143</v>
      </c>
      <c r="Z244" s="35">
        <v>7589154</v>
      </c>
      <c r="AA244" s="35">
        <v>376</v>
      </c>
      <c r="AB244" s="35">
        <v>188</v>
      </c>
      <c r="AC244" s="35"/>
      <c r="AE244" s="51">
        <f>M244/O244</f>
        <v>1</v>
      </c>
      <c r="AG244" s="6" t="str">
        <f>C244</f>
        <v>90MB1BJ0-C1BAY0</v>
      </c>
      <c r="AH244" s="6" t="str">
        <f>IF($D244&lt;=AH$4,"",IF(AND($D243=AH$4,$D244&gt;AH$4),$F243,AH243))</f>
        <v>59MB1BJB-MB0A02S</v>
      </c>
      <c r="AI244" s="6" t="str">
        <f>IF($D244&lt;=AI$4,"",IF(AND($D243=AI$4,$D244&gt;AI$4),$F243,AI243))</f>
        <v/>
      </c>
      <c r="AJ244" s="6" t="str">
        <f>IF($D244&lt;=AJ$4,"",IF(AND($D243=AJ$4,$D244&gt;AJ$4),$F243,AJ243))</f>
        <v/>
      </c>
      <c r="AK244" s="6" t="str">
        <f>IF($D244&lt;=AK$4,"",IF(AND($D243=AK$4,$D244&gt;AK$4),$F243,AK243))</f>
        <v/>
      </c>
      <c r="AL244" s="6" t="str">
        <f>IF($D244&lt;=AL$4,"",IF(AND($D243=AL$4,$D244&gt;AL$4),$F243,AL243))</f>
        <v/>
      </c>
      <c r="AM244" s="6" t="str">
        <f>IF($D244&lt;=AM$4,"",IF(AND($D243=AM$4,$D244&gt;AM$4),$F243,AM243))</f>
        <v/>
      </c>
      <c r="AN244" s="6" t="str">
        <f>IF($D244&lt;=AN$4,"",IF(AND($D243=AN$4,$D244&gt;AN$4),$F243,AN243))</f>
        <v/>
      </c>
      <c r="AO244" s="6" t="str">
        <f>CONCATENATE(AG244," | ",AH244," | ",AI244," | ",AJ244," | ",AK244," | ",AL244," | ",AM244," | ",AN244)</f>
        <v xml:space="preserve">90MB1BJ0-C1BAY0 | 59MB1BJB-MB0A02S |  |  |  |  |  | </v>
      </c>
      <c r="AP244" s="6">
        <f>IF(TRIM(H244)="",100,J244)</f>
        <v>100</v>
      </c>
      <c r="AQ244" s="4"/>
      <c r="AR244" s="6" t="b">
        <f>NOT(TRIM(W244)&lt;&gt;"F")</f>
        <v>1</v>
      </c>
      <c r="AS244" s="6" t="str">
        <f>$B244&amp;" | "&amp;$AO244&amp;" | "&amp;IF(TRIM(H244)="","uniq"&amp;ROW(),TRIM(H244))</f>
        <v>461E | 90MB1BJ0-C1BAY0 | 59MB1BJB-MB0A02S |  |  |  |  |  |  | uniq244</v>
      </c>
      <c r="AT244" s="63">
        <f>IF(NOT(AR244),IF(TRIM($H244)="","Assembly","Phantom Alt"),VLOOKUP(F244,ZPCS04!B:G,6,0))</f>
        <v>109</v>
      </c>
      <c r="AU244" s="7"/>
      <c r="AV244" s="38">
        <f ca="1">IF(TRIM($W244)="F",OFFSET($A$5,MATCH($AS244,$AS$5:$AS244,0)-1,0),$A244)</f>
        <v>244</v>
      </c>
      <c r="AW244" s="38">
        <f ca="1">IFERROR(OFFSET(ZPCS04!$A$1,MATCH(F244,ZPCS04!B:B,0)-1,0),100)</f>
        <v>1.9999999499999999</v>
      </c>
      <c r="AX244" s="7"/>
      <c r="AY244" s="6" t="b">
        <f>SUMIF(AS:AS,AS244,AP:AP)=100</f>
        <v>1</v>
      </c>
      <c r="AZ244" s="6" t="b">
        <f>SUMIF(AS:AS,AS244,AE:AE)/COUNTIF(AS:AS,AS244)=AE244</f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>C244&amp;" | "&amp;F244</f>
        <v>90MB1BJ0-C1BAY0 | 10005-00647000</v>
      </c>
      <c r="BE244" s="55" t="str">
        <f ca="1">C244&amp;" | "&amp;OFFSET($AF244,0,8-COUNTBLANK($AG244:$AN244))</f>
        <v>90MB1BJ0-C1BAY0 | 59MB1BJB-MB0A02S</v>
      </c>
      <c r="BF244" s="57">
        <f ca="1">IFERROR(VLOOKUP($BE244,$BD$5:$BF243,3,0)*$AE244,VLOOKUP($C244,Demanda!$A:$B,2,0)*$AE244)*IF(AT244="Phantom Alt",$BC244,TRUE)</f>
        <v>1000</v>
      </c>
      <c r="BG244" s="57">
        <f ca="1">BF244*(AP244/100)</f>
        <v>1000</v>
      </c>
      <c r="BH244" s="57">
        <f>SUMIF(Invoice!A:A,F244,Invoice!B:B)</f>
        <v>5000</v>
      </c>
      <c r="BI244" s="57">
        <f ca="1">SUMIF(AS:AS,AS244,BG:BG)</f>
        <v>1000</v>
      </c>
      <c r="BJ244" s="57">
        <f ca="1">MIN((BI244-SUMIF($AS$5:AS243,AS244,$BJ$5:BJ243)),MAX(0,BH244-SUMIF($F$5:F243,F244,$BJ$5:BJ243)))</f>
        <v>1000</v>
      </c>
      <c r="BK244" s="57">
        <f ca="1">(-SUMIF(AS:AS,AS244,BG:BG)+SUMIF(AS:AS,AS244,BJ:BJ))*(AP244=100)*AR244</f>
        <v>0</v>
      </c>
      <c r="BL244" s="57">
        <f ca="1">MAX(0,SUMIF(Invoice!A:A,F244,Invoice!B:B)-SUMIF(F:F,F244,BJ:BJ))*(COUNTIF(F:F,F244)=COUNTIF($F$5:F244,F244))</f>
        <v>4000</v>
      </c>
    </row>
    <row r="245" spans="1:64" hidden="1">
      <c r="A245" s="43">
        <v>245</v>
      </c>
      <c r="B245" s="35" t="s">
        <v>147</v>
      </c>
      <c r="C245" s="35" t="s">
        <v>146</v>
      </c>
      <c r="D245" s="35">
        <v>2</v>
      </c>
      <c r="E245" s="35">
        <v>910</v>
      </c>
      <c r="F245" s="64" t="s">
        <v>658</v>
      </c>
      <c r="G245" s="73" t="s">
        <v>659</v>
      </c>
      <c r="H245" s="35">
        <v>91</v>
      </c>
      <c r="I245" s="35" t="s">
        <v>55</v>
      </c>
      <c r="J245" s="35">
        <v>0</v>
      </c>
      <c r="K245" s="35" t="s">
        <v>150</v>
      </c>
      <c r="L245" s="35" t="s">
        <v>53</v>
      </c>
      <c r="M245" s="35">
        <v>3</v>
      </c>
      <c r="N245" s="35"/>
      <c r="O245" s="35">
        <v>1</v>
      </c>
      <c r="P245" s="35">
        <v>2</v>
      </c>
      <c r="Q245" s="35">
        <v>2</v>
      </c>
      <c r="R245" s="35" t="s">
        <v>73</v>
      </c>
      <c r="S245" s="35" t="s">
        <v>73</v>
      </c>
      <c r="T245" s="36">
        <v>44901</v>
      </c>
      <c r="U245" s="36">
        <v>2958465</v>
      </c>
      <c r="V245" s="35" t="s">
        <v>282</v>
      </c>
      <c r="W245" s="35" t="s">
        <v>145</v>
      </c>
      <c r="X245" s="35"/>
      <c r="Y245" s="35" t="s">
        <v>143</v>
      </c>
      <c r="Z245" s="35">
        <v>7589154</v>
      </c>
      <c r="AA245" s="35">
        <v>380</v>
      </c>
      <c r="AB245" s="35">
        <v>190</v>
      </c>
      <c r="AC245" s="35"/>
      <c r="AE245" s="51">
        <f>M245/O245</f>
        <v>3</v>
      </c>
      <c r="AG245" s="6" t="str">
        <f>C245</f>
        <v>90MB1BJ0-C1BAY0</v>
      </c>
      <c r="AH245" s="6" t="str">
        <f>IF($D245&lt;=AH$4,"",IF(AND($D244=AH$4,$D245&gt;AH$4),$F244,AH244))</f>
        <v>59MB1BJB-MB0A02S</v>
      </c>
      <c r="AI245" s="6" t="str">
        <f>IF($D245&lt;=AI$4,"",IF(AND($D244=AI$4,$D245&gt;AI$4),$F244,AI244))</f>
        <v/>
      </c>
      <c r="AJ245" s="6" t="str">
        <f>IF($D245&lt;=AJ$4,"",IF(AND($D244=AJ$4,$D245&gt;AJ$4),$F244,AJ244))</f>
        <v/>
      </c>
      <c r="AK245" s="6" t="str">
        <f>IF($D245&lt;=AK$4,"",IF(AND($D244=AK$4,$D245&gt;AK$4),$F244,AK244))</f>
        <v/>
      </c>
      <c r="AL245" s="6" t="str">
        <f>IF($D245&lt;=AL$4,"",IF(AND($D244=AL$4,$D245&gt;AL$4),$F244,AL244))</f>
        <v/>
      </c>
      <c r="AM245" s="6" t="str">
        <f>IF($D245&lt;=AM$4,"",IF(AND($D244=AM$4,$D245&gt;AM$4),$F244,AM244))</f>
        <v/>
      </c>
      <c r="AN245" s="6" t="str">
        <f>IF($D245&lt;=AN$4,"",IF(AND($D244=AN$4,$D245&gt;AN$4),$F244,AN244))</f>
        <v/>
      </c>
      <c r="AO245" s="6" t="str">
        <f>CONCATENATE(AG245," | ",AH245," | ",AI245," | ",AJ245," | ",AK245," | ",AL245," | ",AM245," | ",AN245)</f>
        <v xml:space="preserve">90MB1BJ0-C1BAY0 | 59MB1BJB-MB0A02S |  |  |  |  |  | </v>
      </c>
      <c r="AP245" s="6">
        <f>IF(TRIM(H245)="",100,J245)</f>
        <v>0</v>
      </c>
      <c r="AQ245" s="4"/>
      <c r="AR245" s="6" t="b">
        <f>NOT(TRIM(W245)&lt;&gt;"F")</f>
        <v>1</v>
      </c>
      <c r="AS245" s="6" t="str">
        <f>$B245&amp;" | "&amp;$AO245&amp;" | "&amp;IF(TRIM(H245)="","uniq"&amp;ROW(),TRIM(H245))</f>
        <v>461E | 90MB1BJ0-C1BAY0 | 59MB1BJB-MB0A02S |  |  |  |  |  |  | 91</v>
      </c>
      <c r="AT245" s="63">
        <f>IF(NOT(AR245),IF(TRIM($H245)="","Assembly","Phantom Alt"),VLOOKUP(F245,ZPCS04!B:G,6,0))</f>
        <v>627</v>
      </c>
      <c r="AU245" s="7"/>
      <c r="AV245" s="38">
        <f ca="1">IF(TRIM($W245)="F",OFFSET($A$5,MATCH($AS245,$AS$5:$AS245,0)-1,0),$A245)</f>
        <v>245</v>
      </c>
      <c r="AW245" s="38">
        <f ca="1">IFERROR(OFFSET(ZPCS04!$A$1,MATCH(F245,ZPCS04!B:B,0)-1,0),100)</f>
        <v>1.9999999499999999</v>
      </c>
      <c r="AX245" s="7"/>
      <c r="AY245" s="6" t="b">
        <f>SUMIF(AS:AS,AS245,AP:AP)=100</f>
        <v>1</v>
      </c>
      <c r="AZ245" s="6" t="b">
        <f>SUMIF(AS:AS,AS245,AE:AE)/COUNTIF(AS:AS,AS245)=AE245</f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>C245&amp;" | "&amp;F245</f>
        <v>90MB1BJ0-C1BAY0 | 10005-00651000</v>
      </c>
      <c r="BE245" s="55" t="str">
        <f ca="1">C245&amp;" | "&amp;OFFSET($AF245,0,8-COUNTBLANK($AG245:$AN245))</f>
        <v>90MB1BJ0-C1BAY0 | 59MB1BJB-MB0A02S</v>
      </c>
      <c r="BF245" s="57">
        <f ca="1">IFERROR(VLOOKUP($BE245,$BD$5:$BF244,3,0)*$AE245,VLOOKUP($C245,Demanda!$A:$B,2,0)*$AE245)*IF(AT245="Phantom Alt",$BC245,TRUE)</f>
        <v>3000</v>
      </c>
      <c r="BG245" s="57">
        <f ca="1">BF245*(AP245/100)</f>
        <v>0</v>
      </c>
      <c r="BH245" s="57">
        <f>SUMIF(Invoice!A:A,F245,Invoice!B:B)</f>
        <v>5000</v>
      </c>
      <c r="BI245" s="57">
        <f ca="1">SUMIF(AS:AS,AS245,BG:BG)</f>
        <v>3000</v>
      </c>
      <c r="BJ245" s="57">
        <f ca="1">MIN((BI245-SUMIF($AS$5:AS244,AS245,$BJ$5:BJ244)),MAX(0,BH245-SUMIF($F$5:F244,F245,$BJ$5:BJ244)))</f>
        <v>3000</v>
      </c>
      <c r="BK245" s="57">
        <f ca="1">(-SUMIF(AS:AS,AS245,BG:BG)+SUMIF(AS:AS,AS245,BJ:BJ))*(AP245=100)*AR245</f>
        <v>0</v>
      </c>
      <c r="BL245" s="57">
        <f ca="1">MAX(0,SUMIF(Invoice!A:A,F245,Invoice!B:B)-SUMIF(F:F,F245,BJ:BJ))*(COUNTIF(F:F,F245)=COUNTIF($F$5:F245,F245))</f>
        <v>2000</v>
      </c>
    </row>
    <row r="246" spans="1:64" hidden="1">
      <c r="A246" s="43">
        <v>246</v>
      </c>
      <c r="B246" s="35" t="s">
        <v>147</v>
      </c>
      <c r="C246" s="35" t="s">
        <v>146</v>
      </c>
      <c r="D246" s="35">
        <v>2</v>
      </c>
      <c r="E246" s="35">
        <v>910</v>
      </c>
      <c r="F246" s="64" t="s">
        <v>660</v>
      </c>
      <c r="G246" s="73" t="s">
        <v>661</v>
      </c>
      <c r="H246" s="35">
        <v>91</v>
      </c>
      <c r="I246" s="35" t="s">
        <v>54</v>
      </c>
      <c r="J246" s="35">
        <v>100</v>
      </c>
      <c r="K246" s="35" t="s">
        <v>150</v>
      </c>
      <c r="L246" s="35" t="s">
        <v>53</v>
      </c>
      <c r="M246" s="35">
        <v>3</v>
      </c>
      <c r="N246" s="35">
        <v>3</v>
      </c>
      <c r="O246" s="35">
        <v>1</v>
      </c>
      <c r="P246" s="35">
        <v>2</v>
      </c>
      <c r="Q246" s="35">
        <v>1</v>
      </c>
      <c r="R246" s="35" t="s">
        <v>73</v>
      </c>
      <c r="S246" s="35" t="s">
        <v>73</v>
      </c>
      <c r="T246" s="36">
        <v>44901</v>
      </c>
      <c r="U246" s="36">
        <v>2958465</v>
      </c>
      <c r="V246" s="35" t="s">
        <v>282</v>
      </c>
      <c r="W246" s="35" t="s">
        <v>145</v>
      </c>
      <c r="X246" s="35"/>
      <c r="Y246" s="35" t="s">
        <v>143</v>
      </c>
      <c r="Z246" s="35">
        <v>7589154</v>
      </c>
      <c r="AA246" s="35">
        <v>378</v>
      </c>
      <c r="AB246" s="35">
        <v>189</v>
      </c>
      <c r="AC246" s="35"/>
      <c r="AE246" s="51">
        <f>M246/O246</f>
        <v>3</v>
      </c>
      <c r="AG246" s="6" t="str">
        <f>C246</f>
        <v>90MB1BJ0-C1BAY0</v>
      </c>
      <c r="AH246" s="6" t="str">
        <f>IF($D246&lt;=AH$4,"",IF(AND($D245=AH$4,$D246&gt;AH$4),$F245,AH245))</f>
        <v>59MB1BJB-MB0A02S</v>
      </c>
      <c r="AI246" s="6" t="str">
        <f>IF($D246&lt;=AI$4,"",IF(AND($D245=AI$4,$D246&gt;AI$4),$F245,AI245))</f>
        <v/>
      </c>
      <c r="AJ246" s="6" t="str">
        <f>IF($D246&lt;=AJ$4,"",IF(AND($D245=AJ$4,$D246&gt;AJ$4),$F245,AJ245))</f>
        <v/>
      </c>
      <c r="AK246" s="6" t="str">
        <f>IF($D246&lt;=AK$4,"",IF(AND($D245=AK$4,$D246&gt;AK$4),$F245,AK245))</f>
        <v/>
      </c>
      <c r="AL246" s="6" t="str">
        <f>IF($D246&lt;=AL$4,"",IF(AND($D245=AL$4,$D246&gt;AL$4),$F245,AL245))</f>
        <v/>
      </c>
      <c r="AM246" s="6" t="str">
        <f>IF($D246&lt;=AM$4,"",IF(AND($D245=AM$4,$D246&gt;AM$4),$F245,AM245))</f>
        <v/>
      </c>
      <c r="AN246" s="6" t="str">
        <f>IF($D246&lt;=AN$4,"",IF(AND($D245=AN$4,$D246&gt;AN$4),$F245,AN245))</f>
        <v/>
      </c>
      <c r="AO246" s="6" t="str">
        <f>CONCATENATE(AG246," | ",AH246," | ",AI246," | ",AJ246," | ",AK246," | ",AL246," | ",AM246," | ",AN246)</f>
        <v xml:space="preserve">90MB1BJ0-C1BAY0 | 59MB1BJB-MB0A02S |  |  |  |  |  | </v>
      </c>
      <c r="AP246" s="6">
        <f>IF(TRIM(H246)="",100,J246)</f>
        <v>100</v>
      </c>
      <c r="AQ246" s="4"/>
      <c r="AR246" s="6" t="b">
        <f>NOT(TRIM(W246)&lt;&gt;"F")</f>
        <v>1</v>
      </c>
      <c r="AS246" s="6" t="str">
        <f>$B246&amp;" | "&amp;$AO246&amp;" | "&amp;IF(TRIM(H246)="","uniq"&amp;ROW(),TRIM(H246))</f>
        <v>461E | 90MB1BJ0-C1BAY0 | 59MB1BJB-MB0A02S |  |  |  |  |  |  | 91</v>
      </c>
      <c r="AT246" s="63">
        <f>IF(NOT(AR246),IF(TRIM($H246)="","Assembly","Phantom Alt"),VLOOKUP(F246,ZPCS04!B:G,6,0))</f>
        <v>627</v>
      </c>
      <c r="AU246" s="7"/>
      <c r="AV246" s="38">
        <f ca="1">IF(TRIM($W246)="F",OFFSET($A$5,MATCH($AS246,$AS$5:$AS246,0)-1,0),$A246)</f>
        <v>245</v>
      </c>
      <c r="AW246" s="38">
        <f ca="1">IFERROR(OFFSET(ZPCS04!$A$1,MATCH(F246,ZPCS04!B:B,0)-1,0),100)</f>
        <v>2</v>
      </c>
      <c r="AX246" s="7"/>
      <c r="AY246" s="6" t="b">
        <f>SUMIF(AS:AS,AS246,AP:AP)=100</f>
        <v>1</v>
      </c>
      <c r="AZ246" s="6" t="b">
        <f>SUMIF(AS:AS,AS246,AE:AE)/COUNTIF(AS:AS,AS246)=AE246</f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>C246&amp;" | "&amp;F246</f>
        <v>90MB1BJ0-C1BAY0 | 10005-00657000</v>
      </c>
      <c r="BE246" s="55" t="str">
        <f ca="1">C246&amp;" | "&amp;OFFSET($AF246,0,8-COUNTBLANK($AG246:$AN246))</f>
        <v>90MB1BJ0-C1BAY0 | 59MB1BJB-MB0A02S</v>
      </c>
      <c r="BF246" s="57">
        <f ca="1">IFERROR(VLOOKUP($BE246,$BD$5:$BF245,3,0)*$AE246,VLOOKUP($C246,Demanda!$A:$B,2,0)*$AE246)*IF(AT246="Phantom Alt",$BC246,TRUE)</f>
        <v>3000</v>
      </c>
      <c r="BG246" s="57">
        <f ca="1">BF246*(AP246/100)</f>
        <v>3000</v>
      </c>
      <c r="BH246" s="57">
        <f>SUMIF(Invoice!A:A,F246,Invoice!B:B)</f>
        <v>0</v>
      </c>
      <c r="BI246" s="57">
        <f ca="1">SUMIF(AS:AS,AS246,BG:BG)</f>
        <v>3000</v>
      </c>
      <c r="BJ246" s="57">
        <f ca="1">MIN((BI246-SUMIF($AS$5:AS245,AS246,$BJ$5:BJ245)),MAX(0,BH246-SUMIF($F$5:F245,F246,$BJ$5:BJ245)))</f>
        <v>0</v>
      </c>
      <c r="BK246" s="57">
        <f ca="1">(-SUMIF(AS:AS,AS246,BG:BG)+SUMIF(AS:AS,AS246,BJ:BJ))*(AP246=100)*AR246</f>
        <v>0</v>
      </c>
      <c r="BL246" s="57">
        <f ca="1">MAX(0,SUMIF(Invoice!A:A,F246,Invoice!B:B)-SUMIF(F:F,F246,BJ:BJ))*(COUNTIF(F:F,F246)=COUNTIF($F$5:F246,F246))</f>
        <v>0</v>
      </c>
    </row>
    <row r="247" spans="1:64" hidden="1">
      <c r="A247" s="43">
        <v>247</v>
      </c>
      <c r="B247" s="35" t="s">
        <v>147</v>
      </c>
      <c r="C247" s="35" t="s">
        <v>146</v>
      </c>
      <c r="D247" s="35">
        <v>2</v>
      </c>
      <c r="E247" s="35">
        <v>920</v>
      </c>
      <c r="F247" s="64" t="s">
        <v>662</v>
      </c>
      <c r="G247" s="73" t="s">
        <v>663</v>
      </c>
      <c r="H247" s="35"/>
      <c r="I247" s="35" t="s">
        <v>54</v>
      </c>
      <c r="J247" s="35">
        <v>0</v>
      </c>
      <c r="K247" s="35" t="s">
        <v>150</v>
      </c>
      <c r="L247" s="35" t="s">
        <v>53</v>
      </c>
      <c r="M247" s="35">
        <v>1</v>
      </c>
      <c r="N247" s="35">
        <v>1</v>
      </c>
      <c r="O247" s="35">
        <v>1</v>
      </c>
      <c r="P247" s="35"/>
      <c r="Q247" s="35"/>
      <c r="R247" s="35" t="s">
        <v>73</v>
      </c>
      <c r="S247" s="35" t="s">
        <v>73</v>
      </c>
      <c r="T247" s="36">
        <v>44901</v>
      </c>
      <c r="U247" s="36">
        <v>2958465</v>
      </c>
      <c r="V247" s="35" t="s">
        <v>282</v>
      </c>
      <c r="W247" s="35" t="s">
        <v>145</v>
      </c>
      <c r="X247" s="35"/>
      <c r="Y247" s="35" t="s">
        <v>143</v>
      </c>
      <c r="Z247" s="35">
        <v>7589154</v>
      </c>
      <c r="AA247" s="35">
        <v>382</v>
      </c>
      <c r="AB247" s="35">
        <v>191</v>
      </c>
      <c r="AC247" s="35"/>
      <c r="AE247" s="51">
        <f>M247/O247</f>
        <v>1</v>
      </c>
      <c r="AG247" s="6" t="str">
        <f>C247</f>
        <v>90MB1BJ0-C1BAY0</v>
      </c>
      <c r="AH247" s="6" t="str">
        <f>IF($D247&lt;=AH$4,"",IF(AND($D246=AH$4,$D247&gt;AH$4),$F246,AH246))</f>
        <v>59MB1BJB-MB0A02S</v>
      </c>
      <c r="AI247" s="6" t="str">
        <f>IF($D247&lt;=AI$4,"",IF(AND($D246=AI$4,$D247&gt;AI$4),$F246,AI246))</f>
        <v/>
      </c>
      <c r="AJ247" s="6" t="str">
        <f>IF($D247&lt;=AJ$4,"",IF(AND($D246=AJ$4,$D247&gt;AJ$4),$F246,AJ246))</f>
        <v/>
      </c>
      <c r="AK247" s="6" t="str">
        <f>IF($D247&lt;=AK$4,"",IF(AND($D246=AK$4,$D247&gt;AK$4),$F246,AK246))</f>
        <v/>
      </c>
      <c r="AL247" s="6" t="str">
        <f>IF($D247&lt;=AL$4,"",IF(AND($D246=AL$4,$D247&gt;AL$4),$F246,AL246))</f>
        <v/>
      </c>
      <c r="AM247" s="6" t="str">
        <f>IF($D247&lt;=AM$4,"",IF(AND($D246=AM$4,$D247&gt;AM$4),$F246,AM246))</f>
        <v/>
      </c>
      <c r="AN247" s="6" t="str">
        <f>IF($D247&lt;=AN$4,"",IF(AND($D246=AN$4,$D247&gt;AN$4),$F246,AN246))</f>
        <v/>
      </c>
      <c r="AO247" s="6" t="str">
        <f>CONCATENATE(AG247," | ",AH247," | ",AI247," | ",AJ247," | ",AK247," | ",AL247," | ",AM247," | ",AN247)</f>
        <v xml:space="preserve">90MB1BJ0-C1BAY0 | 59MB1BJB-MB0A02S |  |  |  |  |  | </v>
      </c>
      <c r="AP247" s="6">
        <f>IF(TRIM(H247)="",100,J247)</f>
        <v>100</v>
      </c>
      <c r="AQ247" s="4"/>
      <c r="AR247" s="6" t="b">
        <f>NOT(TRIM(W247)&lt;&gt;"F")</f>
        <v>1</v>
      </c>
      <c r="AS247" s="6" t="str">
        <f>$B247&amp;" | "&amp;$AO247&amp;" | "&amp;IF(TRIM(H247)="","uniq"&amp;ROW(),TRIM(H247))</f>
        <v>461E | 90MB1BJ0-C1BAY0 | 59MB1BJB-MB0A02S |  |  |  |  |  |  | uniq247</v>
      </c>
      <c r="AT247" s="63">
        <f>IF(NOT(AR247),IF(TRIM($H247)="","Assembly","Phantom Alt"),VLOOKUP(F247,ZPCS04!B:G,6,0))</f>
        <v>110</v>
      </c>
      <c r="AU247" s="7"/>
      <c r="AV247" s="38">
        <f ca="1">IF(TRIM($W247)="F",OFFSET($A$5,MATCH($AS247,$AS$5:$AS247,0)-1,0),$A247)</f>
        <v>247</v>
      </c>
      <c r="AW247" s="38">
        <f ca="1">IFERROR(OFFSET(ZPCS04!$A$1,MATCH(F247,ZPCS04!B:B,0)-1,0),100)</f>
        <v>1.9999999499999999</v>
      </c>
      <c r="AX247" s="7"/>
      <c r="AY247" s="6" t="b">
        <f>SUMIF(AS:AS,AS247,AP:AP)=100</f>
        <v>1</v>
      </c>
      <c r="AZ247" s="6" t="b">
        <f>SUMIF(AS:AS,AS247,AE:AE)/COUNTIF(AS:AS,AS247)=AE247</f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>C247&amp;" | "&amp;F247</f>
        <v>90MB1BJ0-C1BAY0 | 10005-02401000</v>
      </c>
      <c r="BE247" s="55" t="str">
        <f ca="1">C247&amp;" | "&amp;OFFSET($AF247,0,8-COUNTBLANK($AG247:$AN247))</f>
        <v>90MB1BJ0-C1BAY0 | 59MB1BJB-MB0A02S</v>
      </c>
      <c r="BF247" s="57">
        <f ca="1">IFERROR(VLOOKUP($BE247,$BD$5:$BF246,3,0)*$AE247,VLOOKUP($C247,Demanda!$A:$B,2,0)*$AE247)*IF(AT247="Phantom Alt",$BC247,TRUE)</f>
        <v>1000</v>
      </c>
      <c r="BG247" s="57">
        <f ca="1">BF247*(AP247/100)</f>
        <v>1000</v>
      </c>
      <c r="BH247" s="57">
        <f>SUMIF(Invoice!A:A,F247,Invoice!B:B)</f>
        <v>5000</v>
      </c>
      <c r="BI247" s="57">
        <f ca="1">SUMIF(AS:AS,AS247,BG:BG)</f>
        <v>1000</v>
      </c>
      <c r="BJ247" s="57">
        <f ca="1">MIN((BI247-SUMIF($AS$5:AS246,AS247,$BJ$5:BJ246)),MAX(0,BH247-SUMIF($F$5:F246,F247,$BJ$5:BJ246)))</f>
        <v>1000</v>
      </c>
      <c r="BK247" s="57">
        <f ca="1">(-SUMIF(AS:AS,AS247,BG:BG)+SUMIF(AS:AS,AS247,BJ:BJ))*(AP247=100)*AR247</f>
        <v>0</v>
      </c>
      <c r="BL247" s="57">
        <f ca="1">MAX(0,SUMIF(Invoice!A:A,F247,Invoice!B:B)-SUMIF(F:F,F247,BJ:BJ))*(COUNTIF(F:F,F247)=COUNTIF($F$5:F247,F247))</f>
        <v>4000</v>
      </c>
    </row>
    <row r="248" spans="1:64" hidden="1">
      <c r="A248" s="43">
        <v>248</v>
      </c>
      <c r="B248" s="35" t="s">
        <v>147</v>
      </c>
      <c r="C248" s="35" t="s">
        <v>146</v>
      </c>
      <c r="D248" s="35">
        <v>2</v>
      </c>
      <c r="E248" s="35">
        <v>930</v>
      </c>
      <c r="F248" s="64" t="s">
        <v>664</v>
      </c>
      <c r="G248" s="73" t="s">
        <v>665</v>
      </c>
      <c r="H248" s="35">
        <v>93</v>
      </c>
      <c r="I248" s="35" t="s">
        <v>54</v>
      </c>
      <c r="J248" s="35">
        <v>100</v>
      </c>
      <c r="K248" s="35" t="s">
        <v>150</v>
      </c>
      <c r="L248" s="35" t="s">
        <v>53</v>
      </c>
      <c r="M248" s="35">
        <v>2</v>
      </c>
      <c r="N248" s="35">
        <v>2</v>
      </c>
      <c r="O248" s="35">
        <v>1</v>
      </c>
      <c r="P248" s="35">
        <v>2</v>
      </c>
      <c r="Q248" s="35">
        <v>1</v>
      </c>
      <c r="R248" s="35" t="s">
        <v>73</v>
      </c>
      <c r="S248" s="35" t="s">
        <v>73</v>
      </c>
      <c r="T248" s="36">
        <v>44901</v>
      </c>
      <c r="U248" s="36">
        <v>2958465</v>
      </c>
      <c r="V248" s="35" t="s">
        <v>282</v>
      </c>
      <c r="W248" s="35" t="s">
        <v>145</v>
      </c>
      <c r="X248" s="35"/>
      <c r="Y248" s="35" t="s">
        <v>143</v>
      </c>
      <c r="Z248" s="35">
        <v>7589154</v>
      </c>
      <c r="AA248" s="35">
        <v>384</v>
      </c>
      <c r="AB248" s="35">
        <v>192</v>
      </c>
      <c r="AC248" s="35"/>
      <c r="AE248" s="51">
        <f>M248/O248</f>
        <v>2</v>
      </c>
      <c r="AG248" s="6" t="str">
        <f>C248</f>
        <v>90MB1BJ0-C1BAY0</v>
      </c>
      <c r="AH248" s="6" t="str">
        <f>IF($D248&lt;=AH$4,"",IF(AND($D247=AH$4,$D248&gt;AH$4),$F247,AH247))</f>
        <v>59MB1BJB-MB0A02S</v>
      </c>
      <c r="AI248" s="6" t="str">
        <f>IF($D248&lt;=AI$4,"",IF(AND($D247=AI$4,$D248&gt;AI$4),$F247,AI247))</f>
        <v/>
      </c>
      <c r="AJ248" s="6" t="str">
        <f>IF($D248&lt;=AJ$4,"",IF(AND($D247=AJ$4,$D248&gt;AJ$4),$F247,AJ247))</f>
        <v/>
      </c>
      <c r="AK248" s="6" t="str">
        <f>IF($D248&lt;=AK$4,"",IF(AND($D247=AK$4,$D248&gt;AK$4),$F247,AK247))</f>
        <v/>
      </c>
      <c r="AL248" s="6" t="str">
        <f>IF($D248&lt;=AL$4,"",IF(AND($D247=AL$4,$D248&gt;AL$4),$F247,AL247))</f>
        <v/>
      </c>
      <c r="AM248" s="6" t="str">
        <f>IF($D248&lt;=AM$4,"",IF(AND($D247=AM$4,$D248&gt;AM$4),$F247,AM247))</f>
        <v/>
      </c>
      <c r="AN248" s="6" t="str">
        <f>IF($D248&lt;=AN$4,"",IF(AND($D247=AN$4,$D248&gt;AN$4),$F247,AN247))</f>
        <v/>
      </c>
      <c r="AO248" s="6" t="str">
        <f>CONCATENATE(AG248," | ",AH248," | ",AI248," | ",AJ248," | ",AK248," | ",AL248," | ",AM248," | ",AN248)</f>
        <v xml:space="preserve">90MB1BJ0-C1BAY0 | 59MB1BJB-MB0A02S |  |  |  |  |  | </v>
      </c>
      <c r="AP248" s="6">
        <f>IF(TRIM(H248)="",100,J248)</f>
        <v>100</v>
      </c>
      <c r="AQ248" s="4"/>
      <c r="AR248" s="6" t="b">
        <f>NOT(TRIM(W248)&lt;&gt;"F")</f>
        <v>1</v>
      </c>
      <c r="AS248" s="6" t="str">
        <f>$B248&amp;" | "&amp;$AO248&amp;" | "&amp;IF(TRIM(H248)="","uniq"&amp;ROW(),TRIM(H248))</f>
        <v>461E | 90MB1BJ0-C1BAY0 | 59MB1BJB-MB0A02S |  |  |  |  |  |  | 93</v>
      </c>
      <c r="AT248" s="63">
        <f>IF(NOT(AR248),IF(TRIM($H248)="","Assembly","Phantom Alt"),VLOOKUP(F248,ZPCS04!B:G,6,0))</f>
        <v>634</v>
      </c>
      <c r="AU248" s="7"/>
      <c r="AV248" s="38">
        <f ca="1">IF(TRIM($W248)="F",OFFSET($A$5,MATCH($AS248,$AS$5:$AS248,0)-1,0),$A248)</f>
        <v>248</v>
      </c>
      <c r="AW248" s="38">
        <f ca="1">IFERROR(OFFSET(ZPCS04!$A$1,MATCH(F248,ZPCS04!B:B,0)-1,0),100)</f>
        <v>1.9999999000000002</v>
      </c>
      <c r="AX248" s="7"/>
      <c r="AY248" s="6" t="b">
        <f>SUMIF(AS:AS,AS248,AP:AP)=100</f>
        <v>1</v>
      </c>
      <c r="AZ248" s="6" t="b">
        <f>SUMIF(AS:AS,AS248,AE:AE)/COUNTIF(AS:AS,AS248)=AE248</f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>C248&amp;" | "&amp;F248</f>
        <v>90MB1BJ0-C1BAY0 | 10G094121032</v>
      </c>
      <c r="BE248" s="55" t="str">
        <f ca="1">C248&amp;" | "&amp;OFFSET($AF248,0,8-COUNTBLANK($AG248:$AN248))</f>
        <v>90MB1BJ0-C1BAY0 | 59MB1BJB-MB0A02S</v>
      </c>
      <c r="BF248" s="57">
        <f ca="1">IFERROR(VLOOKUP($BE248,$BD$5:$BF247,3,0)*$AE248,VLOOKUP($C248,Demanda!$A:$B,2,0)*$AE248)*IF(AT248="Phantom Alt",$BC248,TRUE)</f>
        <v>2000</v>
      </c>
      <c r="BG248" s="57">
        <f ca="1">BF248*(AP248/100)</f>
        <v>2000</v>
      </c>
      <c r="BH248" s="57">
        <f>SUMIF(Invoice!A:A,F248,Invoice!B:B)</f>
        <v>10000</v>
      </c>
      <c r="BI248" s="57">
        <f ca="1">SUMIF(AS:AS,AS248,BG:BG)</f>
        <v>2000</v>
      </c>
      <c r="BJ248" s="57">
        <f ca="1">MIN((BI248-SUMIF($AS$5:AS247,AS248,$BJ$5:BJ247)),MAX(0,BH248-SUMIF($F$5:F247,F248,$BJ$5:BJ247)))</f>
        <v>2000</v>
      </c>
      <c r="BK248" s="57">
        <f ca="1">(-SUMIF(AS:AS,AS248,BG:BG)+SUMIF(AS:AS,AS248,BJ:BJ))*(AP248=100)*AR248</f>
        <v>0</v>
      </c>
      <c r="BL248" s="57">
        <f ca="1">MAX(0,SUMIF(Invoice!A:A,F248,Invoice!B:B)-SUMIF(F:F,F248,BJ:BJ))*(COUNTIF(F:F,F248)=COUNTIF($F$5:F248,F248))</f>
        <v>8000</v>
      </c>
    </row>
    <row r="249" spans="1:64" hidden="1">
      <c r="A249" s="43">
        <v>249</v>
      </c>
      <c r="B249" s="35" t="s">
        <v>147</v>
      </c>
      <c r="C249" s="35" t="s">
        <v>146</v>
      </c>
      <c r="D249" s="35">
        <v>2</v>
      </c>
      <c r="E249" s="35">
        <v>930</v>
      </c>
      <c r="F249" s="64" t="s">
        <v>666</v>
      </c>
      <c r="G249" s="73" t="s">
        <v>667</v>
      </c>
      <c r="H249" s="35">
        <v>93</v>
      </c>
      <c r="I249" s="35" t="s">
        <v>55</v>
      </c>
      <c r="J249" s="35">
        <v>0</v>
      </c>
      <c r="K249" s="35" t="s">
        <v>150</v>
      </c>
      <c r="L249" s="35" t="s">
        <v>53</v>
      </c>
      <c r="M249" s="35">
        <v>2</v>
      </c>
      <c r="N249" s="35"/>
      <c r="O249" s="35">
        <v>1</v>
      </c>
      <c r="P249" s="35">
        <v>2</v>
      </c>
      <c r="Q249" s="35">
        <v>2</v>
      </c>
      <c r="R249" s="35" t="s">
        <v>73</v>
      </c>
      <c r="S249" s="35" t="s">
        <v>73</v>
      </c>
      <c r="T249" s="36">
        <v>44901</v>
      </c>
      <c r="U249" s="36">
        <v>2958465</v>
      </c>
      <c r="V249" s="35" t="s">
        <v>282</v>
      </c>
      <c r="W249" s="35" t="s">
        <v>145</v>
      </c>
      <c r="X249" s="35"/>
      <c r="Y249" s="35" t="s">
        <v>143</v>
      </c>
      <c r="Z249" s="35">
        <v>7589154</v>
      </c>
      <c r="AA249" s="35">
        <v>386</v>
      </c>
      <c r="AB249" s="35">
        <v>193</v>
      </c>
      <c r="AC249" s="35"/>
      <c r="AE249" s="51">
        <f>M249/O249</f>
        <v>2</v>
      </c>
      <c r="AG249" s="6" t="str">
        <f>C249</f>
        <v>90MB1BJ0-C1BAY0</v>
      </c>
      <c r="AH249" s="6" t="str">
        <f>IF($D249&lt;=AH$4,"",IF(AND($D248=AH$4,$D249&gt;AH$4),$F248,AH248))</f>
        <v>59MB1BJB-MB0A02S</v>
      </c>
      <c r="AI249" s="6" t="str">
        <f>IF($D249&lt;=AI$4,"",IF(AND($D248=AI$4,$D249&gt;AI$4),$F248,AI248))</f>
        <v/>
      </c>
      <c r="AJ249" s="6" t="str">
        <f>IF($D249&lt;=AJ$4,"",IF(AND($D248=AJ$4,$D249&gt;AJ$4),$F248,AJ248))</f>
        <v/>
      </c>
      <c r="AK249" s="6" t="str">
        <f>IF($D249&lt;=AK$4,"",IF(AND($D248=AK$4,$D249&gt;AK$4),$F248,AK248))</f>
        <v/>
      </c>
      <c r="AL249" s="6" t="str">
        <f>IF($D249&lt;=AL$4,"",IF(AND($D248=AL$4,$D249&gt;AL$4),$F248,AL248))</f>
        <v/>
      </c>
      <c r="AM249" s="6" t="str">
        <f>IF($D249&lt;=AM$4,"",IF(AND($D248=AM$4,$D249&gt;AM$4),$F248,AM248))</f>
        <v/>
      </c>
      <c r="AN249" s="6" t="str">
        <f>IF($D249&lt;=AN$4,"",IF(AND($D248=AN$4,$D249&gt;AN$4),$F248,AN248))</f>
        <v/>
      </c>
      <c r="AO249" s="6" t="str">
        <f>CONCATENATE(AG249," | ",AH249," | ",AI249," | ",AJ249," | ",AK249," | ",AL249," | ",AM249," | ",AN249)</f>
        <v xml:space="preserve">90MB1BJ0-C1BAY0 | 59MB1BJB-MB0A02S |  |  |  |  |  | </v>
      </c>
      <c r="AP249" s="6">
        <f>IF(TRIM(H249)="",100,J249)</f>
        <v>0</v>
      </c>
      <c r="AQ249" s="4"/>
      <c r="AR249" s="6" t="b">
        <f>NOT(TRIM(W249)&lt;&gt;"F")</f>
        <v>1</v>
      </c>
      <c r="AS249" s="6" t="str">
        <f>$B249&amp;" | "&amp;$AO249&amp;" | "&amp;IF(TRIM(H249)="","uniq"&amp;ROW(),TRIM(H249))</f>
        <v>461E | 90MB1BJ0-C1BAY0 | 59MB1BJB-MB0A02S |  |  |  |  |  |  | 93</v>
      </c>
      <c r="AT249" s="63">
        <f>IF(NOT(AR249),IF(TRIM($H249)="","Assembly","Phantom Alt"),VLOOKUP(F249,ZPCS04!B:G,6,0))</f>
        <v>634</v>
      </c>
      <c r="AU249" s="7"/>
      <c r="AV249" s="38">
        <f ca="1">IF(TRIM($W249)="F",OFFSET($A$5,MATCH($AS249,$AS$5:$AS249,0)-1,0),$A249)</f>
        <v>248</v>
      </c>
      <c r="AW249" s="38">
        <f ca="1">IFERROR(OFFSET(ZPCS04!$A$1,MATCH(F249,ZPCS04!B:B,0)-1,0),100)</f>
        <v>2</v>
      </c>
      <c r="AX249" s="7"/>
      <c r="AY249" s="6" t="b">
        <f>SUMIF(AS:AS,AS249,AP:AP)=100</f>
        <v>1</v>
      </c>
      <c r="AZ249" s="6" t="b">
        <f>SUMIF(AS:AS,AS249,AE:AE)/COUNTIF(AS:AS,AS249)=AE249</f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>C249&amp;" | "&amp;F249</f>
        <v>90MB1BJ0-C1BAY0 | 10G094121033</v>
      </c>
      <c r="BE249" s="55" t="str">
        <f ca="1">C249&amp;" | "&amp;OFFSET($AF249,0,8-COUNTBLANK($AG249:$AN249))</f>
        <v>90MB1BJ0-C1BAY0 | 59MB1BJB-MB0A02S</v>
      </c>
      <c r="BF249" s="57">
        <f ca="1">IFERROR(VLOOKUP($BE249,$BD$5:$BF248,3,0)*$AE249,VLOOKUP($C249,Demanda!$A:$B,2,0)*$AE249)*IF(AT249="Phantom Alt",$BC249,TRUE)</f>
        <v>2000</v>
      </c>
      <c r="BG249" s="57">
        <f ca="1">BF249*(AP249/100)</f>
        <v>0</v>
      </c>
      <c r="BH249" s="57">
        <f>SUMIF(Invoice!A:A,F249,Invoice!B:B)</f>
        <v>0</v>
      </c>
      <c r="BI249" s="57">
        <f ca="1">SUMIF(AS:AS,AS249,BG:BG)</f>
        <v>2000</v>
      </c>
      <c r="BJ249" s="57">
        <f ca="1">MIN((BI249-SUMIF($AS$5:AS248,AS249,$BJ$5:BJ248)),MAX(0,BH249-SUMIF($F$5:F248,F249,$BJ$5:BJ248)))</f>
        <v>0</v>
      </c>
      <c r="BK249" s="57">
        <f ca="1">(-SUMIF(AS:AS,AS249,BG:BG)+SUMIF(AS:AS,AS249,BJ:BJ))*(AP249=100)*AR249</f>
        <v>0</v>
      </c>
      <c r="BL249" s="57">
        <f ca="1">MAX(0,SUMIF(Invoice!A:A,F249,Invoice!B:B)-SUMIF(F:F,F249,BJ:BJ))*(COUNTIF(F:F,F249)=COUNTIF($F$5:F249,F249))</f>
        <v>0</v>
      </c>
    </row>
    <row r="250" spans="1:64" hidden="1">
      <c r="A250" s="43">
        <v>250</v>
      </c>
      <c r="B250" s="35" t="s">
        <v>147</v>
      </c>
      <c r="C250" s="35" t="s">
        <v>146</v>
      </c>
      <c r="D250" s="35">
        <v>2</v>
      </c>
      <c r="E250" s="35">
        <v>930</v>
      </c>
      <c r="F250" s="64" t="s">
        <v>668</v>
      </c>
      <c r="G250" s="73" t="s">
        <v>669</v>
      </c>
      <c r="H250" s="35">
        <v>93</v>
      </c>
      <c r="I250" s="35" t="s">
        <v>55</v>
      </c>
      <c r="J250" s="35">
        <v>0</v>
      </c>
      <c r="K250" s="35" t="s">
        <v>150</v>
      </c>
      <c r="L250" s="35" t="s">
        <v>53</v>
      </c>
      <c r="M250" s="35">
        <v>2</v>
      </c>
      <c r="N250" s="35"/>
      <c r="O250" s="35">
        <v>1</v>
      </c>
      <c r="P250" s="35">
        <v>2</v>
      </c>
      <c r="Q250" s="35">
        <v>3</v>
      </c>
      <c r="R250" s="35" t="s">
        <v>73</v>
      </c>
      <c r="S250" s="35" t="s">
        <v>73</v>
      </c>
      <c r="T250" s="36">
        <v>44901</v>
      </c>
      <c r="U250" s="36">
        <v>2958465</v>
      </c>
      <c r="V250" s="35" t="s">
        <v>282</v>
      </c>
      <c r="W250" s="35" t="s">
        <v>145</v>
      </c>
      <c r="X250" s="35"/>
      <c r="Y250" s="35" t="s">
        <v>143</v>
      </c>
      <c r="Z250" s="35">
        <v>7589154</v>
      </c>
      <c r="AA250" s="35">
        <v>388</v>
      </c>
      <c r="AB250" s="35">
        <v>194</v>
      </c>
      <c r="AC250" s="35"/>
      <c r="AE250" s="51">
        <f>M250/O250</f>
        <v>2</v>
      </c>
      <c r="AG250" s="6" t="str">
        <f>C250</f>
        <v>90MB1BJ0-C1BAY0</v>
      </c>
      <c r="AH250" s="6" t="str">
        <f>IF($D250&lt;=AH$4,"",IF(AND($D249=AH$4,$D250&gt;AH$4),$F249,AH249))</f>
        <v>59MB1BJB-MB0A02S</v>
      </c>
      <c r="AI250" s="6" t="str">
        <f>IF($D250&lt;=AI$4,"",IF(AND($D249=AI$4,$D250&gt;AI$4),$F249,AI249))</f>
        <v/>
      </c>
      <c r="AJ250" s="6" t="str">
        <f>IF($D250&lt;=AJ$4,"",IF(AND($D249=AJ$4,$D250&gt;AJ$4),$F249,AJ249))</f>
        <v/>
      </c>
      <c r="AK250" s="6" t="str">
        <f>IF($D250&lt;=AK$4,"",IF(AND($D249=AK$4,$D250&gt;AK$4),$F249,AK249))</f>
        <v/>
      </c>
      <c r="AL250" s="6" t="str">
        <f>IF($D250&lt;=AL$4,"",IF(AND($D249=AL$4,$D250&gt;AL$4),$F249,AL249))</f>
        <v/>
      </c>
      <c r="AM250" s="6" t="str">
        <f>IF($D250&lt;=AM$4,"",IF(AND($D249=AM$4,$D250&gt;AM$4),$F249,AM249))</f>
        <v/>
      </c>
      <c r="AN250" s="6" t="str">
        <f>IF($D250&lt;=AN$4,"",IF(AND($D249=AN$4,$D250&gt;AN$4),$F249,AN249))</f>
        <v/>
      </c>
      <c r="AO250" s="6" t="str">
        <f>CONCATENATE(AG250," | ",AH250," | ",AI250," | ",AJ250," | ",AK250," | ",AL250," | ",AM250," | ",AN250)</f>
        <v xml:space="preserve">90MB1BJ0-C1BAY0 | 59MB1BJB-MB0A02S |  |  |  |  |  | </v>
      </c>
      <c r="AP250" s="6">
        <f>IF(TRIM(H250)="",100,J250)</f>
        <v>0</v>
      </c>
      <c r="AQ250" s="4"/>
      <c r="AR250" s="6" t="b">
        <f>NOT(TRIM(W250)&lt;&gt;"F")</f>
        <v>1</v>
      </c>
      <c r="AS250" s="6" t="str">
        <f>$B250&amp;" | "&amp;$AO250&amp;" | "&amp;IF(TRIM(H250)="","uniq"&amp;ROW(),TRIM(H250))</f>
        <v>461E | 90MB1BJ0-C1BAY0 | 59MB1BJB-MB0A02S |  |  |  |  |  |  | 93</v>
      </c>
      <c r="AT250" s="63">
        <f>IF(NOT(AR250),IF(TRIM($H250)="","Assembly","Phantom Alt"),VLOOKUP(F250,ZPCS04!B:G,6,0))</f>
        <v>634</v>
      </c>
      <c r="AU250" s="7"/>
      <c r="AV250" s="38">
        <f ca="1">IF(TRIM($W250)="F",OFFSET($A$5,MATCH($AS250,$AS$5:$AS250,0)-1,0),$A250)</f>
        <v>248</v>
      </c>
      <c r="AW250" s="38">
        <f ca="1">IFERROR(OFFSET(ZPCS04!$A$1,MATCH(F250,ZPCS04!B:B,0)-1,0),100)</f>
        <v>2</v>
      </c>
      <c r="AX250" s="7"/>
      <c r="AY250" s="6" t="b">
        <f>SUMIF(AS:AS,AS250,AP:AP)=100</f>
        <v>1</v>
      </c>
      <c r="AZ250" s="6" t="b">
        <f>SUMIF(AS:AS,AS250,AE:AE)/COUNTIF(AS:AS,AS250)=AE250</f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>C250&amp;" | "&amp;F250</f>
        <v>90MB1BJ0-C1BAY0 | 10G0941B1030</v>
      </c>
      <c r="BE250" s="55" t="str">
        <f ca="1">C250&amp;" | "&amp;OFFSET($AF250,0,8-COUNTBLANK($AG250:$AN250))</f>
        <v>90MB1BJ0-C1BAY0 | 59MB1BJB-MB0A02S</v>
      </c>
      <c r="BF250" s="57">
        <f ca="1">IFERROR(VLOOKUP($BE250,$BD$5:$BF249,3,0)*$AE250,VLOOKUP($C250,Demanda!$A:$B,2,0)*$AE250)*IF(AT250="Phantom Alt",$BC250,TRUE)</f>
        <v>2000</v>
      </c>
      <c r="BG250" s="57">
        <f ca="1">BF250*(AP250/100)</f>
        <v>0</v>
      </c>
      <c r="BH250" s="57">
        <f>SUMIF(Invoice!A:A,F250,Invoice!B:B)</f>
        <v>0</v>
      </c>
      <c r="BI250" s="57">
        <f ca="1">SUMIF(AS:AS,AS250,BG:BG)</f>
        <v>2000</v>
      </c>
      <c r="BJ250" s="57">
        <f ca="1">MIN((BI250-SUMIF($AS$5:AS249,AS250,$BJ$5:BJ249)),MAX(0,BH250-SUMIF($F$5:F249,F250,$BJ$5:BJ249)))</f>
        <v>0</v>
      </c>
      <c r="BK250" s="57">
        <f ca="1">(-SUMIF(AS:AS,AS250,BG:BG)+SUMIF(AS:AS,AS250,BJ:BJ))*(AP250=100)*AR250</f>
        <v>0</v>
      </c>
      <c r="BL250" s="57">
        <f ca="1">MAX(0,SUMIF(Invoice!A:A,F250,Invoice!B:B)-SUMIF(F:F,F250,BJ:BJ))*(COUNTIF(F:F,F250)=COUNTIF($F$5:F250,F250))</f>
        <v>0</v>
      </c>
    </row>
    <row r="251" spans="1:64" hidden="1">
      <c r="A251" s="43">
        <v>252</v>
      </c>
      <c r="B251" s="35" t="s">
        <v>147</v>
      </c>
      <c r="C251" s="35" t="s">
        <v>146</v>
      </c>
      <c r="D251" s="35">
        <v>2</v>
      </c>
      <c r="E251" s="35">
        <v>940</v>
      </c>
      <c r="F251" s="64" t="s">
        <v>672</v>
      </c>
      <c r="G251" s="73" t="s">
        <v>673</v>
      </c>
      <c r="H251" s="35">
        <v>94</v>
      </c>
      <c r="I251" s="35" t="s">
        <v>54</v>
      </c>
      <c r="J251" s="35">
        <v>100</v>
      </c>
      <c r="K251" s="35" t="s">
        <v>489</v>
      </c>
      <c r="L251" s="35" t="s">
        <v>53</v>
      </c>
      <c r="M251" s="35">
        <v>293</v>
      </c>
      <c r="N251" s="35">
        <v>293</v>
      </c>
      <c r="O251" s="35">
        <v>1</v>
      </c>
      <c r="P251" s="35">
        <v>2</v>
      </c>
      <c r="Q251" s="35">
        <v>1</v>
      </c>
      <c r="R251" s="35" t="s">
        <v>122</v>
      </c>
      <c r="S251" s="35" t="s">
        <v>122</v>
      </c>
      <c r="T251" s="36">
        <v>44901</v>
      </c>
      <c r="U251" s="36">
        <v>2958465</v>
      </c>
      <c r="V251" s="35" t="s">
        <v>282</v>
      </c>
      <c r="W251" s="35" t="s">
        <v>145</v>
      </c>
      <c r="X251" s="35"/>
      <c r="Y251" s="35" t="s">
        <v>143</v>
      </c>
      <c r="Z251" s="35">
        <v>7589154</v>
      </c>
      <c r="AA251" s="35">
        <v>390</v>
      </c>
      <c r="AB251" s="35">
        <v>195</v>
      </c>
      <c r="AC251" s="35"/>
      <c r="AE251" s="51">
        <f>M251/O251</f>
        <v>293</v>
      </c>
      <c r="AG251" s="6" t="str">
        <f>C251</f>
        <v>90MB1BJ0-C1BAY0</v>
      </c>
      <c r="AH251" s="6" t="str">
        <f>IF($D251&lt;=AH$4,"",IF(AND($D250=AH$4,$D251&gt;AH$4),$F250,AH250))</f>
        <v>59MB1BJB-MB0A02S</v>
      </c>
      <c r="AI251" s="6" t="str">
        <f>IF($D251&lt;=AI$4,"",IF(AND($D250=AI$4,$D251&gt;AI$4),$F250,AI250))</f>
        <v/>
      </c>
      <c r="AJ251" s="6" t="str">
        <f>IF($D251&lt;=AJ$4,"",IF(AND($D250=AJ$4,$D251&gt;AJ$4),$F250,AJ250))</f>
        <v/>
      </c>
      <c r="AK251" s="6" t="str">
        <f>IF($D251&lt;=AK$4,"",IF(AND($D250=AK$4,$D251&gt;AK$4),$F250,AK250))</f>
        <v/>
      </c>
      <c r="AL251" s="6" t="str">
        <f>IF($D251&lt;=AL$4,"",IF(AND($D250=AL$4,$D251&gt;AL$4),$F250,AL250))</f>
        <v/>
      </c>
      <c r="AM251" s="6" t="str">
        <f>IF($D251&lt;=AM$4,"",IF(AND($D250=AM$4,$D251&gt;AM$4),$F250,AM250))</f>
        <v/>
      </c>
      <c r="AN251" s="6" t="str">
        <f>IF($D251&lt;=AN$4,"",IF(AND($D250=AN$4,$D251&gt;AN$4),$F250,AN250))</f>
        <v/>
      </c>
      <c r="AO251" s="6" t="str">
        <f>CONCATENATE(AG251," | ",AH251," | ",AI251," | ",AJ251," | ",AK251," | ",AL251," | ",AM251," | ",AN251)</f>
        <v xml:space="preserve">90MB1BJ0-C1BAY0 | 59MB1BJB-MB0A02S |  |  |  |  |  | </v>
      </c>
      <c r="AP251" s="6">
        <f>IF(TRIM(H251)="",100,J251)</f>
        <v>100</v>
      </c>
      <c r="AQ251" s="4"/>
      <c r="AR251" s="6" t="b">
        <f>NOT(TRIM(W251)&lt;&gt;"F")</f>
        <v>1</v>
      </c>
      <c r="AS251" s="6" t="str">
        <f>$B251&amp;" | "&amp;$AO251&amp;" | "&amp;IF(TRIM(H251)="","uniq"&amp;ROW(),TRIM(H251))</f>
        <v>461E | 90MB1BJ0-C1BAY0 | 59MB1BJB-MB0A02S |  |  |  |  |  |  | 94</v>
      </c>
      <c r="AT251" s="63">
        <f>IF(NOT(AR251),IF(TRIM($H251)="","Assembly","Phantom Alt"),VLOOKUP(F251,ZPCS04!B:G,6,0))</f>
        <v>635</v>
      </c>
      <c r="AU251" s="7"/>
      <c r="AV251" s="38">
        <f ca="1">IF(TRIM($W251)="F",OFFSET($A$5,MATCH($AS251,$AS$5:$AS251,0)-1,0),$A251)</f>
        <v>252</v>
      </c>
      <c r="AW251" s="38">
        <f ca="1">IFERROR(OFFSET(ZPCS04!$A$1,MATCH(F251,ZPCS04!B:B,0)-1,0),100)</f>
        <v>1.999997</v>
      </c>
      <c r="AX251" s="7"/>
      <c r="AY251" s="6" t="b">
        <f>SUMIF(AS:AS,AS251,AP:AP)=100</f>
        <v>1</v>
      </c>
      <c r="AZ251" s="6" t="b">
        <f>SUMIF(AS:AS,AS251,AE:AE)/COUNTIF(AS:AS,AS251)=AE251</f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>C251&amp;" | "&amp;F251</f>
        <v>90MB1BJ0-C1BAY0 | 10G212000004020</v>
      </c>
      <c r="BE251" s="55" t="str">
        <f ca="1">C251&amp;" | "&amp;OFFSET($AF251,0,8-COUNTBLANK($AG251:$AN251))</f>
        <v>90MB1BJ0-C1BAY0 | 59MB1BJB-MB0A02S</v>
      </c>
      <c r="BF251" s="57">
        <f ca="1">IFERROR(VLOOKUP($BE251,$BD$5:$BF250,3,0)*$AE251,VLOOKUP($C251,Demanda!$A:$B,2,0)*$AE251)*IF(AT251="Phantom Alt",$BC251,TRUE)</f>
        <v>293000</v>
      </c>
      <c r="BG251" s="57">
        <f ca="1">BF251*(AP251/100)</f>
        <v>293000</v>
      </c>
      <c r="BH251" s="57">
        <f>SUMIF(Invoice!A:A,F251,Invoice!B:B)</f>
        <v>300000</v>
      </c>
      <c r="BI251" s="57">
        <f ca="1">SUMIF(AS:AS,AS251,BG:BG)</f>
        <v>293000</v>
      </c>
      <c r="BJ251" s="57">
        <f ca="1">MIN((BI251-SUMIF($AS$5:AS250,AS251,$BJ$5:BJ250)),MAX(0,BH251-SUMIF($F$5:F250,F251,$BJ$5:BJ250)))</f>
        <v>293000</v>
      </c>
      <c r="BK251" s="57">
        <f ca="1">(-SUMIF(AS:AS,AS251,BG:BG)+SUMIF(AS:AS,AS251,BJ:BJ))*(AP251=100)*AR251</f>
        <v>0</v>
      </c>
      <c r="BL251" s="57">
        <f ca="1">MAX(0,SUMIF(Invoice!A:A,F251,Invoice!B:B)-SUMIF(F:F,F251,BJ:BJ))*(COUNTIF(F:F,F251)=COUNTIF($F$5:F251,F251))</f>
        <v>7000</v>
      </c>
    </row>
    <row r="252" spans="1:64" hidden="1">
      <c r="A252" s="43">
        <v>251</v>
      </c>
      <c r="B252" s="35" t="s">
        <v>147</v>
      </c>
      <c r="C252" s="35" t="s">
        <v>146</v>
      </c>
      <c r="D252" s="35">
        <v>2</v>
      </c>
      <c r="E252" s="35">
        <v>940</v>
      </c>
      <c r="F252" s="64" t="s">
        <v>670</v>
      </c>
      <c r="G252" s="73" t="s">
        <v>671</v>
      </c>
      <c r="H252" s="35">
        <v>94</v>
      </c>
      <c r="I252" s="35" t="s">
        <v>55</v>
      </c>
      <c r="J252" s="35">
        <v>0</v>
      </c>
      <c r="K252" s="35" t="s">
        <v>489</v>
      </c>
      <c r="L252" s="35" t="s">
        <v>53</v>
      </c>
      <c r="M252" s="35">
        <v>293</v>
      </c>
      <c r="N252" s="35"/>
      <c r="O252" s="35">
        <v>1</v>
      </c>
      <c r="P252" s="35">
        <v>2</v>
      </c>
      <c r="Q252" s="35">
        <v>2</v>
      </c>
      <c r="R252" s="35" t="s">
        <v>122</v>
      </c>
      <c r="S252" s="35" t="s">
        <v>122</v>
      </c>
      <c r="T252" s="36">
        <v>44901</v>
      </c>
      <c r="U252" s="36">
        <v>2958465</v>
      </c>
      <c r="V252" s="35" t="s">
        <v>282</v>
      </c>
      <c r="W252" s="35" t="s">
        <v>145</v>
      </c>
      <c r="X252" s="35"/>
      <c r="Y252" s="35" t="s">
        <v>143</v>
      </c>
      <c r="Z252" s="35">
        <v>7589154</v>
      </c>
      <c r="AA252" s="35">
        <v>392</v>
      </c>
      <c r="AB252" s="35">
        <v>196</v>
      </c>
      <c r="AC252" s="35"/>
      <c r="AE252" s="51">
        <f>M252/O252</f>
        <v>293</v>
      </c>
      <c r="AG252" s="6" t="str">
        <f>C252</f>
        <v>90MB1BJ0-C1BAY0</v>
      </c>
      <c r="AH252" s="6" t="str">
        <f>IF($D252&lt;=AH$4,"",IF(AND($D251=AH$4,$D252&gt;AH$4),$F251,AH251))</f>
        <v>59MB1BJB-MB0A02S</v>
      </c>
      <c r="AI252" s="6" t="str">
        <f>IF($D252&lt;=AI$4,"",IF(AND($D251=AI$4,$D252&gt;AI$4),$F251,AI251))</f>
        <v/>
      </c>
      <c r="AJ252" s="6" t="str">
        <f>IF($D252&lt;=AJ$4,"",IF(AND($D251=AJ$4,$D252&gt;AJ$4),$F251,AJ251))</f>
        <v/>
      </c>
      <c r="AK252" s="6" t="str">
        <f>IF($D252&lt;=AK$4,"",IF(AND($D251=AK$4,$D252&gt;AK$4),$F251,AK251))</f>
        <v/>
      </c>
      <c r="AL252" s="6" t="str">
        <f>IF($D252&lt;=AL$4,"",IF(AND($D251=AL$4,$D252&gt;AL$4),$F251,AL251))</f>
        <v/>
      </c>
      <c r="AM252" s="6" t="str">
        <f>IF($D252&lt;=AM$4,"",IF(AND($D251=AM$4,$D252&gt;AM$4),$F251,AM251))</f>
        <v/>
      </c>
      <c r="AN252" s="6" t="str">
        <f>IF($D252&lt;=AN$4,"",IF(AND($D251=AN$4,$D252&gt;AN$4),$F251,AN251))</f>
        <v/>
      </c>
      <c r="AO252" s="6" t="str">
        <f>CONCATENATE(AG252," | ",AH252," | ",AI252," | ",AJ252," | ",AK252," | ",AL252," | ",AM252," | ",AN252)</f>
        <v xml:space="preserve">90MB1BJ0-C1BAY0 | 59MB1BJB-MB0A02S |  |  |  |  |  | </v>
      </c>
      <c r="AP252" s="6">
        <f>IF(TRIM(H252)="",100,J252)</f>
        <v>0</v>
      </c>
      <c r="AQ252" s="4"/>
      <c r="AR252" s="6" t="b">
        <f>NOT(TRIM(W252)&lt;&gt;"F")</f>
        <v>1</v>
      </c>
      <c r="AS252" s="6" t="str">
        <f>$B252&amp;" | "&amp;$AO252&amp;" | "&amp;IF(TRIM(H252)="","uniq"&amp;ROW(),TRIM(H252))</f>
        <v>461E | 90MB1BJ0-C1BAY0 | 59MB1BJB-MB0A02S |  |  |  |  |  |  | 94</v>
      </c>
      <c r="AT252" s="63">
        <f>IF(NOT(AR252),IF(TRIM($H252)="","Assembly","Phantom Alt"),VLOOKUP(F252,ZPCS04!B:G,6,0))</f>
        <v>635</v>
      </c>
      <c r="AU252" s="7"/>
      <c r="AV252" s="38">
        <f ca="1">IF(TRIM($W252)="F",OFFSET($A$5,MATCH($AS252,$AS$5:$AS252,0)-1,0),$A252)</f>
        <v>252</v>
      </c>
      <c r="AW252" s="38">
        <f ca="1">IFERROR(OFFSET(ZPCS04!$A$1,MATCH(F252,ZPCS04!B:B,0)-1,0),100)</f>
        <v>2</v>
      </c>
      <c r="AX252" s="7"/>
      <c r="AY252" s="6" t="b">
        <f>SUMIF(AS:AS,AS252,AP:AP)=100</f>
        <v>1</v>
      </c>
      <c r="AZ252" s="6" t="b">
        <f>SUMIF(AS:AS,AS252,AE:AE)/COUNTIF(AS:AS,AS252)=AE252</f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>C252&amp;" | "&amp;F252</f>
        <v>90MB1BJ0-C1BAY0 | 10G212000004010</v>
      </c>
      <c r="BE252" s="55" t="str">
        <f ca="1">C252&amp;" | "&amp;OFFSET($AF252,0,8-COUNTBLANK($AG252:$AN252))</f>
        <v>90MB1BJ0-C1BAY0 | 59MB1BJB-MB0A02S</v>
      </c>
      <c r="BF252" s="57">
        <f ca="1">IFERROR(VLOOKUP($BE252,$BD$5:$BF251,3,0)*$AE252,VLOOKUP($C252,Demanda!$A:$B,2,0)*$AE252)*IF(AT252="Phantom Alt",$BC252,TRUE)</f>
        <v>293000</v>
      </c>
      <c r="BG252" s="57">
        <f ca="1">BF252*(AP252/100)</f>
        <v>0</v>
      </c>
      <c r="BH252" s="57">
        <f>SUMIF(Invoice!A:A,F252,Invoice!B:B)</f>
        <v>0</v>
      </c>
      <c r="BI252" s="57">
        <f ca="1">SUMIF(AS:AS,AS252,BG:BG)</f>
        <v>293000</v>
      </c>
      <c r="BJ252" s="57">
        <f ca="1">MIN((BI252-SUMIF($AS$5:AS251,AS252,$BJ$5:BJ251)),MAX(0,BH252-SUMIF($F$5:F251,F252,$BJ$5:BJ251)))</f>
        <v>0</v>
      </c>
      <c r="BK252" s="57">
        <f ca="1">(-SUMIF(AS:AS,AS252,BG:BG)+SUMIF(AS:AS,AS252,BJ:BJ))*(AP252=100)*AR252</f>
        <v>0</v>
      </c>
      <c r="BL252" s="57">
        <f ca="1">MAX(0,SUMIF(Invoice!A:A,F252,Invoice!B:B)-SUMIF(F:F,F252,BJ:BJ))*(COUNTIF(F:F,F252)=COUNTIF($F$5:F252,F252))</f>
        <v>0</v>
      </c>
    </row>
    <row r="253" spans="1:64" hidden="1">
      <c r="A253" s="43">
        <v>253</v>
      </c>
      <c r="B253" s="35" t="s">
        <v>147</v>
      </c>
      <c r="C253" s="35" t="s">
        <v>146</v>
      </c>
      <c r="D253" s="35">
        <v>2</v>
      </c>
      <c r="E253" s="35">
        <v>940</v>
      </c>
      <c r="F253" s="64" t="s">
        <v>674</v>
      </c>
      <c r="G253" s="73" t="s">
        <v>675</v>
      </c>
      <c r="H253" s="35">
        <v>94</v>
      </c>
      <c r="I253" s="35" t="s">
        <v>55</v>
      </c>
      <c r="J253" s="35">
        <v>0</v>
      </c>
      <c r="K253" s="35" t="s">
        <v>150</v>
      </c>
      <c r="L253" s="35" t="s">
        <v>53</v>
      </c>
      <c r="M253" s="35">
        <v>293</v>
      </c>
      <c r="N253" s="35"/>
      <c r="O253" s="35">
        <v>1</v>
      </c>
      <c r="P253" s="35">
        <v>2</v>
      </c>
      <c r="Q253" s="35">
        <v>3</v>
      </c>
      <c r="R253" s="35" t="s">
        <v>73</v>
      </c>
      <c r="S253" s="35" t="s">
        <v>73</v>
      </c>
      <c r="T253" s="36">
        <v>44901</v>
      </c>
      <c r="U253" s="36">
        <v>2958465</v>
      </c>
      <c r="V253" s="35" t="s">
        <v>282</v>
      </c>
      <c r="W253" s="35" t="s">
        <v>145</v>
      </c>
      <c r="X253" s="35"/>
      <c r="Y253" s="35" t="s">
        <v>143</v>
      </c>
      <c r="Z253" s="35">
        <v>7589154</v>
      </c>
      <c r="AA253" s="35">
        <v>394</v>
      </c>
      <c r="AB253" s="35">
        <v>197</v>
      </c>
      <c r="AC253" s="35"/>
      <c r="AE253" s="51">
        <f>M253/O253</f>
        <v>293</v>
      </c>
      <c r="AG253" s="6" t="str">
        <f>C253</f>
        <v>90MB1BJ0-C1BAY0</v>
      </c>
      <c r="AH253" s="6" t="str">
        <f>IF($D253&lt;=AH$4,"",IF(AND($D252=AH$4,$D253&gt;AH$4),$F252,AH252))</f>
        <v>59MB1BJB-MB0A02S</v>
      </c>
      <c r="AI253" s="6" t="str">
        <f>IF($D253&lt;=AI$4,"",IF(AND($D252=AI$4,$D253&gt;AI$4),$F252,AI252))</f>
        <v/>
      </c>
      <c r="AJ253" s="6" t="str">
        <f>IF($D253&lt;=AJ$4,"",IF(AND($D252=AJ$4,$D253&gt;AJ$4),$F252,AJ252))</f>
        <v/>
      </c>
      <c r="AK253" s="6" t="str">
        <f>IF($D253&lt;=AK$4,"",IF(AND($D252=AK$4,$D253&gt;AK$4),$F252,AK252))</f>
        <v/>
      </c>
      <c r="AL253" s="6" t="str">
        <f>IF($D253&lt;=AL$4,"",IF(AND($D252=AL$4,$D253&gt;AL$4),$F252,AL252))</f>
        <v/>
      </c>
      <c r="AM253" s="6" t="str">
        <f>IF($D253&lt;=AM$4,"",IF(AND($D252=AM$4,$D253&gt;AM$4),$F252,AM252))</f>
        <v/>
      </c>
      <c r="AN253" s="6" t="str">
        <f>IF($D253&lt;=AN$4,"",IF(AND($D252=AN$4,$D253&gt;AN$4),$F252,AN252))</f>
        <v/>
      </c>
      <c r="AO253" s="6" t="str">
        <f>CONCATENATE(AG253," | ",AH253," | ",AI253," | ",AJ253," | ",AK253," | ",AL253," | ",AM253," | ",AN253)</f>
        <v xml:space="preserve">90MB1BJ0-C1BAY0 | 59MB1BJB-MB0A02S |  |  |  |  |  | </v>
      </c>
      <c r="AP253" s="6">
        <f>IF(TRIM(H253)="",100,J253)</f>
        <v>0</v>
      </c>
      <c r="AQ253" s="4"/>
      <c r="AR253" s="6" t="b">
        <f>NOT(TRIM(W253)&lt;&gt;"F")</f>
        <v>1</v>
      </c>
      <c r="AS253" s="6" t="str">
        <f>$B253&amp;" | "&amp;$AO253&amp;" | "&amp;IF(TRIM(H253)="","uniq"&amp;ROW(),TRIM(H253))</f>
        <v>461E | 90MB1BJ0-C1BAY0 | 59MB1BJB-MB0A02S |  |  |  |  |  |  | 94</v>
      </c>
      <c r="AT253" s="63">
        <f>IF(NOT(AR253),IF(TRIM($H253)="","Assembly","Phantom Alt"),VLOOKUP(F253,ZPCS04!B:G,6,0))</f>
        <v>635</v>
      </c>
      <c r="AU253" s="7"/>
      <c r="AV253" s="38">
        <f ca="1">IF(TRIM($W253)="F",OFFSET($A$5,MATCH($AS253,$AS$5:$AS253,0)-1,0),$A253)</f>
        <v>252</v>
      </c>
      <c r="AW253" s="38">
        <f ca="1">IFERROR(OFFSET(ZPCS04!$A$1,MATCH(F253,ZPCS04!B:B,0)-1,0),100)</f>
        <v>2</v>
      </c>
      <c r="AX253" s="7"/>
      <c r="AY253" s="6" t="b">
        <f>SUMIF(AS:AS,AS253,AP:AP)=100</f>
        <v>1</v>
      </c>
      <c r="AZ253" s="6" t="b">
        <f>SUMIF(AS:AS,AS253,AE:AE)/COUNTIF(AS:AS,AS253)=AE253</f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>C253&amp;" | "&amp;F253</f>
        <v>90MB1BJ0-C1BAY0 | 10G212000004050</v>
      </c>
      <c r="BE253" s="55" t="str">
        <f ca="1">C253&amp;" | "&amp;OFFSET($AF253,0,8-COUNTBLANK($AG253:$AN253))</f>
        <v>90MB1BJ0-C1BAY0 | 59MB1BJB-MB0A02S</v>
      </c>
      <c r="BF253" s="57">
        <f ca="1">IFERROR(VLOOKUP($BE253,$BD$5:$BF252,3,0)*$AE253,VLOOKUP($C253,Demanda!$A:$B,2,0)*$AE253)*IF(AT253="Phantom Alt",$BC253,TRUE)</f>
        <v>293000</v>
      </c>
      <c r="BG253" s="57">
        <f ca="1">BF253*(AP253/100)</f>
        <v>0</v>
      </c>
      <c r="BH253" s="57">
        <f>SUMIF(Invoice!A:A,F253,Invoice!B:B)</f>
        <v>0</v>
      </c>
      <c r="BI253" s="57">
        <f ca="1">SUMIF(AS:AS,AS253,BG:BG)</f>
        <v>293000</v>
      </c>
      <c r="BJ253" s="57">
        <f ca="1">MIN((BI253-SUMIF($AS$5:AS252,AS253,$BJ$5:BJ252)),MAX(0,BH253-SUMIF($F$5:F252,F253,$BJ$5:BJ252)))</f>
        <v>0</v>
      </c>
      <c r="BK253" s="57">
        <f ca="1">(-SUMIF(AS:AS,AS253,BG:BG)+SUMIF(AS:AS,AS253,BJ:BJ))*(AP253=100)*AR253</f>
        <v>0</v>
      </c>
      <c r="BL253" s="57">
        <f ca="1">MAX(0,SUMIF(Invoice!A:A,F253,Invoice!B:B)-SUMIF(F:F,F253,BJ:BJ))*(COUNTIF(F:F,F253)=COUNTIF($F$5:F253,F253))</f>
        <v>0</v>
      </c>
    </row>
    <row r="254" spans="1:64" hidden="1">
      <c r="A254" s="43">
        <v>254</v>
      </c>
      <c r="B254" s="35" t="s">
        <v>147</v>
      </c>
      <c r="C254" s="35" t="s">
        <v>146</v>
      </c>
      <c r="D254" s="35">
        <v>2</v>
      </c>
      <c r="E254" s="35">
        <v>950</v>
      </c>
      <c r="F254" s="64" t="s">
        <v>676</v>
      </c>
      <c r="G254" s="73" t="s">
        <v>677</v>
      </c>
      <c r="H254" s="35">
        <v>95</v>
      </c>
      <c r="I254" s="35" t="s">
        <v>55</v>
      </c>
      <c r="J254" s="35">
        <v>0</v>
      </c>
      <c r="K254" s="35" t="s">
        <v>489</v>
      </c>
      <c r="L254" s="35" t="s">
        <v>53</v>
      </c>
      <c r="M254" s="35">
        <v>2</v>
      </c>
      <c r="N254" s="35"/>
      <c r="O254" s="35">
        <v>1</v>
      </c>
      <c r="P254" s="35">
        <v>2</v>
      </c>
      <c r="Q254" s="35">
        <v>2</v>
      </c>
      <c r="R254" s="35" t="s">
        <v>122</v>
      </c>
      <c r="S254" s="35" t="s">
        <v>122</v>
      </c>
      <c r="T254" s="36">
        <v>44901</v>
      </c>
      <c r="U254" s="36">
        <v>2958465</v>
      </c>
      <c r="V254" s="35" t="s">
        <v>282</v>
      </c>
      <c r="W254" s="35" t="s">
        <v>145</v>
      </c>
      <c r="X254" s="35"/>
      <c r="Y254" s="35" t="s">
        <v>143</v>
      </c>
      <c r="Z254" s="35">
        <v>7589154</v>
      </c>
      <c r="AA254" s="35">
        <v>398</v>
      </c>
      <c r="AB254" s="35">
        <v>199</v>
      </c>
      <c r="AC254" s="35"/>
      <c r="AE254" s="51">
        <f>M254/O254</f>
        <v>2</v>
      </c>
      <c r="AG254" s="6" t="str">
        <f>C254</f>
        <v>90MB1BJ0-C1BAY0</v>
      </c>
      <c r="AH254" s="6" t="str">
        <f>IF($D254&lt;=AH$4,"",IF(AND($D253=AH$4,$D254&gt;AH$4),$F253,AH253))</f>
        <v>59MB1BJB-MB0A02S</v>
      </c>
      <c r="AI254" s="6" t="str">
        <f>IF($D254&lt;=AI$4,"",IF(AND($D253=AI$4,$D254&gt;AI$4),$F253,AI253))</f>
        <v/>
      </c>
      <c r="AJ254" s="6" t="str">
        <f>IF($D254&lt;=AJ$4,"",IF(AND($D253=AJ$4,$D254&gt;AJ$4),$F253,AJ253))</f>
        <v/>
      </c>
      <c r="AK254" s="6" t="str">
        <f>IF($D254&lt;=AK$4,"",IF(AND($D253=AK$4,$D254&gt;AK$4),$F253,AK253))</f>
        <v/>
      </c>
      <c r="AL254" s="6" t="str">
        <f>IF($D254&lt;=AL$4,"",IF(AND($D253=AL$4,$D254&gt;AL$4),$F253,AL253))</f>
        <v/>
      </c>
      <c r="AM254" s="6" t="str">
        <f>IF($D254&lt;=AM$4,"",IF(AND($D253=AM$4,$D254&gt;AM$4),$F253,AM253))</f>
        <v/>
      </c>
      <c r="AN254" s="6" t="str">
        <f>IF($D254&lt;=AN$4,"",IF(AND($D253=AN$4,$D254&gt;AN$4),$F253,AN253))</f>
        <v/>
      </c>
      <c r="AO254" s="6" t="str">
        <f>CONCATENATE(AG254," | ",AH254," | ",AI254," | ",AJ254," | ",AK254," | ",AL254," | ",AM254," | ",AN254)</f>
        <v xml:space="preserve">90MB1BJ0-C1BAY0 | 59MB1BJB-MB0A02S |  |  |  |  |  | </v>
      </c>
      <c r="AP254" s="6">
        <f>IF(TRIM(H254)="",100,J254)</f>
        <v>0</v>
      </c>
      <c r="AQ254" s="4"/>
      <c r="AR254" s="6" t="b">
        <f>NOT(TRIM(W254)&lt;&gt;"F")</f>
        <v>1</v>
      </c>
      <c r="AS254" s="6" t="str">
        <f>$B254&amp;" | "&amp;$AO254&amp;" | "&amp;IF(TRIM(H254)="","uniq"&amp;ROW(),TRIM(H254))</f>
        <v>461E | 90MB1BJ0-C1BAY0 | 59MB1BJB-MB0A02S |  |  |  |  |  |  | 95</v>
      </c>
      <c r="AT254" s="63">
        <f>IF(NOT(AR254),IF(TRIM($H254)="","Assembly","Phantom Alt"),VLOOKUP(F254,ZPCS04!B:G,6,0))</f>
        <v>949</v>
      </c>
      <c r="AU254" s="7"/>
      <c r="AV254" s="38">
        <f ca="1">IF(TRIM($W254)="F",OFFSET($A$5,MATCH($AS254,$AS$5:$AS254,0)-1,0),$A254)</f>
        <v>254</v>
      </c>
      <c r="AW254" s="38">
        <f ca="1">IFERROR(OFFSET(ZPCS04!$A$1,MATCH(F254,ZPCS04!B:B,0)-1,0),100)</f>
        <v>1.9999999000000002</v>
      </c>
      <c r="AX254" s="7"/>
      <c r="AY254" s="6" t="b">
        <f>SUMIF(AS:AS,AS254,AP:AP)=100</f>
        <v>1</v>
      </c>
      <c r="AZ254" s="6" t="b">
        <f>SUMIF(AS:AS,AS254,AE:AE)/COUNTIF(AS:AS,AS254)=AE254</f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>C254&amp;" | "&amp;F254</f>
        <v>90MB1BJ0-C1BAY0 | 10G212100004010</v>
      </c>
      <c r="BE254" s="55" t="str">
        <f ca="1">C254&amp;" | "&amp;OFFSET($AF254,0,8-COUNTBLANK($AG254:$AN254))</f>
        <v>90MB1BJ0-C1BAY0 | 59MB1BJB-MB0A02S</v>
      </c>
      <c r="BF254" s="57">
        <f ca="1">IFERROR(VLOOKUP($BE254,$BD$5:$BF253,3,0)*$AE254,VLOOKUP($C254,Demanda!$A:$B,2,0)*$AE254)*IF(AT254="Phantom Alt",$BC254,TRUE)</f>
        <v>2000</v>
      </c>
      <c r="BG254" s="57">
        <f ca="1">BF254*(AP254/100)</f>
        <v>0</v>
      </c>
      <c r="BH254" s="57">
        <f>SUMIF(Invoice!A:A,F254,Invoice!B:B)</f>
        <v>10000</v>
      </c>
      <c r="BI254" s="57">
        <f ca="1">SUMIF(AS:AS,AS254,BG:BG)</f>
        <v>2000</v>
      </c>
      <c r="BJ254" s="57">
        <f ca="1">MIN((BI254-SUMIF($AS$5:AS253,AS254,$BJ$5:BJ253)),MAX(0,BH254-SUMIF($F$5:F253,F254,$BJ$5:BJ253)))</f>
        <v>2000</v>
      </c>
      <c r="BK254" s="57">
        <f ca="1">(-SUMIF(AS:AS,AS254,BG:BG)+SUMIF(AS:AS,AS254,BJ:BJ))*(AP254=100)*AR254</f>
        <v>0</v>
      </c>
      <c r="BL254" s="57">
        <f ca="1">MAX(0,SUMIF(Invoice!A:A,F254,Invoice!B:B)-SUMIF(F:F,F254,BJ:BJ))*(COUNTIF(F:F,F254)=COUNTIF($F$5:F254,F254))</f>
        <v>8000</v>
      </c>
    </row>
    <row r="255" spans="1:64" hidden="1">
      <c r="A255" s="43">
        <v>255</v>
      </c>
      <c r="B255" s="35" t="s">
        <v>147</v>
      </c>
      <c r="C255" s="35" t="s">
        <v>146</v>
      </c>
      <c r="D255" s="35">
        <v>2</v>
      </c>
      <c r="E255" s="35">
        <v>950</v>
      </c>
      <c r="F255" s="64" t="s">
        <v>678</v>
      </c>
      <c r="G255" s="73" t="s">
        <v>679</v>
      </c>
      <c r="H255" s="35">
        <v>95</v>
      </c>
      <c r="I255" s="35" t="s">
        <v>55</v>
      </c>
      <c r="J255" s="35">
        <v>0</v>
      </c>
      <c r="K255" s="35" t="s">
        <v>489</v>
      </c>
      <c r="L255" s="35" t="s">
        <v>53</v>
      </c>
      <c r="M255" s="35">
        <v>2</v>
      </c>
      <c r="N255" s="35"/>
      <c r="O255" s="35">
        <v>1</v>
      </c>
      <c r="P255" s="35">
        <v>2</v>
      </c>
      <c r="Q255" s="35">
        <v>3</v>
      </c>
      <c r="R255" s="35" t="s">
        <v>122</v>
      </c>
      <c r="S255" s="35" t="s">
        <v>122</v>
      </c>
      <c r="T255" s="36">
        <v>44901</v>
      </c>
      <c r="U255" s="36">
        <v>2958465</v>
      </c>
      <c r="V255" s="35" t="s">
        <v>282</v>
      </c>
      <c r="W255" s="35" t="s">
        <v>145</v>
      </c>
      <c r="X255" s="35"/>
      <c r="Y255" s="35" t="s">
        <v>143</v>
      </c>
      <c r="Z255" s="35">
        <v>7589154</v>
      </c>
      <c r="AA255" s="35">
        <v>400</v>
      </c>
      <c r="AB255" s="35">
        <v>200</v>
      </c>
      <c r="AC255" s="35"/>
      <c r="AE255" s="51">
        <f>M255/O255</f>
        <v>2</v>
      </c>
      <c r="AG255" s="6" t="str">
        <f>C255</f>
        <v>90MB1BJ0-C1BAY0</v>
      </c>
      <c r="AH255" s="6" t="str">
        <f>IF($D255&lt;=AH$4,"",IF(AND($D254=AH$4,$D255&gt;AH$4),$F254,AH254))</f>
        <v>59MB1BJB-MB0A02S</v>
      </c>
      <c r="AI255" s="6" t="str">
        <f>IF($D255&lt;=AI$4,"",IF(AND($D254=AI$4,$D255&gt;AI$4),$F254,AI254))</f>
        <v/>
      </c>
      <c r="AJ255" s="6" t="str">
        <f>IF($D255&lt;=AJ$4,"",IF(AND($D254=AJ$4,$D255&gt;AJ$4),$F254,AJ254))</f>
        <v/>
      </c>
      <c r="AK255" s="6" t="str">
        <f>IF($D255&lt;=AK$4,"",IF(AND($D254=AK$4,$D255&gt;AK$4),$F254,AK254))</f>
        <v/>
      </c>
      <c r="AL255" s="6" t="str">
        <f>IF($D255&lt;=AL$4,"",IF(AND($D254=AL$4,$D255&gt;AL$4),$F254,AL254))</f>
        <v/>
      </c>
      <c r="AM255" s="6" t="str">
        <f>IF($D255&lt;=AM$4,"",IF(AND($D254=AM$4,$D255&gt;AM$4),$F254,AM254))</f>
        <v/>
      </c>
      <c r="AN255" s="6" t="str">
        <f>IF($D255&lt;=AN$4,"",IF(AND($D254=AN$4,$D255&gt;AN$4),$F254,AN254))</f>
        <v/>
      </c>
      <c r="AO255" s="6" t="str">
        <f>CONCATENATE(AG255," | ",AH255," | ",AI255," | ",AJ255," | ",AK255," | ",AL255," | ",AM255," | ",AN255)</f>
        <v xml:space="preserve">90MB1BJ0-C1BAY0 | 59MB1BJB-MB0A02S |  |  |  |  |  | </v>
      </c>
      <c r="AP255" s="6">
        <f>IF(TRIM(H255)="",100,J255)</f>
        <v>0</v>
      </c>
      <c r="AQ255" s="4"/>
      <c r="AR255" s="6" t="b">
        <f>NOT(TRIM(W255)&lt;&gt;"F")</f>
        <v>1</v>
      </c>
      <c r="AS255" s="6" t="str">
        <f>$B255&amp;" | "&amp;$AO255&amp;" | "&amp;IF(TRIM(H255)="","uniq"&amp;ROW(),TRIM(H255))</f>
        <v>461E | 90MB1BJ0-C1BAY0 | 59MB1BJB-MB0A02S |  |  |  |  |  |  | 95</v>
      </c>
      <c r="AT255" s="63">
        <f>IF(NOT(AR255),IF(TRIM($H255)="","Assembly","Phantom Alt"),VLOOKUP(F255,ZPCS04!B:G,6,0))</f>
        <v>949</v>
      </c>
      <c r="AU255" s="7"/>
      <c r="AV255" s="38">
        <f ca="1">IF(TRIM($W255)="F",OFFSET($A$5,MATCH($AS255,$AS$5:$AS255,0)-1,0),$A255)</f>
        <v>254</v>
      </c>
      <c r="AW255" s="38">
        <f ca="1">IFERROR(OFFSET(ZPCS04!$A$1,MATCH(F255,ZPCS04!B:B,0)-1,0),100)</f>
        <v>2</v>
      </c>
      <c r="AX255" s="7"/>
      <c r="AY255" s="6" t="b">
        <f>SUMIF(AS:AS,AS255,AP:AP)=100</f>
        <v>1</v>
      </c>
      <c r="AZ255" s="6" t="b">
        <f>SUMIF(AS:AS,AS255,AE:AE)/COUNTIF(AS:AS,AS255)=AE255</f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>C255&amp;" | "&amp;F255</f>
        <v>90MB1BJ0-C1BAY0 | 10G212100004020</v>
      </c>
      <c r="BE255" s="55" t="str">
        <f ca="1">C255&amp;" | "&amp;OFFSET($AF255,0,8-COUNTBLANK($AG255:$AN255))</f>
        <v>90MB1BJ0-C1BAY0 | 59MB1BJB-MB0A02S</v>
      </c>
      <c r="BF255" s="57">
        <f ca="1">IFERROR(VLOOKUP($BE255,$BD$5:$BF254,3,0)*$AE255,VLOOKUP($C255,Demanda!$A:$B,2,0)*$AE255)*IF(AT255="Phantom Alt",$BC255,TRUE)</f>
        <v>2000</v>
      </c>
      <c r="BG255" s="57">
        <f ca="1">BF255*(AP255/100)</f>
        <v>0</v>
      </c>
      <c r="BH255" s="57">
        <f>SUMIF(Invoice!A:A,F255,Invoice!B:B)</f>
        <v>0</v>
      </c>
      <c r="BI255" s="57">
        <f ca="1">SUMIF(AS:AS,AS255,BG:BG)</f>
        <v>2000</v>
      </c>
      <c r="BJ255" s="57">
        <f ca="1">MIN((BI255-SUMIF($AS$5:AS254,AS255,$BJ$5:BJ254)),MAX(0,BH255-SUMIF($F$5:F254,F255,$BJ$5:BJ254)))</f>
        <v>0</v>
      </c>
      <c r="BK255" s="57">
        <f ca="1">(-SUMIF(AS:AS,AS255,BG:BG)+SUMIF(AS:AS,AS255,BJ:BJ))*(AP255=100)*AR255</f>
        <v>0</v>
      </c>
      <c r="BL255" s="57">
        <f ca="1">MAX(0,SUMIF(Invoice!A:A,F255,Invoice!B:B)-SUMIF(F:F,F255,BJ:BJ))*(COUNTIF(F:F,F255)=COUNTIF($F$5:F255,F255))</f>
        <v>0</v>
      </c>
    </row>
    <row r="256" spans="1:64" hidden="1">
      <c r="A256" s="43">
        <v>256</v>
      </c>
      <c r="B256" s="35" t="s">
        <v>147</v>
      </c>
      <c r="C256" s="35" t="s">
        <v>146</v>
      </c>
      <c r="D256" s="35">
        <v>2</v>
      </c>
      <c r="E256" s="35">
        <v>950</v>
      </c>
      <c r="F256" s="64" t="s">
        <v>680</v>
      </c>
      <c r="G256" s="73" t="s">
        <v>681</v>
      </c>
      <c r="H256" s="35">
        <v>95</v>
      </c>
      <c r="I256" s="35" t="s">
        <v>54</v>
      </c>
      <c r="J256" s="35">
        <v>100</v>
      </c>
      <c r="K256" s="35" t="s">
        <v>150</v>
      </c>
      <c r="L256" s="35" t="s">
        <v>53</v>
      </c>
      <c r="M256" s="35">
        <v>2</v>
      </c>
      <c r="N256" s="35">
        <v>2</v>
      </c>
      <c r="O256" s="35">
        <v>1</v>
      </c>
      <c r="P256" s="35">
        <v>2</v>
      </c>
      <c r="Q256" s="35">
        <v>1</v>
      </c>
      <c r="R256" s="35" t="s">
        <v>73</v>
      </c>
      <c r="S256" s="35" t="s">
        <v>73</v>
      </c>
      <c r="T256" s="36">
        <v>44901</v>
      </c>
      <c r="U256" s="36">
        <v>2958465</v>
      </c>
      <c r="V256" s="35" t="s">
        <v>282</v>
      </c>
      <c r="W256" s="35" t="s">
        <v>145</v>
      </c>
      <c r="X256" s="35"/>
      <c r="Y256" s="35" t="s">
        <v>143</v>
      </c>
      <c r="Z256" s="35">
        <v>7589154</v>
      </c>
      <c r="AA256" s="35">
        <v>396</v>
      </c>
      <c r="AB256" s="35">
        <v>198</v>
      </c>
      <c r="AC256" s="35" t="s">
        <v>144</v>
      </c>
      <c r="AE256" s="51">
        <f>M256/O256</f>
        <v>2</v>
      </c>
      <c r="AG256" s="6" t="str">
        <f>C256</f>
        <v>90MB1BJ0-C1BAY0</v>
      </c>
      <c r="AH256" s="6" t="str">
        <f>IF($D256&lt;=AH$4,"",IF(AND($D255=AH$4,$D256&gt;AH$4),$F255,AH255))</f>
        <v>59MB1BJB-MB0A02S</v>
      </c>
      <c r="AI256" s="6" t="str">
        <f>IF($D256&lt;=AI$4,"",IF(AND($D255=AI$4,$D256&gt;AI$4),$F255,AI255))</f>
        <v/>
      </c>
      <c r="AJ256" s="6" t="str">
        <f>IF($D256&lt;=AJ$4,"",IF(AND($D255=AJ$4,$D256&gt;AJ$4),$F255,AJ255))</f>
        <v/>
      </c>
      <c r="AK256" s="6" t="str">
        <f>IF($D256&lt;=AK$4,"",IF(AND($D255=AK$4,$D256&gt;AK$4),$F255,AK255))</f>
        <v/>
      </c>
      <c r="AL256" s="6" t="str">
        <f>IF($D256&lt;=AL$4,"",IF(AND($D255=AL$4,$D256&gt;AL$4),$F255,AL255))</f>
        <v/>
      </c>
      <c r="AM256" s="6" t="str">
        <f>IF($D256&lt;=AM$4,"",IF(AND($D255=AM$4,$D256&gt;AM$4),$F255,AM255))</f>
        <v/>
      </c>
      <c r="AN256" s="6" t="str">
        <f>IF($D256&lt;=AN$4,"",IF(AND($D255=AN$4,$D256&gt;AN$4),$F255,AN255))</f>
        <v/>
      </c>
      <c r="AO256" s="6" t="str">
        <f>CONCATENATE(AG256," | ",AH256," | ",AI256," | ",AJ256," | ",AK256," | ",AL256," | ",AM256," | ",AN256)</f>
        <v xml:space="preserve">90MB1BJ0-C1BAY0 | 59MB1BJB-MB0A02S |  |  |  |  |  | </v>
      </c>
      <c r="AP256" s="6">
        <f>IF(TRIM(H256)="",100,J256)</f>
        <v>100</v>
      </c>
      <c r="AQ256" s="4"/>
      <c r="AR256" s="6" t="b">
        <f>NOT(TRIM(W256)&lt;&gt;"F")</f>
        <v>1</v>
      </c>
      <c r="AS256" s="6" t="str">
        <f>$B256&amp;" | "&amp;$AO256&amp;" | "&amp;IF(TRIM(H256)="","uniq"&amp;ROW(),TRIM(H256))</f>
        <v>461E | 90MB1BJ0-C1BAY0 | 59MB1BJB-MB0A02S |  |  |  |  |  |  | 95</v>
      </c>
      <c r="AT256" s="63">
        <f>IF(NOT(AR256),IF(TRIM($H256)="","Assembly","Phantom Alt"),VLOOKUP(F256,ZPCS04!B:G,6,0))</f>
        <v>949</v>
      </c>
      <c r="AU256" s="7"/>
      <c r="AV256" s="38">
        <f ca="1">IF(TRIM($W256)="F",OFFSET($A$5,MATCH($AS256,$AS$5:$AS256,0)-1,0),$A256)</f>
        <v>254</v>
      </c>
      <c r="AW256" s="38">
        <f ca="1">IFERROR(OFFSET(ZPCS04!$A$1,MATCH(F256,ZPCS04!B:B,0)-1,0),100)</f>
        <v>2</v>
      </c>
      <c r="AX256" s="7"/>
      <c r="AY256" s="6" t="b">
        <f>SUMIF(AS:AS,AS256,AP:AP)=100</f>
        <v>1</v>
      </c>
      <c r="AZ256" s="6" t="b">
        <f>SUMIF(AS:AS,AS256,AE:AE)/COUNTIF(AS:AS,AS256)=AE256</f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>C256&amp;" | "&amp;F256</f>
        <v>90MB1BJ0-C1BAY0 | 10G212100004050</v>
      </c>
      <c r="BE256" s="55" t="str">
        <f ca="1">C256&amp;" | "&amp;OFFSET($AF256,0,8-COUNTBLANK($AG256:$AN256))</f>
        <v>90MB1BJ0-C1BAY0 | 59MB1BJB-MB0A02S</v>
      </c>
      <c r="BF256" s="57">
        <f ca="1">IFERROR(VLOOKUP($BE256,$BD$5:$BF255,3,0)*$AE256,VLOOKUP($C256,Demanda!$A:$B,2,0)*$AE256)*IF(AT256="Phantom Alt",$BC256,TRUE)</f>
        <v>2000</v>
      </c>
      <c r="BG256" s="57">
        <f ca="1">BF256*(AP256/100)</f>
        <v>2000</v>
      </c>
      <c r="BH256" s="57">
        <f>SUMIF(Invoice!A:A,F256,Invoice!B:B)</f>
        <v>0</v>
      </c>
      <c r="BI256" s="57">
        <f ca="1">SUMIF(AS:AS,AS256,BG:BG)</f>
        <v>2000</v>
      </c>
      <c r="BJ256" s="57">
        <f ca="1">MIN((BI256-SUMIF($AS$5:AS255,AS256,$BJ$5:BJ255)),MAX(0,BH256-SUMIF($F$5:F255,F256,$BJ$5:BJ255)))</f>
        <v>0</v>
      </c>
      <c r="BK256" s="57">
        <f ca="1">(-SUMIF(AS:AS,AS256,BG:BG)+SUMIF(AS:AS,AS256,BJ:BJ))*(AP256=100)*AR256</f>
        <v>0</v>
      </c>
      <c r="BL256" s="57">
        <f ca="1">MAX(0,SUMIF(Invoice!A:A,F256,Invoice!B:B)-SUMIF(F:F,F256,BJ:BJ))*(COUNTIF(F:F,F256)=COUNTIF($F$5:F256,F256))</f>
        <v>0</v>
      </c>
    </row>
    <row r="257" spans="1:64" hidden="1">
      <c r="A257" s="43">
        <v>257</v>
      </c>
      <c r="B257" s="35" t="s">
        <v>147</v>
      </c>
      <c r="C257" s="35" t="s">
        <v>146</v>
      </c>
      <c r="D257" s="35">
        <v>2</v>
      </c>
      <c r="E257" s="35">
        <v>960</v>
      </c>
      <c r="F257" s="64" t="s">
        <v>682</v>
      </c>
      <c r="G257" s="73" t="s">
        <v>683</v>
      </c>
      <c r="H257" s="35">
        <v>96</v>
      </c>
      <c r="I257" s="35" t="s">
        <v>55</v>
      </c>
      <c r="J257" s="35">
        <v>0</v>
      </c>
      <c r="K257" s="35" t="s">
        <v>489</v>
      </c>
      <c r="L257" s="35" t="s">
        <v>53</v>
      </c>
      <c r="M257" s="35">
        <v>10</v>
      </c>
      <c r="N257" s="35"/>
      <c r="O257" s="35">
        <v>1</v>
      </c>
      <c r="P257" s="35">
        <v>2</v>
      </c>
      <c r="Q257" s="35">
        <v>3</v>
      </c>
      <c r="R257" s="35" t="s">
        <v>122</v>
      </c>
      <c r="S257" s="35" t="s">
        <v>122</v>
      </c>
      <c r="T257" s="36">
        <v>44901</v>
      </c>
      <c r="U257" s="36">
        <v>2958465</v>
      </c>
      <c r="V257" s="35" t="s">
        <v>282</v>
      </c>
      <c r="W257" s="35" t="s">
        <v>145</v>
      </c>
      <c r="X257" s="35"/>
      <c r="Y257" s="35" t="s">
        <v>143</v>
      </c>
      <c r="Z257" s="35">
        <v>7589154</v>
      </c>
      <c r="AA257" s="35">
        <v>406</v>
      </c>
      <c r="AB257" s="35">
        <v>203</v>
      </c>
      <c r="AC257" s="35" t="s">
        <v>144</v>
      </c>
      <c r="AE257" s="51">
        <f>M257/O257</f>
        <v>10</v>
      </c>
      <c r="AG257" s="6" t="str">
        <f>C257</f>
        <v>90MB1BJ0-C1BAY0</v>
      </c>
      <c r="AH257" s="6" t="str">
        <f>IF($D257&lt;=AH$4,"",IF(AND($D256=AH$4,$D257&gt;AH$4),$F256,AH256))</f>
        <v>59MB1BJB-MB0A02S</v>
      </c>
      <c r="AI257" s="6" t="str">
        <f>IF($D257&lt;=AI$4,"",IF(AND($D256=AI$4,$D257&gt;AI$4),$F256,AI256))</f>
        <v/>
      </c>
      <c r="AJ257" s="6" t="str">
        <f>IF($D257&lt;=AJ$4,"",IF(AND($D256=AJ$4,$D257&gt;AJ$4),$F256,AJ256))</f>
        <v/>
      </c>
      <c r="AK257" s="6" t="str">
        <f>IF($D257&lt;=AK$4,"",IF(AND($D256=AK$4,$D257&gt;AK$4),$F256,AK256))</f>
        <v/>
      </c>
      <c r="AL257" s="6" t="str">
        <f>IF($D257&lt;=AL$4,"",IF(AND($D256=AL$4,$D257&gt;AL$4),$F256,AL256))</f>
        <v/>
      </c>
      <c r="AM257" s="6" t="str">
        <f>IF($D257&lt;=AM$4,"",IF(AND($D256=AM$4,$D257&gt;AM$4),$F256,AM256))</f>
        <v/>
      </c>
      <c r="AN257" s="6" t="str">
        <f>IF($D257&lt;=AN$4,"",IF(AND($D256=AN$4,$D257&gt;AN$4),$F256,AN256))</f>
        <v/>
      </c>
      <c r="AO257" s="6" t="str">
        <f>CONCATENATE(AG257," | ",AH257," | ",AI257," | ",AJ257," | ",AK257," | ",AL257," | ",AM257," | ",AN257)</f>
        <v xml:space="preserve">90MB1BJ0-C1BAY0 | 59MB1BJB-MB0A02S |  |  |  |  |  | </v>
      </c>
      <c r="AP257" s="6">
        <f>IF(TRIM(H257)="",100,J257)</f>
        <v>0</v>
      </c>
      <c r="AQ257" s="4"/>
      <c r="AR257" s="6" t="b">
        <f>NOT(TRIM(W257)&lt;&gt;"F")</f>
        <v>1</v>
      </c>
      <c r="AS257" s="6" t="str">
        <f>$B257&amp;" | "&amp;$AO257&amp;" | "&amp;IF(TRIM(H257)="","uniq"&amp;ROW(),TRIM(H257))</f>
        <v>461E | 90MB1BJ0-C1BAY0 | 59MB1BJB-MB0A02S |  |  |  |  |  |  | 96</v>
      </c>
      <c r="AT257" s="63">
        <f>IF(NOT(AR257),IF(TRIM($H257)="","Assembly","Phantom Alt"),VLOOKUP(F257,ZPCS04!B:G,6,0))</f>
        <v>636</v>
      </c>
      <c r="AU257" s="7"/>
      <c r="AV257" s="38">
        <f ca="1">IF(TRIM($W257)="F",OFFSET($A$5,MATCH($AS257,$AS$5:$AS257,0)-1,0),$A257)</f>
        <v>257</v>
      </c>
      <c r="AW257" s="38">
        <f ca="1">IFERROR(OFFSET(ZPCS04!$A$1,MATCH(F257,ZPCS04!B:B,0)-1,0),100)</f>
        <v>1.9999999000000002</v>
      </c>
      <c r="AX257" s="7"/>
      <c r="AY257" s="6" t="b">
        <f>SUMIF(AS:AS,AS257,AP:AP)=100</f>
        <v>1</v>
      </c>
      <c r="AZ257" s="6" t="b">
        <f>SUMIF(AS:AS,AS257,AE:AE)/COUNTIF(AS:AS,AS257)=AE257</f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>C257&amp;" | "&amp;F257</f>
        <v>90MB1BJ0-C1BAY0 | 10G212100014010</v>
      </c>
      <c r="BE257" s="55" t="str">
        <f ca="1">C257&amp;" | "&amp;OFFSET($AF257,0,8-COUNTBLANK($AG257:$AN257))</f>
        <v>90MB1BJ0-C1BAY0 | 59MB1BJB-MB0A02S</v>
      </c>
      <c r="BF257" s="57">
        <f ca="1">IFERROR(VLOOKUP($BE257,$BD$5:$BF256,3,0)*$AE257,VLOOKUP($C257,Demanda!$A:$B,2,0)*$AE257)*IF(AT257="Phantom Alt",$BC257,TRUE)</f>
        <v>10000</v>
      </c>
      <c r="BG257" s="57">
        <f ca="1">BF257*(AP257/100)</f>
        <v>0</v>
      </c>
      <c r="BH257" s="57">
        <f>SUMIF(Invoice!A:A,F257,Invoice!B:B)</f>
        <v>10000</v>
      </c>
      <c r="BI257" s="57">
        <f ca="1">SUMIF(AS:AS,AS257,BG:BG)</f>
        <v>10000</v>
      </c>
      <c r="BJ257" s="57">
        <f ca="1">MIN((BI257-SUMIF($AS$5:AS256,AS257,$BJ$5:BJ256)),MAX(0,BH257-SUMIF($F$5:F256,F257,$BJ$5:BJ256)))</f>
        <v>10000</v>
      </c>
      <c r="BK257" s="57">
        <f ca="1">(-SUMIF(AS:AS,AS257,BG:BG)+SUMIF(AS:AS,AS257,BJ:BJ))*(AP257=100)*AR257</f>
        <v>0</v>
      </c>
      <c r="BL257" s="57">
        <f ca="1">MAX(0,SUMIF(Invoice!A:A,F257,Invoice!B:B)-SUMIF(F:F,F257,BJ:BJ))*(COUNTIF(F:F,F257)=COUNTIF($F$5:F257,F257))</f>
        <v>0</v>
      </c>
    </row>
    <row r="258" spans="1:64" hidden="1">
      <c r="A258" s="43">
        <v>258</v>
      </c>
      <c r="B258" s="35" t="s">
        <v>147</v>
      </c>
      <c r="C258" s="35" t="s">
        <v>146</v>
      </c>
      <c r="D258" s="35">
        <v>2</v>
      </c>
      <c r="E258" s="35">
        <v>960</v>
      </c>
      <c r="F258" s="64" t="s">
        <v>684</v>
      </c>
      <c r="G258" s="73" t="s">
        <v>685</v>
      </c>
      <c r="H258" s="35">
        <v>96</v>
      </c>
      <c r="I258" s="35" t="s">
        <v>54</v>
      </c>
      <c r="J258" s="35">
        <v>100</v>
      </c>
      <c r="K258" s="35" t="s">
        <v>489</v>
      </c>
      <c r="L258" s="35" t="s">
        <v>53</v>
      </c>
      <c r="M258" s="35">
        <v>10</v>
      </c>
      <c r="N258" s="35">
        <v>10</v>
      </c>
      <c r="O258" s="35">
        <v>1</v>
      </c>
      <c r="P258" s="35">
        <v>2</v>
      </c>
      <c r="Q258" s="35">
        <v>1</v>
      </c>
      <c r="R258" s="35" t="s">
        <v>122</v>
      </c>
      <c r="S258" s="35" t="s">
        <v>122</v>
      </c>
      <c r="T258" s="36">
        <v>44901</v>
      </c>
      <c r="U258" s="36">
        <v>2958465</v>
      </c>
      <c r="V258" s="35" t="s">
        <v>282</v>
      </c>
      <c r="W258" s="35" t="s">
        <v>145</v>
      </c>
      <c r="X258" s="35"/>
      <c r="Y258" s="35" t="s">
        <v>143</v>
      </c>
      <c r="Z258" s="35">
        <v>7589154</v>
      </c>
      <c r="AA258" s="35">
        <v>402</v>
      </c>
      <c r="AB258" s="35">
        <v>201</v>
      </c>
      <c r="AC258" s="35"/>
      <c r="AE258" s="51">
        <f>M258/O258</f>
        <v>10</v>
      </c>
      <c r="AG258" s="6" t="str">
        <f>C258</f>
        <v>90MB1BJ0-C1BAY0</v>
      </c>
      <c r="AH258" s="6" t="str">
        <f>IF($D258&lt;=AH$4,"",IF(AND($D257=AH$4,$D258&gt;AH$4),$F257,AH257))</f>
        <v>59MB1BJB-MB0A02S</v>
      </c>
      <c r="AI258" s="6" t="str">
        <f>IF($D258&lt;=AI$4,"",IF(AND($D257=AI$4,$D258&gt;AI$4),$F257,AI257))</f>
        <v/>
      </c>
      <c r="AJ258" s="6" t="str">
        <f>IF($D258&lt;=AJ$4,"",IF(AND($D257=AJ$4,$D258&gt;AJ$4),$F257,AJ257))</f>
        <v/>
      </c>
      <c r="AK258" s="6" t="str">
        <f>IF($D258&lt;=AK$4,"",IF(AND($D257=AK$4,$D258&gt;AK$4),$F257,AK257))</f>
        <v/>
      </c>
      <c r="AL258" s="6" t="str">
        <f>IF($D258&lt;=AL$4,"",IF(AND($D257=AL$4,$D258&gt;AL$4),$F257,AL257))</f>
        <v/>
      </c>
      <c r="AM258" s="6" t="str">
        <f>IF($D258&lt;=AM$4,"",IF(AND($D257=AM$4,$D258&gt;AM$4),$F257,AM257))</f>
        <v/>
      </c>
      <c r="AN258" s="6" t="str">
        <f>IF($D258&lt;=AN$4,"",IF(AND($D257=AN$4,$D258&gt;AN$4),$F257,AN257))</f>
        <v/>
      </c>
      <c r="AO258" s="6" t="str">
        <f>CONCATENATE(AG258," | ",AH258," | ",AI258," | ",AJ258," | ",AK258," | ",AL258," | ",AM258," | ",AN258)</f>
        <v xml:space="preserve">90MB1BJ0-C1BAY0 | 59MB1BJB-MB0A02S |  |  |  |  |  | </v>
      </c>
      <c r="AP258" s="6">
        <f>IF(TRIM(H258)="",100,J258)</f>
        <v>100</v>
      </c>
      <c r="AQ258" s="4"/>
      <c r="AR258" s="6" t="b">
        <f>NOT(TRIM(W258)&lt;&gt;"F")</f>
        <v>1</v>
      </c>
      <c r="AS258" s="6" t="str">
        <f>$B258&amp;" | "&amp;$AO258&amp;" | "&amp;IF(TRIM(H258)="","uniq"&amp;ROW(),TRIM(H258))</f>
        <v>461E | 90MB1BJ0-C1BAY0 | 59MB1BJB-MB0A02S |  |  |  |  |  |  | 96</v>
      </c>
      <c r="AT258" s="63">
        <f>IF(NOT(AR258),IF(TRIM($H258)="","Assembly","Phantom Alt"),VLOOKUP(F258,ZPCS04!B:G,6,0))</f>
        <v>636</v>
      </c>
      <c r="AU258" s="7"/>
      <c r="AV258" s="38">
        <f ca="1">IF(TRIM($W258)="F",OFFSET($A$5,MATCH($AS258,$AS$5:$AS258,0)-1,0),$A258)</f>
        <v>257</v>
      </c>
      <c r="AW258" s="38">
        <f ca="1">IFERROR(OFFSET(ZPCS04!$A$1,MATCH(F258,ZPCS04!B:B,0)-1,0),100)</f>
        <v>2</v>
      </c>
      <c r="AX258" s="7"/>
      <c r="AY258" s="6" t="b">
        <f>SUMIF(AS:AS,AS258,AP:AP)=100</f>
        <v>1</v>
      </c>
      <c r="AZ258" s="6" t="b">
        <f>SUMIF(AS:AS,AS258,AE:AE)/COUNTIF(AS:AS,AS258)=AE258</f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>C258&amp;" | "&amp;F258</f>
        <v>90MB1BJ0-C1BAY0 | 10G212100014020</v>
      </c>
      <c r="BE258" s="55" t="str">
        <f ca="1">C258&amp;" | "&amp;OFFSET($AF258,0,8-COUNTBLANK($AG258:$AN258))</f>
        <v>90MB1BJ0-C1BAY0 | 59MB1BJB-MB0A02S</v>
      </c>
      <c r="BF258" s="57">
        <f ca="1">IFERROR(VLOOKUP($BE258,$BD$5:$BF257,3,0)*$AE258,VLOOKUP($C258,Demanda!$A:$B,2,0)*$AE258)*IF(AT258="Phantom Alt",$BC258,TRUE)</f>
        <v>10000</v>
      </c>
      <c r="BG258" s="57">
        <f ca="1">BF258*(AP258/100)</f>
        <v>10000</v>
      </c>
      <c r="BH258" s="57">
        <f>SUMIF(Invoice!A:A,F258,Invoice!B:B)</f>
        <v>0</v>
      </c>
      <c r="BI258" s="57">
        <f ca="1">SUMIF(AS:AS,AS258,BG:BG)</f>
        <v>10000</v>
      </c>
      <c r="BJ258" s="57">
        <f ca="1">MIN((BI258-SUMIF($AS$5:AS257,AS258,$BJ$5:BJ257)),MAX(0,BH258-SUMIF($F$5:F257,F258,$BJ$5:BJ257)))</f>
        <v>0</v>
      </c>
      <c r="BK258" s="57">
        <f ca="1">(-SUMIF(AS:AS,AS258,BG:BG)+SUMIF(AS:AS,AS258,BJ:BJ))*(AP258=100)*AR258</f>
        <v>0</v>
      </c>
      <c r="BL258" s="57">
        <f ca="1">MAX(0,SUMIF(Invoice!A:A,F258,Invoice!B:B)-SUMIF(F:F,F258,BJ:BJ))*(COUNTIF(F:F,F258)=COUNTIF($F$5:F258,F258))</f>
        <v>0</v>
      </c>
    </row>
    <row r="259" spans="1:64" hidden="1">
      <c r="A259" s="43">
        <v>259</v>
      </c>
      <c r="B259" s="35" t="s">
        <v>147</v>
      </c>
      <c r="C259" s="35" t="s">
        <v>146</v>
      </c>
      <c r="D259" s="35">
        <v>2</v>
      </c>
      <c r="E259" s="35">
        <v>960</v>
      </c>
      <c r="F259" s="64" t="s">
        <v>686</v>
      </c>
      <c r="G259" s="73" t="s">
        <v>687</v>
      </c>
      <c r="H259" s="35">
        <v>96</v>
      </c>
      <c r="I259" s="35" t="s">
        <v>55</v>
      </c>
      <c r="J259" s="35">
        <v>0</v>
      </c>
      <c r="K259" s="35" t="s">
        <v>150</v>
      </c>
      <c r="L259" s="35" t="s">
        <v>53</v>
      </c>
      <c r="M259" s="35">
        <v>10</v>
      </c>
      <c r="N259" s="35"/>
      <c r="O259" s="35">
        <v>1</v>
      </c>
      <c r="P259" s="35">
        <v>2</v>
      </c>
      <c r="Q259" s="35">
        <v>2</v>
      </c>
      <c r="R259" s="35" t="s">
        <v>73</v>
      </c>
      <c r="S259" s="35" t="s">
        <v>73</v>
      </c>
      <c r="T259" s="36">
        <v>44901</v>
      </c>
      <c r="U259" s="36">
        <v>2958465</v>
      </c>
      <c r="V259" s="35" t="s">
        <v>282</v>
      </c>
      <c r="W259" s="35" t="s">
        <v>145</v>
      </c>
      <c r="X259" s="35"/>
      <c r="Y259" s="35" t="s">
        <v>143</v>
      </c>
      <c r="Z259" s="35">
        <v>7589154</v>
      </c>
      <c r="AA259" s="35">
        <v>404</v>
      </c>
      <c r="AB259" s="35">
        <v>202</v>
      </c>
      <c r="AC259" s="35"/>
      <c r="AE259" s="51">
        <f>M259/O259</f>
        <v>10</v>
      </c>
      <c r="AG259" s="6" t="str">
        <f>C259</f>
        <v>90MB1BJ0-C1BAY0</v>
      </c>
      <c r="AH259" s="6" t="str">
        <f>IF($D259&lt;=AH$4,"",IF(AND($D258=AH$4,$D259&gt;AH$4),$F258,AH258))</f>
        <v>59MB1BJB-MB0A02S</v>
      </c>
      <c r="AI259" s="6" t="str">
        <f>IF($D259&lt;=AI$4,"",IF(AND($D258=AI$4,$D259&gt;AI$4),$F258,AI258))</f>
        <v/>
      </c>
      <c r="AJ259" s="6" t="str">
        <f>IF($D259&lt;=AJ$4,"",IF(AND($D258=AJ$4,$D259&gt;AJ$4),$F258,AJ258))</f>
        <v/>
      </c>
      <c r="AK259" s="6" t="str">
        <f>IF($D259&lt;=AK$4,"",IF(AND($D258=AK$4,$D259&gt;AK$4),$F258,AK258))</f>
        <v/>
      </c>
      <c r="AL259" s="6" t="str">
        <f>IF($D259&lt;=AL$4,"",IF(AND($D258=AL$4,$D259&gt;AL$4),$F258,AL258))</f>
        <v/>
      </c>
      <c r="AM259" s="6" t="str">
        <f>IF($D259&lt;=AM$4,"",IF(AND($D258=AM$4,$D259&gt;AM$4),$F258,AM258))</f>
        <v/>
      </c>
      <c r="AN259" s="6" t="str">
        <f>IF($D259&lt;=AN$4,"",IF(AND($D258=AN$4,$D259&gt;AN$4),$F258,AN258))</f>
        <v/>
      </c>
      <c r="AO259" s="6" t="str">
        <f>CONCATENATE(AG259," | ",AH259," | ",AI259," | ",AJ259," | ",AK259," | ",AL259," | ",AM259," | ",AN259)</f>
        <v xml:space="preserve">90MB1BJ0-C1BAY0 | 59MB1BJB-MB0A02S |  |  |  |  |  | </v>
      </c>
      <c r="AP259" s="6">
        <f>IF(TRIM(H259)="",100,J259)</f>
        <v>0</v>
      </c>
      <c r="AQ259" s="4"/>
      <c r="AR259" s="6" t="b">
        <f>NOT(TRIM(W259)&lt;&gt;"F")</f>
        <v>1</v>
      </c>
      <c r="AS259" s="6" t="str">
        <f>$B259&amp;" | "&amp;$AO259&amp;" | "&amp;IF(TRIM(H259)="","uniq"&amp;ROW(),TRIM(H259))</f>
        <v>461E | 90MB1BJ0-C1BAY0 | 59MB1BJB-MB0A02S |  |  |  |  |  |  | 96</v>
      </c>
      <c r="AT259" s="63">
        <f>IF(NOT(AR259),IF(TRIM($H259)="","Assembly","Phantom Alt"),VLOOKUP(F259,ZPCS04!B:G,6,0))</f>
        <v>636</v>
      </c>
      <c r="AU259" s="7"/>
      <c r="AV259" s="38">
        <f ca="1">IF(TRIM($W259)="F",OFFSET($A$5,MATCH($AS259,$AS$5:$AS259,0)-1,0),$A259)</f>
        <v>257</v>
      </c>
      <c r="AW259" s="38">
        <f ca="1">IFERROR(OFFSET(ZPCS04!$A$1,MATCH(F259,ZPCS04!B:B,0)-1,0),100)</f>
        <v>2</v>
      </c>
      <c r="AX259" s="7"/>
      <c r="AY259" s="6" t="b">
        <f>SUMIF(AS:AS,AS259,AP:AP)=100</f>
        <v>1</v>
      </c>
      <c r="AZ259" s="6" t="b">
        <f>SUMIF(AS:AS,AS259,AE:AE)/COUNTIF(AS:AS,AS259)=AE259</f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>C259&amp;" | "&amp;F259</f>
        <v>90MB1BJ0-C1BAY0 | 10G212100014050</v>
      </c>
      <c r="BE259" s="55" t="str">
        <f ca="1">C259&amp;" | "&amp;OFFSET($AF259,0,8-COUNTBLANK($AG259:$AN259))</f>
        <v>90MB1BJ0-C1BAY0 | 59MB1BJB-MB0A02S</v>
      </c>
      <c r="BF259" s="57">
        <f ca="1">IFERROR(VLOOKUP($BE259,$BD$5:$BF258,3,0)*$AE259,VLOOKUP($C259,Demanda!$A:$B,2,0)*$AE259)*IF(AT259="Phantom Alt",$BC259,TRUE)</f>
        <v>10000</v>
      </c>
      <c r="BG259" s="57">
        <f ca="1">BF259*(AP259/100)</f>
        <v>0</v>
      </c>
      <c r="BH259" s="57">
        <f>SUMIF(Invoice!A:A,F259,Invoice!B:B)</f>
        <v>0</v>
      </c>
      <c r="BI259" s="57">
        <f ca="1">SUMIF(AS:AS,AS259,BG:BG)</f>
        <v>10000</v>
      </c>
      <c r="BJ259" s="57">
        <f ca="1">MIN((BI259-SUMIF($AS$5:AS258,AS259,$BJ$5:BJ258)),MAX(0,BH259-SUMIF($F$5:F258,F259,$BJ$5:BJ258)))</f>
        <v>0</v>
      </c>
      <c r="BK259" s="57">
        <f ca="1">(-SUMIF(AS:AS,AS259,BG:BG)+SUMIF(AS:AS,AS259,BJ:BJ))*(AP259=100)*AR259</f>
        <v>0</v>
      </c>
      <c r="BL259" s="57">
        <f ca="1">MAX(0,SUMIF(Invoice!A:A,F259,Invoice!B:B)-SUMIF(F:F,F259,BJ:BJ))*(COUNTIF(F:F,F259)=COUNTIF($F$5:F259,F259))</f>
        <v>0</v>
      </c>
    </row>
    <row r="260" spans="1:64" hidden="1">
      <c r="A260" s="43">
        <v>260</v>
      </c>
      <c r="B260" s="35" t="s">
        <v>147</v>
      </c>
      <c r="C260" s="35" t="s">
        <v>146</v>
      </c>
      <c r="D260" s="35">
        <v>2</v>
      </c>
      <c r="E260" s="35">
        <v>970</v>
      </c>
      <c r="F260" s="64" t="s">
        <v>688</v>
      </c>
      <c r="G260" s="73" t="s">
        <v>689</v>
      </c>
      <c r="H260" s="35">
        <v>97</v>
      </c>
      <c r="I260" s="35" t="s">
        <v>54</v>
      </c>
      <c r="J260" s="35">
        <v>100</v>
      </c>
      <c r="K260" s="35" t="s">
        <v>489</v>
      </c>
      <c r="L260" s="35" t="s">
        <v>53</v>
      </c>
      <c r="M260" s="35">
        <v>67</v>
      </c>
      <c r="N260" s="35">
        <v>67</v>
      </c>
      <c r="O260" s="35">
        <v>1</v>
      </c>
      <c r="P260" s="35">
        <v>2</v>
      </c>
      <c r="Q260" s="35">
        <v>1</v>
      </c>
      <c r="R260" s="35" t="s">
        <v>122</v>
      </c>
      <c r="S260" s="35" t="s">
        <v>122</v>
      </c>
      <c r="T260" s="36">
        <v>44901</v>
      </c>
      <c r="U260" s="36">
        <v>2958465</v>
      </c>
      <c r="V260" s="35" t="s">
        <v>282</v>
      </c>
      <c r="W260" s="35" t="s">
        <v>145</v>
      </c>
      <c r="X260" s="35"/>
      <c r="Y260" s="35" t="s">
        <v>143</v>
      </c>
      <c r="Z260" s="35">
        <v>7589154</v>
      </c>
      <c r="AA260" s="35">
        <v>408</v>
      </c>
      <c r="AB260" s="35">
        <v>204</v>
      </c>
      <c r="AC260" s="35"/>
      <c r="AE260" s="51">
        <f>M260/O260</f>
        <v>67</v>
      </c>
      <c r="AG260" s="6" t="str">
        <f>C260</f>
        <v>90MB1BJ0-C1BAY0</v>
      </c>
      <c r="AH260" s="6" t="str">
        <f>IF($D260&lt;=AH$4,"",IF(AND($D259=AH$4,$D260&gt;AH$4),$F259,AH259))</f>
        <v>59MB1BJB-MB0A02S</v>
      </c>
      <c r="AI260" s="6" t="str">
        <f>IF($D260&lt;=AI$4,"",IF(AND($D259=AI$4,$D260&gt;AI$4),$F259,AI259))</f>
        <v/>
      </c>
      <c r="AJ260" s="6" t="str">
        <f>IF($D260&lt;=AJ$4,"",IF(AND($D259=AJ$4,$D260&gt;AJ$4),$F259,AJ259))</f>
        <v/>
      </c>
      <c r="AK260" s="6" t="str">
        <f>IF($D260&lt;=AK$4,"",IF(AND($D259=AK$4,$D260&gt;AK$4),$F259,AK259))</f>
        <v/>
      </c>
      <c r="AL260" s="6" t="str">
        <f>IF($D260&lt;=AL$4,"",IF(AND($D259=AL$4,$D260&gt;AL$4),$F259,AL259))</f>
        <v/>
      </c>
      <c r="AM260" s="6" t="str">
        <f>IF($D260&lt;=AM$4,"",IF(AND($D259=AM$4,$D260&gt;AM$4),$F259,AM259))</f>
        <v/>
      </c>
      <c r="AN260" s="6" t="str">
        <f>IF($D260&lt;=AN$4,"",IF(AND($D259=AN$4,$D260&gt;AN$4),$F259,AN259))</f>
        <v/>
      </c>
      <c r="AO260" s="6" t="str">
        <f>CONCATENATE(AG260," | ",AH260," | ",AI260," | ",AJ260," | ",AK260," | ",AL260," | ",AM260," | ",AN260)</f>
        <v xml:space="preserve">90MB1BJ0-C1BAY0 | 59MB1BJB-MB0A02S |  |  |  |  |  | </v>
      </c>
      <c r="AP260" s="6">
        <f>IF(TRIM(H260)="",100,J260)</f>
        <v>100</v>
      </c>
      <c r="AQ260" s="4"/>
      <c r="AR260" s="6" t="b">
        <f>NOT(TRIM(W260)&lt;&gt;"F")</f>
        <v>1</v>
      </c>
      <c r="AS260" s="6" t="str">
        <f>$B260&amp;" | "&amp;$AO260&amp;" | "&amp;IF(TRIM(H260)="","uniq"&amp;ROW(),TRIM(H260))</f>
        <v>461E | 90MB1BJ0-C1BAY0 | 59MB1BJB-MB0A02S |  |  |  |  |  |  | 97</v>
      </c>
      <c r="AT260" s="63">
        <f>IF(NOT(AR260),IF(TRIM($H260)="","Assembly","Phantom Alt"),VLOOKUP(F260,ZPCS04!B:G,6,0))</f>
        <v>637</v>
      </c>
      <c r="AU260" s="7"/>
      <c r="AV260" s="38">
        <f ca="1">IF(TRIM($W260)="F",OFFSET($A$5,MATCH($AS260,$AS$5:$AS260,0)-1,0),$A260)</f>
        <v>260</v>
      </c>
      <c r="AW260" s="38">
        <f ca="1">IFERROR(OFFSET(ZPCS04!$A$1,MATCH(F260,ZPCS04!B:B,0)-1,0),100)</f>
        <v>1.9999993</v>
      </c>
      <c r="AX260" s="7"/>
      <c r="AY260" s="6" t="b">
        <f>SUMIF(AS:AS,AS260,AP:AP)=100</f>
        <v>1</v>
      </c>
      <c r="AZ260" s="6" t="b">
        <f>SUMIF(AS:AS,AS260,AE:AE)/COUNTIF(AS:AS,AS260)=AE260</f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>C260&amp;" | "&amp;F260</f>
        <v>90MB1BJ0-C1BAY0 | 10G212100114010</v>
      </c>
      <c r="BE260" s="55" t="str">
        <f ca="1">C260&amp;" | "&amp;OFFSET($AF260,0,8-COUNTBLANK($AG260:$AN260))</f>
        <v>90MB1BJ0-C1BAY0 | 59MB1BJB-MB0A02S</v>
      </c>
      <c r="BF260" s="57">
        <f ca="1">IFERROR(VLOOKUP($BE260,$BD$5:$BF259,3,0)*$AE260,VLOOKUP($C260,Demanda!$A:$B,2,0)*$AE260)*IF(AT260="Phantom Alt",$BC260,TRUE)</f>
        <v>67000</v>
      </c>
      <c r="BG260" s="57">
        <f ca="1">BF260*(AP260/100)</f>
        <v>67000</v>
      </c>
      <c r="BH260" s="57">
        <f>SUMIF(Invoice!A:A,F260,Invoice!B:B)</f>
        <v>70000</v>
      </c>
      <c r="BI260" s="57">
        <f ca="1">SUMIF(AS:AS,AS260,BG:BG)</f>
        <v>67000</v>
      </c>
      <c r="BJ260" s="57">
        <f ca="1">MIN((BI260-SUMIF($AS$5:AS259,AS260,$BJ$5:BJ259)),MAX(0,BH260-SUMIF($F$5:F259,F260,$BJ$5:BJ259)))</f>
        <v>67000</v>
      </c>
      <c r="BK260" s="57">
        <f ca="1">(-SUMIF(AS:AS,AS260,BG:BG)+SUMIF(AS:AS,AS260,BJ:BJ))*(AP260=100)*AR260</f>
        <v>0</v>
      </c>
      <c r="BL260" s="57">
        <f ca="1">MAX(0,SUMIF(Invoice!A:A,F260,Invoice!B:B)-SUMIF(F:F,F260,BJ:BJ))*(COUNTIF(F:F,F260)=COUNTIF($F$5:F260,F260))</f>
        <v>3000</v>
      </c>
    </row>
    <row r="261" spans="1:64" hidden="1">
      <c r="A261" s="43">
        <v>261</v>
      </c>
      <c r="B261" s="35" t="s">
        <v>147</v>
      </c>
      <c r="C261" s="35" t="s">
        <v>146</v>
      </c>
      <c r="D261" s="35">
        <v>2</v>
      </c>
      <c r="E261" s="35">
        <v>970</v>
      </c>
      <c r="F261" s="64" t="s">
        <v>690</v>
      </c>
      <c r="G261" s="73" t="s">
        <v>691</v>
      </c>
      <c r="H261" s="35">
        <v>97</v>
      </c>
      <c r="I261" s="35" t="s">
        <v>55</v>
      </c>
      <c r="J261" s="35">
        <v>0</v>
      </c>
      <c r="K261" s="35" t="s">
        <v>489</v>
      </c>
      <c r="L261" s="35" t="s">
        <v>53</v>
      </c>
      <c r="M261" s="35">
        <v>67</v>
      </c>
      <c r="N261" s="35"/>
      <c r="O261" s="35">
        <v>1</v>
      </c>
      <c r="P261" s="35">
        <v>2</v>
      </c>
      <c r="Q261" s="35">
        <v>2</v>
      </c>
      <c r="R261" s="35" t="s">
        <v>122</v>
      </c>
      <c r="S261" s="35" t="s">
        <v>122</v>
      </c>
      <c r="T261" s="36">
        <v>44901</v>
      </c>
      <c r="U261" s="36">
        <v>2958465</v>
      </c>
      <c r="V261" s="35" t="s">
        <v>282</v>
      </c>
      <c r="W261" s="35" t="s">
        <v>145</v>
      </c>
      <c r="X261" s="35"/>
      <c r="Y261" s="35" t="s">
        <v>143</v>
      </c>
      <c r="Z261" s="35">
        <v>7589154</v>
      </c>
      <c r="AA261" s="35">
        <v>410</v>
      </c>
      <c r="AB261" s="35">
        <v>205</v>
      </c>
      <c r="AC261" s="35"/>
      <c r="AE261" s="51">
        <f>M261/O261</f>
        <v>67</v>
      </c>
      <c r="AG261" s="6" t="str">
        <f>C261</f>
        <v>90MB1BJ0-C1BAY0</v>
      </c>
      <c r="AH261" s="6" t="str">
        <f>IF($D261&lt;=AH$4,"",IF(AND($D260=AH$4,$D261&gt;AH$4),$F260,AH260))</f>
        <v>59MB1BJB-MB0A02S</v>
      </c>
      <c r="AI261" s="6" t="str">
        <f>IF($D261&lt;=AI$4,"",IF(AND($D260=AI$4,$D261&gt;AI$4),$F260,AI260))</f>
        <v/>
      </c>
      <c r="AJ261" s="6" t="str">
        <f>IF($D261&lt;=AJ$4,"",IF(AND($D260=AJ$4,$D261&gt;AJ$4),$F260,AJ260))</f>
        <v/>
      </c>
      <c r="AK261" s="6" t="str">
        <f>IF($D261&lt;=AK$4,"",IF(AND($D260=AK$4,$D261&gt;AK$4),$F260,AK260))</f>
        <v/>
      </c>
      <c r="AL261" s="6" t="str">
        <f>IF($D261&lt;=AL$4,"",IF(AND($D260=AL$4,$D261&gt;AL$4),$F260,AL260))</f>
        <v/>
      </c>
      <c r="AM261" s="6" t="str">
        <f>IF($D261&lt;=AM$4,"",IF(AND($D260=AM$4,$D261&gt;AM$4),$F260,AM260))</f>
        <v/>
      </c>
      <c r="AN261" s="6" t="str">
        <f>IF($D261&lt;=AN$4,"",IF(AND($D260=AN$4,$D261&gt;AN$4),$F260,AN260))</f>
        <v/>
      </c>
      <c r="AO261" s="6" t="str">
        <f>CONCATENATE(AG261," | ",AH261," | ",AI261," | ",AJ261," | ",AK261," | ",AL261," | ",AM261," | ",AN261)</f>
        <v xml:space="preserve">90MB1BJ0-C1BAY0 | 59MB1BJB-MB0A02S |  |  |  |  |  | </v>
      </c>
      <c r="AP261" s="6">
        <f>IF(TRIM(H261)="",100,J261)</f>
        <v>0</v>
      </c>
      <c r="AQ261" s="4"/>
      <c r="AR261" s="6" t="b">
        <f>NOT(TRIM(W261)&lt;&gt;"F")</f>
        <v>1</v>
      </c>
      <c r="AS261" s="6" t="str">
        <f>$B261&amp;" | "&amp;$AO261&amp;" | "&amp;IF(TRIM(H261)="","uniq"&amp;ROW(),TRIM(H261))</f>
        <v>461E | 90MB1BJ0-C1BAY0 | 59MB1BJB-MB0A02S |  |  |  |  |  |  | 97</v>
      </c>
      <c r="AT261" s="63">
        <f>IF(NOT(AR261),IF(TRIM($H261)="","Assembly","Phantom Alt"),VLOOKUP(F261,ZPCS04!B:G,6,0))</f>
        <v>637</v>
      </c>
      <c r="AU261" s="7"/>
      <c r="AV261" s="38">
        <f ca="1">IF(TRIM($W261)="F",OFFSET($A$5,MATCH($AS261,$AS$5:$AS261,0)-1,0),$A261)</f>
        <v>260</v>
      </c>
      <c r="AW261" s="38">
        <f ca="1">IFERROR(OFFSET(ZPCS04!$A$1,MATCH(F261,ZPCS04!B:B,0)-1,0),100)</f>
        <v>2</v>
      </c>
      <c r="AX261" s="7"/>
      <c r="AY261" s="6" t="b">
        <f>SUMIF(AS:AS,AS261,AP:AP)=100</f>
        <v>1</v>
      </c>
      <c r="AZ261" s="6" t="b">
        <f>SUMIF(AS:AS,AS261,AE:AE)/COUNTIF(AS:AS,AS261)=AE261</f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>C261&amp;" | "&amp;F261</f>
        <v>90MB1BJ0-C1BAY0 | 10G212100114020</v>
      </c>
      <c r="BE261" s="55" t="str">
        <f ca="1">C261&amp;" | "&amp;OFFSET($AF261,0,8-COUNTBLANK($AG261:$AN261))</f>
        <v>90MB1BJ0-C1BAY0 | 59MB1BJB-MB0A02S</v>
      </c>
      <c r="BF261" s="57">
        <f ca="1">IFERROR(VLOOKUP($BE261,$BD$5:$BF260,3,0)*$AE261,VLOOKUP($C261,Demanda!$A:$B,2,0)*$AE261)*IF(AT261="Phantom Alt",$BC261,TRUE)</f>
        <v>67000</v>
      </c>
      <c r="BG261" s="57">
        <f ca="1">BF261*(AP261/100)</f>
        <v>0</v>
      </c>
      <c r="BH261" s="57">
        <f>SUMIF(Invoice!A:A,F261,Invoice!B:B)</f>
        <v>0</v>
      </c>
      <c r="BI261" s="57">
        <f ca="1">SUMIF(AS:AS,AS261,BG:BG)</f>
        <v>67000</v>
      </c>
      <c r="BJ261" s="57">
        <f ca="1">MIN((BI261-SUMIF($AS$5:AS260,AS261,$BJ$5:BJ260)),MAX(0,BH261-SUMIF($F$5:F260,F261,$BJ$5:BJ260)))</f>
        <v>0</v>
      </c>
      <c r="BK261" s="57">
        <f ca="1">(-SUMIF(AS:AS,AS261,BG:BG)+SUMIF(AS:AS,AS261,BJ:BJ))*(AP261=100)*AR261</f>
        <v>0</v>
      </c>
      <c r="BL261" s="57">
        <f ca="1">MAX(0,SUMIF(Invoice!A:A,F261,Invoice!B:B)-SUMIF(F:F,F261,BJ:BJ))*(COUNTIF(F:F,F261)=COUNTIF($F$5:F261,F261))</f>
        <v>0</v>
      </c>
    </row>
    <row r="262" spans="1:64" hidden="1">
      <c r="A262" s="43">
        <v>262</v>
      </c>
      <c r="B262" s="35" t="s">
        <v>147</v>
      </c>
      <c r="C262" s="35" t="s">
        <v>146</v>
      </c>
      <c r="D262" s="35">
        <v>2</v>
      </c>
      <c r="E262" s="35">
        <v>970</v>
      </c>
      <c r="F262" s="64" t="s">
        <v>692</v>
      </c>
      <c r="G262" s="73" t="s">
        <v>693</v>
      </c>
      <c r="H262" s="35">
        <v>97</v>
      </c>
      <c r="I262" s="35" t="s">
        <v>55</v>
      </c>
      <c r="J262" s="35">
        <v>0</v>
      </c>
      <c r="K262" s="35" t="s">
        <v>150</v>
      </c>
      <c r="L262" s="35" t="s">
        <v>53</v>
      </c>
      <c r="M262" s="35">
        <v>67</v>
      </c>
      <c r="N262" s="35"/>
      <c r="O262" s="35">
        <v>1</v>
      </c>
      <c r="P262" s="35">
        <v>2</v>
      </c>
      <c r="Q262" s="35">
        <v>3</v>
      </c>
      <c r="R262" s="35" t="s">
        <v>73</v>
      </c>
      <c r="S262" s="35" t="s">
        <v>73</v>
      </c>
      <c r="T262" s="36">
        <v>44901</v>
      </c>
      <c r="U262" s="36">
        <v>2958465</v>
      </c>
      <c r="V262" s="35" t="s">
        <v>282</v>
      </c>
      <c r="W262" s="35" t="s">
        <v>145</v>
      </c>
      <c r="X262" s="35"/>
      <c r="Y262" s="35" t="s">
        <v>143</v>
      </c>
      <c r="Z262" s="35">
        <v>7589154</v>
      </c>
      <c r="AA262" s="35">
        <v>412</v>
      </c>
      <c r="AB262" s="35">
        <v>206</v>
      </c>
      <c r="AC262" s="35" t="s">
        <v>144</v>
      </c>
      <c r="AE262" s="51">
        <f>M262/O262</f>
        <v>67</v>
      </c>
      <c r="AG262" s="6" t="str">
        <f>C262</f>
        <v>90MB1BJ0-C1BAY0</v>
      </c>
      <c r="AH262" s="6" t="str">
        <f>IF($D262&lt;=AH$4,"",IF(AND($D261=AH$4,$D262&gt;AH$4),$F261,AH261))</f>
        <v>59MB1BJB-MB0A02S</v>
      </c>
      <c r="AI262" s="6" t="str">
        <f>IF($D262&lt;=AI$4,"",IF(AND($D261=AI$4,$D262&gt;AI$4),$F261,AI261))</f>
        <v/>
      </c>
      <c r="AJ262" s="6" t="str">
        <f>IF($D262&lt;=AJ$4,"",IF(AND($D261=AJ$4,$D262&gt;AJ$4),$F261,AJ261))</f>
        <v/>
      </c>
      <c r="AK262" s="6" t="str">
        <f>IF($D262&lt;=AK$4,"",IF(AND($D261=AK$4,$D262&gt;AK$4),$F261,AK261))</f>
        <v/>
      </c>
      <c r="AL262" s="6" t="str">
        <f>IF($D262&lt;=AL$4,"",IF(AND($D261=AL$4,$D262&gt;AL$4),$F261,AL261))</f>
        <v/>
      </c>
      <c r="AM262" s="6" t="str">
        <f>IF($D262&lt;=AM$4,"",IF(AND($D261=AM$4,$D262&gt;AM$4),$F261,AM261))</f>
        <v/>
      </c>
      <c r="AN262" s="6" t="str">
        <f>IF($D262&lt;=AN$4,"",IF(AND($D261=AN$4,$D262&gt;AN$4),$F261,AN261))</f>
        <v/>
      </c>
      <c r="AO262" s="6" t="str">
        <f>CONCATENATE(AG262," | ",AH262," | ",AI262," | ",AJ262," | ",AK262," | ",AL262," | ",AM262," | ",AN262)</f>
        <v xml:space="preserve">90MB1BJ0-C1BAY0 | 59MB1BJB-MB0A02S |  |  |  |  |  | </v>
      </c>
      <c r="AP262" s="6">
        <f>IF(TRIM(H262)="",100,J262)</f>
        <v>0</v>
      </c>
      <c r="AQ262" s="4"/>
      <c r="AR262" s="6" t="b">
        <f>NOT(TRIM(W262)&lt;&gt;"F")</f>
        <v>1</v>
      </c>
      <c r="AS262" s="6" t="str">
        <f>$B262&amp;" | "&amp;$AO262&amp;" | "&amp;IF(TRIM(H262)="","uniq"&amp;ROW(),TRIM(H262))</f>
        <v>461E | 90MB1BJ0-C1BAY0 | 59MB1BJB-MB0A02S |  |  |  |  |  |  | 97</v>
      </c>
      <c r="AT262" s="63">
        <f>IF(NOT(AR262),IF(TRIM($H262)="","Assembly","Phantom Alt"),VLOOKUP(F262,ZPCS04!B:G,6,0))</f>
        <v>637</v>
      </c>
      <c r="AU262" s="7"/>
      <c r="AV262" s="38">
        <f ca="1">IF(TRIM($W262)="F",OFFSET($A$5,MATCH($AS262,$AS$5:$AS262,0)-1,0),$A262)</f>
        <v>260</v>
      </c>
      <c r="AW262" s="38">
        <f ca="1">IFERROR(OFFSET(ZPCS04!$A$1,MATCH(F262,ZPCS04!B:B,0)-1,0),100)</f>
        <v>2</v>
      </c>
      <c r="AX262" s="7"/>
      <c r="AY262" s="6" t="b">
        <f>SUMIF(AS:AS,AS262,AP:AP)=100</f>
        <v>1</v>
      </c>
      <c r="AZ262" s="6" t="b">
        <f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>C262&amp;" | "&amp;F262</f>
        <v>90MB1BJ0-C1BAY0 | 10G212100114050</v>
      </c>
      <c r="BE262" s="55" t="str">
        <f ca="1">C262&amp;" | "&amp;OFFSET($AF262,0,8-COUNTBLANK($AG262:$AN262))</f>
        <v>90MB1BJ0-C1BAY0 | 59MB1BJB-MB0A02S</v>
      </c>
      <c r="BF262" s="57">
        <f ca="1">IFERROR(VLOOKUP($BE262,$BD$5:$BF261,3,0)*$AE262,VLOOKUP($C262,Demanda!$A:$B,2,0)*$AE262)*IF(AT262="Phantom Alt",$BC262,TRUE)</f>
        <v>67000</v>
      </c>
      <c r="BG262" s="57">
        <f ca="1">BF262*(AP262/100)</f>
        <v>0</v>
      </c>
      <c r="BH262" s="57">
        <f>SUMIF(Invoice!A:A,F262,Invoice!B:B)</f>
        <v>0</v>
      </c>
      <c r="BI262" s="57">
        <f ca="1">SUMIF(AS:AS,AS262,BG:BG)</f>
        <v>67000</v>
      </c>
      <c r="BJ262" s="57">
        <f ca="1">MIN((BI262-SUMIF($AS$5:AS261,AS262,$BJ$5:BJ261)),MAX(0,BH262-SUMIF($F$5:F261,F262,$BJ$5:BJ261)))</f>
        <v>0</v>
      </c>
      <c r="BK262" s="57">
        <f ca="1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4" hidden="1">
      <c r="A263" s="43">
        <v>264</v>
      </c>
      <c r="B263" s="35" t="s">
        <v>147</v>
      </c>
      <c r="C263" s="35" t="s">
        <v>146</v>
      </c>
      <c r="D263" s="35">
        <v>2</v>
      </c>
      <c r="E263" s="35">
        <v>980</v>
      </c>
      <c r="F263" s="64" t="s">
        <v>696</v>
      </c>
      <c r="G263" s="73" t="s">
        <v>697</v>
      </c>
      <c r="H263" s="35">
        <v>98</v>
      </c>
      <c r="I263" s="35" t="s">
        <v>54</v>
      </c>
      <c r="J263" s="35">
        <v>100</v>
      </c>
      <c r="K263" s="35" t="s">
        <v>489</v>
      </c>
      <c r="L263" s="35" t="s">
        <v>53</v>
      </c>
      <c r="M263" s="35">
        <v>53</v>
      </c>
      <c r="N263" s="35">
        <v>53</v>
      </c>
      <c r="O263" s="35">
        <v>1</v>
      </c>
      <c r="P263" s="35">
        <v>2</v>
      </c>
      <c r="Q263" s="35">
        <v>1</v>
      </c>
      <c r="R263" s="35" t="s">
        <v>122</v>
      </c>
      <c r="S263" s="35" t="s">
        <v>122</v>
      </c>
      <c r="T263" s="36">
        <v>44901</v>
      </c>
      <c r="U263" s="36">
        <v>2958465</v>
      </c>
      <c r="V263" s="35" t="s">
        <v>282</v>
      </c>
      <c r="W263" s="35" t="s">
        <v>145</v>
      </c>
      <c r="X263" s="35"/>
      <c r="Y263" s="35" t="s">
        <v>143</v>
      </c>
      <c r="Z263" s="35">
        <v>7589154</v>
      </c>
      <c r="AA263" s="35">
        <v>414</v>
      </c>
      <c r="AB263" s="35">
        <v>207</v>
      </c>
      <c r="AC263" s="35"/>
      <c r="AE263" s="51">
        <f>M263/O263</f>
        <v>53</v>
      </c>
      <c r="AG263" s="6" t="str">
        <f>C263</f>
        <v>90MB1BJ0-C1BAY0</v>
      </c>
      <c r="AH263" s="6" t="str">
        <f>IF($D263&lt;=AH$4,"",IF(AND($D262=AH$4,$D263&gt;AH$4),$F262,AH262))</f>
        <v>59MB1BJB-MB0A02S</v>
      </c>
      <c r="AI263" s="6" t="str">
        <f>IF($D263&lt;=AI$4,"",IF(AND($D262=AI$4,$D263&gt;AI$4),$F262,AI262))</f>
        <v/>
      </c>
      <c r="AJ263" s="6" t="str">
        <f>IF($D263&lt;=AJ$4,"",IF(AND($D262=AJ$4,$D263&gt;AJ$4),$F262,AJ262))</f>
        <v/>
      </c>
      <c r="AK263" s="6" t="str">
        <f>IF($D263&lt;=AK$4,"",IF(AND($D262=AK$4,$D263&gt;AK$4),$F262,AK262))</f>
        <v/>
      </c>
      <c r="AL263" s="6" t="str">
        <f>IF($D263&lt;=AL$4,"",IF(AND($D262=AL$4,$D263&gt;AL$4),$F262,AL262))</f>
        <v/>
      </c>
      <c r="AM263" s="6" t="str">
        <f>IF($D263&lt;=AM$4,"",IF(AND($D262=AM$4,$D263&gt;AM$4),$F262,AM262))</f>
        <v/>
      </c>
      <c r="AN263" s="6" t="str">
        <f>IF($D263&lt;=AN$4,"",IF(AND($D262=AN$4,$D263&gt;AN$4),$F262,AN262))</f>
        <v/>
      </c>
      <c r="AO263" s="6" t="str">
        <f>CONCATENATE(AG263," | ",AH263," | ",AI263," | ",AJ263," | ",AK263," | ",AL263," | ",AM263," | ",AN263)</f>
        <v xml:space="preserve">90MB1BJ0-C1BAY0 | 59MB1BJB-MB0A02S |  |  |  |  |  | </v>
      </c>
      <c r="AP263" s="6">
        <f>IF(TRIM(H263)="",100,J263)</f>
        <v>100</v>
      </c>
      <c r="AQ263" s="4"/>
      <c r="AR263" s="6" t="b">
        <f>NOT(TRIM(W263)&lt;&gt;"F")</f>
        <v>1</v>
      </c>
      <c r="AS263" s="6" t="str">
        <f>$B263&amp;" | "&amp;$AO263&amp;" | "&amp;IF(TRIM(H263)="","uniq"&amp;ROW(),TRIM(H263))</f>
        <v>461E | 90MB1BJ0-C1BAY0 | 59MB1BJB-MB0A02S |  |  |  |  |  |  | 98</v>
      </c>
      <c r="AT263" s="63">
        <f>IF(NOT(AR263),IF(TRIM($H263)="","Assembly","Phantom Alt"),VLOOKUP(F263,ZPCS04!B:G,6,0))</f>
        <v>638</v>
      </c>
      <c r="AU263" s="7"/>
      <c r="AV263" s="38">
        <f ca="1">IF(TRIM($W263)="F",OFFSET($A$5,MATCH($AS263,$AS$5:$AS263,0)-1,0),$A263)</f>
        <v>264</v>
      </c>
      <c r="AW263" s="38">
        <f ca="1">IFERROR(OFFSET(ZPCS04!$A$1,MATCH(F263,ZPCS04!B:B,0)-1,0),100)</f>
        <v>1.9999994000000001</v>
      </c>
      <c r="AX263" s="7"/>
      <c r="AY263" s="6" t="b">
        <f>SUMIF(AS:AS,AS263,AP:AP)=100</f>
        <v>1</v>
      </c>
      <c r="AZ263" s="6" t="b">
        <f>SUMIF(AS:AS,AS263,AE:AE)/COUNTIF(AS:AS,AS263)=AE263</f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>C263&amp;" | "&amp;F263</f>
        <v>90MB1BJ0-C1BAY0 | 10G212100214020</v>
      </c>
      <c r="BE263" s="55" t="str">
        <f ca="1">C263&amp;" | "&amp;OFFSET($AF263,0,8-COUNTBLANK($AG263:$AN263))</f>
        <v>90MB1BJ0-C1BAY0 | 59MB1BJB-MB0A02S</v>
      </c>
      <c r="BF263" s="57">
        <f ca="1">IFERROR(VLOOKUP($BE263,$BD$5:$BF262,3,0)*$AE263,VLOOKUP($C263,Demanda!$A:$B,2,0)*$AE263)*IF(AT263="Phantom Alt",$BC263,TRUE)</f>
        <v>53000</v>
      </c>
      <c r="BG263" s="57">
        <f ca="1">BF263*(AP263/100)</f>
        <v>53000</v>
      </c>
      <c r="BH263" s="57">
        <f>SUMIF(Invoice!A:A,F263,Invoice!B:B)</f>
        <v>60000</v>
      </c>
      <c r="BI263" s="57">
        <f ca="1">SUMIF(AS:AS,AS263,BG:BG)</f>
        <v>53000</v>
      </c>
      <c r="BJ263" s="57">
        <f ca="1">MIN((BI263-SUMIF($AS$5:AS262,AS263,$BJ$5:BJ262)),MAX(0,BH263-SUMIF($F$5:F262,F263,$BJ$5:BJ262)))</f>
        <v>53000</v>
      </c>
      <c r="BK263" s="57">
        <f ca="1">(-SUMIF(AS:AS,AS263,BG:BG)+SUMIF(AS:AS,AS263,BJ:BJ))*(AP263=100)*AR263</f>
        <v>0</v>
      </c>
      <c r="BL263" s="57">
        <f ca="1">MAX(0,SUMIF(Invoice!A:A,F263,Invoice!B:B)-SUMIF(F:F,F263,BJ:BJ))*(COUNTIF(F:F,F263)=COUNTIF($F$5:F263,F263))</f>
        <v>7000</v>
      </c>
    </row>
    <row r="264" spans="1:64" hidden="1">
      <c r="A264" s="43">
        <v>263</v>
      </c>
      <c r="B264" s="35" t="s">
        <v>147</v>
      </c>
      <c r="C264" s="35" t="s">
        <v>146</v>
      </c>
      <c r="D264" s="35">
        <v>2</v>
      </c>
      <c r="E264" s="35">
        <v>980</v>
      </c>
      <c r="F264" s="64" t="s">
        <v>694</v>
      </c>
      <c r="G264" s="73" t="s">
        <v>695</v>
      </c>
      <c r="H264" s="35">
        <v>98</v>
      </c>
      <c r="I264" s="35" t="s">
        <v>55</v>
      </c>
      <c r="J264" s="35">
        <v>0</v>
      </c>
      <c r="K264" s="35" t="s">
        <v>489</v>
      </c>
      <c r="L264" s="35" t="s">
        <v>53</v>
      </c>
      <c r="M264" s="35">
        <v>53</v>
      </c>
      <c r="N264" s="35"/>
      <c r="O264" s="35">
        <v>1</v>
      </c>
      <c r="P264" s="35">
        <v>2</v>
      </c>
      <c r="Q264" s="35">
        <v>2</v>
      </c>
      <c r="R264" s="35" t="s">
        <v>122</v>
      </c>
      <c r="S264" s="35" t="s">
        <v>122</v>
      </c>
      <c r="T264" s="36">
        <v>44901</v>
      </c>
      <c r="U264" s="36">
        <v>2958465</v>
      </c>
      <c r="V264" s="35" t="s">
        <v>282</v>
      </c>
      <c r="W264" s="35" t="s">
        <v>145</v>
      </c>
      <c r="X264" s="35"/>
      <c r="Y264" s="35" t="s">
        <v>143</v>
      </c>
      <c r="Z264" s="35">
        <v>7589154</v>
      </c>
      <c r="AA264" s="35">
        <v>416</v>
      </c>
      <c r="AB264" s="35">
        <v>208</v>
      </c>
      <c r="AC264" s="35"/>
      <c r="AE264" s="51">
        <f>M264/O264</f>
        <v>53</v>
      </c>
      <c r="AG264" s="6" t="str">
        <f>C264</f>
        <v>90MB1BJ0-C1BAY0</v>
      </c>
      <c r="AH264" s="6" t="str">
        <f>IF($D264&lt;=AH$4,"",IF(AND($D263=AH$4,$D264&gt;AH$4),$F263,AH263))</f>
        <v>59MB1BJB-MB0A02S</v>
      </c>
      <c r="AI264" s="6" t="str">
        <f>IF($D264&lt;=AI$4,"",IF(AND($D263=AI$4,$D264&gt;AI$4),$F263,AI263))</f>
        <v/>
      </c>
      <c r="AJ264" s="6" t="str">
        <f>IF($D264&lt;=AJ$4,"",IF(AND($D263=AJ$4,$D264&gt;AJ$4),$F263,AJ263))</f>
        <v/>
      </c>
      <c r="AK264" s="6" t="str">
        <f>IF($D264&lt;=AK$4,"",IF(AND($D263=AK$4,$D264&gt;AK$4),$F263,AK263))</f>
        <v/>
      </c>
      <c r="AL264" s="6" t="str">
        <f>IF($D264&lt;=AL$4,"",IF(AND($D263=AL$4,$D264&gt;AL$4),$F263,AL263))</f>
        <v/>
      </c>
      <c r="AM264" s="6" t="str">
        <f>IF($D264&lt;=AM$4,"",IF(AND($D263=AM$4,$D264&gt;AM$4),$F263,AM263))</f>
        <v/>
      </c>
      <c r="AN264" s="6" t="str">
        <f>IF($D264&lt;=AN$4,"",IF(AND($D263=AN$4,$D264&gt;AN$4),$F263,AN263))</f>
        <v/>
      </c>
      <c r="AO264" s="6" t="str">
        <f>CONCATENATE(AG264," | ",AH264," | ",AI264," | ",AJ264," | ",AK264," | ",AL264," | ",AM264," | ",AN264)</f>
        <v xml:space="preserve">90MB1BJ0-C1BAY0 | 59MB1BJB-MB0A02S |  |  |  |  |  | </v>
      </c>
      <c r="AP264" s="6">
        <f>IF(TRIM(H264)="",100,J264)</f>
        <v>0</v>
      </c>
      <c r="AQ264" s="4"/>
      <c r="AR264" s="6" t="b">
        <f>NOT(TRIM(W264)&lt;&gt;"F")</f>
        <v>1</v>
      </c>
      <c r="AS264" s="6" t="str">
        <f>$B264&amp;" | "&amp;$AO264&amp;" | "&amp;IF(TRIM(H264)="","uniq"&amp;ROW(),TRIM(H264))</f>
        <v>461E | 90MB1BJ0-C1BAY0 | 59MB1BJB-MB0A02S |  |  |  |  |  |  | 98</v>
      </c>
      <c r="AT264" s="63">
        <f>IF(NOT(AR264),IF(TRIM($H264)="","Assembly","Phantom Alt"),VLOOKUP(F264,ZPCS04!B:G,6,0))</f>
        <v>638</v>
      </c>
      <c r="AU264" s="7"/>
      <c r="AV264" s="38">
        <f ca="1">IF(TRIM($W264)="F",OFFSET($A$5,MATCH($AS264,$AS$5:$AS264,0)-1,0),$A264)</f>
        <v>264</v>
      </c>
      <c r="AW264" s="38">
        <f ca="1">IFERROR(OFFSET(ZPCS04!$A$1,MATCH(F264,ZPCS04!B:B,0)-1,0),100)</f>
        <v>2</v>
      </c>
      <c r="AX264" s="7"/>
      <c r="AY264" s="6" t="b">
        <f>SUMIF(AS:AS,AS264,AP:AP)=100</f>
        <v>1</v>
      </c>
      <c r="AZ264" s="6" t="b">
        <f>SUMIF(AS:AS,AS264,AE:AE)/COUNTIF(AS:AS,AS264)=AE264</f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>C264&amp;" | "&amp;F264</f>
        <v>90MB1BJ0-C1BAY0 | 10G212100214010</v>
      </c>
      <c r="BE264" s="55" t="str">
        <f ca="1">C264&amp;" | "&amp;OFFSET($AF264,0,8-COUNTBLANK($AG264:$AN264))</f>
        <v>90MB1BJ0-C1BAY0 | 59MB1BJB-MB0A02S</v>
      </c>
      <c r="BF264" s="57">
        <f ca="1">IFERROR(VLOOKUP($BE264,$BD$5:$BF263,3,0)*$AE264,VLOOKUP($C264,Demanda!$A:$B,2,0)*$AE264)*IF(AT264="Phantom Alt",$BC264,TRUE)</f>
        <v>53000</v>
      </c>
      <c r="BG264" s="57">
        <f ca="1">BF264*(AP264/100)</f>
        <v>0</v>
      </c>
      <c r="BH264" s="57">
        <f>SUMIF(Invoice!A:A,F264,Invoice!B:B)</f>
        <v>0</v>
      </c>
      <c r="BI264" s="57">
        <f ca="1">SUMIF(AS:AS,AS264,BG:BG)</f>
        <v>53000</v>
      </c>
      <c r="BJ264" s="57">
        <f ca="1">MIN((BI264-SUMIF($AS$5:AS263,AS264,$BJ$5:BJ263)),MAX(0,BH264-SUMIF($F$5:F263,F264,$BJ$5:BJ263)))</f>
        <v>0</v>
      </c>
      <c r="BK264" s="57">
        <f ca="1">(-SUMIF(AS:AS,AS264,BG:BG)+SUMIF(AS:AS,AS264,BJ:BJ))*(AP264=100)*AR264</f>
        <v>0</v>
      </c>
      <c r="BL264" s="57">
        <f ca="1">MAX(0,SUMIF(Invoice!A:A,F264,Invoice!B:B)-SUMIF(F:F,F264,BJ:BJ))*(COUNTIF(F:F,F264)=COUNTIF($F$5:F264,F264))</f>
        <v>0</v>
      </c>
    </row>
    <row r="265" spans="1:64" hidden="1">
      <c r="A265" s="43">
        <v>265</v>
      </c>
      <c r="B265" s="35" t="s">
        <v>147</v>
      </c>
      <c r="C265" s="35" t="s">
        <v>146</v>
      </c>
      <c r="D265" s="35">
        <v>2</v>
      </c>
      <c r="E265" s="35">
        <v>980</v>
      </c>
      <c r="F265" s="64" t="s">
        <v>698</v>
      </c>
      <c r="G265" s="73" t="s">
        <v>699</v>
      </c>
      <c r="H265" s="35">
        <v>98</v>
      </c>
      <c r="I265" s="35" t="s">
        <v>55</v>
      </c>
      <c r="J265" s="35">
        <v>0</v>
      </c>
      <c r="K265" s="35" t="s">
        <v>150</v>
      </c>
      <c r="L265" s="35" t="s">
        <v>53</v>
      </c>
      <c r="M265" s="35">
        <v>53</v>
      </c>
      <c r="N265" s="35"/>
      <c r="O265" s="35">
        <v>1</v>
      </c>
      <c r="P265" s="35">
        <v>2</v>
      </c>
      <c r="Q265" s="35">
        <v>3</v>
      </c>
      <c r="R265" s="35" t="s">
        <v>73</v>
      </c>
      <c r="S265" s="35" t="s">
        <v>73</v>
      </c>
      <c r="T265" s="36">
        <v>44901</v>
      </c>
      <c r="U265" s="36">
        <v>2958465</v>
      </c>
      <c r="V265" s="35" t="s">
        <v>282</v>
      </c>
      <c r="W265" s="35" t="s">
        <v>145</v>
      </c>
      <c r="X265" s="35"/>
      <c r="Y265" s="35" t="s">
        <v>143</v>
      </c>
      <c r="Z265" s="35">
        <v>7589154</v>
      </c>
      <c r="AA265" s="35">
        <v>418</v>
      </c>
      <c r="AB265" s="35">
        <v>209</v>
      </c>
      <c r="AC265" s="35"/>
      <c r="AE265" s="51">
        <f>M265/O265</f>
        <v>53</v>
      </c>
      <c r="AG265" s="6" t="str">
        <f>C265</f>
        <v>90MB1BJ0-C1BAY0</v>
      </c>
      <c r="AH265" s="6" t="str">
        <f>IF($D265&lt;=AH$4,"",IF(AND($D264=AH$4,$D265&gt;AH$4),$F264,AH264))</f>
        <v>59MB1BJB-MB0A02S</v>
      </c>
      <c r="AI265" s="6" t="str">
        <f>IF($D265&lt;=AI$4,"",IF(AND($D264=AI$4,$D265&gt;AI$4),$F264,AI264))</f>
        <v/>
      </c>
      <c r="AJ265" s="6" t="str">
        <f>IF($D265&lt;=AJ$4,"",IF(AND($D264=AJ$4,$D265&gt;AJ$4),$F264,AJ264))</f>
        <v/>
      </c>
      <c r="AK265" s="6" t="str">
        <f>IF($D265&lt;=AK$4,"",IF(AND($D264=AK$4,$D265&gt;AK$4),$F264,AK264))</f>
        <v/>
      </c>
      <c r="AL265" s="6" t="str">
        <f>IF($D265&lt;=AL$4,"",IF(AND($D264=AL$4,$D265&gt;AL$4),$F264,AL264))</f>
        <v/>
      </c>
      <c r="AM265" s="6" t="str">
        <f>IF($D265&lt;=AM$4,"",IF(AND($D264=AM$4,$D265&gt;AM$4),$F264,AM264))</f>
        <v/>
      </c>
      <c r="AN265" s="6" t="str">
        <f>IF($D265&lt;=AN$4,"",IF(AND($D264=AN$4,$D265&gt;AN$4),$F264,AN264))</f>
        <v/>
      </c>
      <c r="AO265" s="6" t="str">
        <f>CONCATENATE(AG265," | ",AH265," | ",AI265," | ",AJ265," | ",AK265," | ",AL265," | ",AM265," | ",AN265)</f>
        <v xml:space="preserve">90MB1BJ0-C1BAY0 | 59MB1BJB-MB0A02S |  |  |  |  |  | </v>
      </c>
      <c r="AP265" s="6">
        <f>IF(TRIM(H265)="",100,J265)</f>
        <v>0</v>
      </c>
      <c r="AQ265" s="4"/>
      <c r="AR265" s="6" t="b">
        <f>NOT(TRIM(W265)&lt;&gt;"F")</f>
        <v>1</v>
      </c>
      <c r="AS265" s="6" t="str">
        <f>$B265&amp;" | "&amp;$AO265&amp;" | "&amp;IF(TRIM(H265)="","uniq"&amp;ROW(),TRIM(H265))</f>
        <v>461E | 90MB1BJ0-C1BAY0 | 59MB1BJB-MB0A02S |  |  |  |  |  |  | 98</v>
      </c>
      <c r="AT265" s="63">
        <f>IF(NOT(AR265),IF(TRIM($H265)="","Assembly","Phantom Alt"),VLOOKUP(F265,ZPCS04!B:G,6,0))</f>
        <v>638</v>
      </c>
      <c r="AU265" s="7"/>
      <c r="AV265" s="38">
        <f ca="1">IF(TRIM($W265)="F",OFFSET($A$5,MATCH($AS265,$AS$5:$AS265,0)-1,0),$A265)</f>
        <v>264</v>
      </c>
      <c r="AW265" s="38">
        <f ca="1">IFERROR(OFFSET(ZPCS04!$A$1,MATCH(F265,ZPCS04!B:B,0)-1,0),100)</f>
        <v>2</v>
      </c>
      <c r="AX265" s="7"/>
      <c r="AY265" s="6" t="b">
        <f>SUMIF(AS:AS,AS265,AP:AP)=100</f>
        <v>1</v>
      </c>
      <c r="AZ265" s="6" t="b">
        <f>SUMIF(AS:AS,AS265,AE:AE)/COUNTIF(AS:AS,AS265)=AE265</f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>C265&amp;" | "&amp;F265</f>
        <v>90MB1BJ0-C1BAY0 | 10G212100214050</v>
      </c>
      <c r="BE265" s="55" t="str">
        <f ca="1">C265&amp;" | "&amp;OFFSET($AF265,0,8-COUNTBLANK($AG265:$AN265))</f>
        <v>90MB1BJ0-C1BAY0 | 59MB1BJB-MB0A02S</v>
      </c>
      <c r="BF265" s="57">
        <f ca="1">IFERROR(VLOOKUP($BE265,$BD$5:$BF264,3,0)*$AE265,VLOOKUP($C265,Demanda!$A:$B,2,0)*$AE265)*IF(AT265="Phantom Alt",$BC265,TRUE)</f>
        <v>53000</v>
      </c>
      <c r="BG265" s="57">
        <f ca="1">BF265*(AP265/100)</f>
        <v>0</v>
      </c>
      <c r="BH265" s="57">
        <f>SUMIF(Invoice!A:A,F265,Invoice!B:B)</f>
        <v>0</v>
      </c>
      <c r="BI265" s="57">
        <f ca="1">SUMIF(AS:AS,AS265,BG:BG)</f>
        <v>53000</v>
      </c>
      <c r="BJ265" s="57">
        <f ca="1">MIN((BI265-SUMIF($AS$5:AS264,AS265,$BJ$5:BJ264)),MAX(0,BH265-SUMIF($F$5:F264,F265,$BJ$5:BJ264)))</f>
        <v>0</v>
      </c>
      <c r="BK265" s="57">
        <f ca="1">(-SUMIF(AS:AS,AS265,BG:BG)+SUMIF(AS:AS,AS265,BJ:BJ))*(AP265=100)*AR265</f>
        <v>0</v>
      </c>
      <c r="BL265" s="57">
        <f ca="1">MAX(0,SUMIF(Invoice!A:A,F265,Invoice!B:B)-SUMIF(F:F,F265,BJ:BJ))*(COUNTIF(F:F,F265)=COUNTIF($F$5:F265,F265))</f>
        <v>0</v>
      </c>
    </row>
    <row r="266" spans="1:64" hidden="1">
      <c r="A266" s="43">
        <v>266</v>
      </c>
      <c r="B266" s="35" t="s">
        <v>147</v>
      </c>
      <c r="C266" s="35" t="s">
        <v>146</v>
      </c>
      <c r="D266" s="35">
        <v>2</v>
      </c>
      <c r="E266" s="35">
        <v>990</v>
      </c>
      <c r="F266" s="64" t="s">
        <v>700</v>
      </c>
      <c r="G266" s="73" t="s">
        <v>701</v>
      </c>
      <c r="H266" s="35">
        <v>99</v>
      </c>
      <c r="I266" s="35" t="s">
        <v>55</v>
      </c>
      <c r="J266" s="35">
        <v>0</v>
      </c>
      <c r="K266" s="35" t="s">
        <v>489</v>
      </c>
      <c r="L266" s="35" t="s">
        <v>53</v>
      </c>
      <c r="M266" s="35">
        <v>27</v>
      </c>
      <c r="N266" s="35"/>
      <c r="O266" s="35">
        <v>1</v>
      </c>
      <c r="P266" s="35">
        <v>2</v>
      </c>
      <c r="Q266" s="35">
        <v>2</v>
      </c>
      <c r="R266" s="35" t="s">
        <v>122</v>
      </c>
      <c r="S266" s="35" t="s">
        <v>122</v>
      </c>
      <c r="T266" s="36">
        <v>44901</v>
      </c>
      <c r="U266" s="36">
        <v>2958465</v>
      </c>
      <c r="V266" s="35" t="s">
        <v>282</v>
      </c>
      <c r="W266" s="35" t="s">
        <v>145</v>
      </c>
      <c r="X266" s="35"/>
      <c r="Y266" s="35" t="s">
        <v>143</v>
      </c>
      <c r="Z266" s="35">
        <v>7589154</v>
      </c>
      <c r="AA266" s="35">
        <v>422</v>
      </c>
      <c r="AB266" s="35">
        <v>211</v>
      </c>
      <c r="AC266" s="35"/>
      <c r="AE266" s="51">
        <f>M266/O266</f>
        <v>27</v>
      </c>
      <c r="AG266" s="6" t="str">
        <f>C266</f>
        <v>90MB1BJ0-C1BAY0</v>
      </c>
      <c r="AH266" s="6" t="str">
        <f>IF($D266&lt;=AH$4,"",IF(AND($D265=AH$4,$D266&gt;AH$4),$F265,AH265))</f>
        <v>59MB1BJB-MB0A02S</v>
      </c>
      <c r="AI266" s="6" t="str">
        <f>IF($D266&lt;=AI$4,"",IF(AND($D265=AI$4,$D266&gt;AI$4),$F265,AI265))</f>
        <v/>
      </c>
      <c r="AJ266" s="6" t="str">
        <f>IF($D266&lt;=AJ$4,"",IF(AND($D265=AJ$4,$D266&gt;AJ$4),$F265,AJ265))</f>
        <v/>
      </c>
      <c r="AK266" s="6" t="str">
        <f>IF($D266&lt;=AK$4,"",IF(AND($D265=AK$4,$D266&gt;AK$4),$F265,AK265))</f>
        <v/>
      </c>
      <c r="AL266" s="6" t="str">
        <f>IF($D266&lt;=AL$4,"",IF(AND($D265=AL$4,$D266&gt;AL$4),$F265,AL265))</f>
        <v/>
      </c>
      <c r="AM266" s="6" t="str">
        <f>IF($D266&lt;=AM$4,"",IF(AND($D265=AM$4,$D266&gt;AM$4),$F265,AM265))</f>
        <v/>
      </c>
      <c r="AN266" s="6" t="str">
        <f>IF($D266&lt;=AN$4,"",IF(AND($D265=AN$4,$D266&gt;AN$4),$F265,AN265))</f>
        <v/>
      </c>
      <c r="AO266" s="6" t="str">
        <f>CONCATENATE(AG266," | ",AH266," | ",AI266," | ",AJ266," | ",AK266," | ",AL266," | ",AM266," | ",AN266)</f>
        <v xml:space="preserve">90MB1BJ0-C1BAY0 | 59MB1BJB-MB0A02S |  |  |  |  |  | </v>
      </c>
      <c r="AP266" s="6">
        <f>IF(TRIM(H266)="",100,J266)</f>
        <v>0</v>
      </c>
      <c r="AQ266" s="4"/>
      <c r="AR266" s="6" t="b">
        <f>NOT(TRIM(W266)&lt;&gt;"F")</f>
        <v>1</v>
      </c>
      <c r="AS266" s="6" t="str">
        <f>$B266&amp;" | "&amp;$AO266&amp;" | "&amp;IF(TRIM(H266)="","uniq"&amp;ROW(),TRIM(H266))</f>
        <v>461E | 90MB1BJ0-C1BAY0 | 59MB1BJB-MB0A02S |  |  |  |  |  |  | 99</v>
      </c>
      <c r="AT266" s="63">
        <f>IF(NOT(AR266),IF(TRIM($H266)="","Assembly","Phantom Alt"),VLOOKUP(F266,ZPCS04!B:G,6,0))</f>
        <v>639</v>
      </c>
      <c r="AU266" s="7"/>
      <c r="AV266" s="38">
        <f ca="1">IF(TRIM($W266)="F",OFFSET($A$5,MATCH($AS266,$AS$5:$AS266,0)-1,0),$A266)</f>
        <v>266</v>
      </c>
      <c r="AW266" s="38">
        <f ca="1">IFERROR(OFFSET(ZPCS04!$A$1,MATCH(F266,ZPCS04!B:B,0)-1,0),100)</f>
        <v>1.9999997</v>
      </c>
      <c r="AX266" s="7"/>
      <c r="AY266" s="6" t="b">
        <f>SUMIF(AS:AS,AS266,AP:AP)=100</f>
        <v>1</v>
      </c>
      <c r="AZ266" s="6" t="b">
        <f>SUMIF(AS:AS,AS266,AE:AE)/COUNTIF(AS:AS,AS266)=AE266</f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>C266&amp;" | "&amp;F266</f>
        <v>90MB1BJ0-C1BAY0 | 10G212100314010</v>
      </c>
      <c r="BE266" s="55" t="str">
        <f ca="1">C266&amp;" | "&amp;OFFSET($AF266,0,8-COUNTBLANK($AG266:$AN266))</f>
        <v>90MB1BJ0-C1BAY0 | 59MB1BJB-MB0A02S</v>
      </c>
      <c r="BF266" s="57">
        <f ca="1">IFERROR(VLOOKUP($BE266,$BD$5:$BF265,3,0)*$AE266,VLOOKUP($C266,Demanda!$A:$B,2,0)*$AE266)*IF(AT266="Phantom Alt",$BC266,TRUE)</f>
        <v>27000</v>
      </c>
      <c r="BG266" s="57">
        <f ca="1">BF266*(AP266/100)</f>
        <v>0</v>
      </c>
      <c r="BH266" s="57">
        <f>SUMIF(Invoice!A:A,F266,Invoice!B:B)</f>
        <v>30000</v>
      </c>
      <c r="BI266" s="57">
        <f ca="1">SUMIF(AS:AS,AS266,BG:BG)</f>
        <v>27000</v>
      </c>
      <c r="BJ266" s="57">
        <f ca="1">MIN((BI266-SUMIF($AS$5:AS265,AS266,$BJ$5:BJ265)),MAX(0,BH266-SUMIF($F$5:F265,F266,$BJ$5:BJ265)))</f>
        <v>27000</v>
      </c>
      <c r="BK266" s="57">
        <f ca="1">(-SUMIF(AS:AS,AS266,BG:BG)+SUMIF(AS:AS,AS266,BJ:BJ))*(AP266=100)*AR266</f>
        <v>0</v>
      </c>
      <c r="BL266" s="57">
        <f ca="1">MAX(0,SUMIF(Invoice!A:A,F266,Invoice!B:B)-SUMIF(F:F,F266,BJ:BJ))*(COUNTIF(F:F,F266)=COUNTIF($F$5:F266,F266))</f>
        <v>3000</v>
      </c>
    </row>
    <row r="267" spans="1:64" hidden="1">
      <c r="A267" s="43">
        <v>267</v>
      </c>
      <c r="B267" s="35" t="s">
        <v>147</v>
      </c>
      <c r="C267" s="35" t="s">
        <v>146</v>
      </c>
      <c r="D267" s="35">
        <v>2</v>
      </c>
      <c r="E267" s="35">
        <v>990</v>
      </c>
      <c r="F267" s="64" t="s">
        <v>702</v>
      </c>
      <c r="G267" s="73" t="s">
        <v>703</v>
      </c>
      <c r="H267" s="35">
        <v>99</v>
      </c>
      <c r="I267" s="35" t="s">
        <v>54</v>
      </c>
      <c r="J267" s="35">
        <v>100</v>
      </c>
      <c r="K267" s="35" t="s">
        <v>489</v>
      </c>
      <c r="L267" s="35" t="s">
        <v>53</v>
      </c>
      <c r="M267" s="35">
        <v>27</v>
      </c>
      <c r="N267" s="35">
        <v>27</v>
      </c>
      <c r="O267" s="35">
        <v>1</v>
      </c>
      <c r="P267" s="35">
        <v>2</v>
      </c>
      <c r="Q267" s="35">
        <v>1</v>
      </c>
      <c r="R267" s="35" t="s">
        <v>122</v>
      </c>
      <c r="S267" s="35" t="s">
        <v>122</v>
      </c>
      <c r="T267" s="36">
        <v>44901</v>
      </c>
      <c r="U267" s="36">
        <v>2958465</v>
      </c>
      <c r="V267" s="35" t="s">
        <v>282</v>
      </c>
      <c r="W267" s="35" t="s">
        <v>145</v>
      </c>
      <c r="X267" s="35"/>
      <c r="Y267" s="35" t="s">
        <v>143</v>
      </c>
      <c r="Z267" s="35">
        <v>7589154</v>
      </c>
      <c r="AA267" s="35">
        <v>420</v>
      </c>
      <c r="AB267" s="35">
        <v>210</v>
      </c>
      <c r="AC267" s="35"/>
      <c r="AE267" s="51">
        <f>M267/O267</f>
        <v>27</v>
      </c>
      <c r="AG267" s="6" t="str">
        <f>C267</f>
        <v>90MB1BJ0-C1BAY0</v>
      </c>
      <c r="AH267" s="6" t="str">
        <f>IF($D267&lt;=AH$4,"",IF(AND($D266=AH$4,$D267&gt;AH$4),$F266,AH266))</f>
        <v>59MB1BJB-MB0A02S</v>
      </c>
      <c r="AI267" s="6" t="str">
        <f>IF($D267&lt;=AI$4,"",IF(AND($D266=AI$4,$D267&gt;AI$4),$F266,AI266))</f>
        <v/>
      </c>
      <c r="AJ267" s="6" t="str">
        <f>IF($D267&lt;=AJ$4,"",IF(AND($D266=AJ$4,$D267&gt;AJ$4),$F266,AJ266))</f>
        <v/>
      </c>
      <c r="AK267" s="6" t="str">
        <f>IF($D267&lt;=AK$4,"",IF(AND($D266=AK$4,$D267&gt;AK$4),$F266,AK266))</f>
        <v/>
      </c>
      <c r="AL267" s="6" t="str">
        <f>IF($D267&lt;=AL$4,"",IF(AND($D266=AL$4,$D267&gt;AL$4),$F266,AL266))</f>
        <v/>
      </c>
      <c r="AM267" s="6" t="str">
        <f>IF($D267&lt;=AM$4,"",IF(AND($D266=AM$4,$D267&gt;AM$4),$F266,AM266))</f>
        <v/>
      </c>
      <c r="AN267" s="6" t="str">
        <f>IF($D267&lt;=AN$4,"",IF(AND($D266=AN$4,$D267&gt;AN$4),$F266,AN266))</f>
        <v/>
      </c>
      <c r="AO267" s="6" t="str">
        <f>CONCATENATE(AG267," | ",AH267," | ",AI267," | ",AJ267," | ",AK267," | ",AL267," | ",AM267," | ",AN267)</f>
        <v xml:space="preserve">90MB1BJ0-C1BAY0 | 59MB1BJB-MB0A02S |  |  |  |  |  | </v>
      </c>
      <c r="AP267" s="6">
        <f>IF(TRIM(H267)="",100,J267)</f>
        <v>100</v>
      </c>
      <c r="AQ267" s="4"/>
      <c r="AR267" s="6" t="b">
        <f>NOT(TRIM(W267)&lt;&gt;"F")</f>
        <v>1</v>
      </c>
      <c r="AS267" s="6" t="str">
        <f>$B267&amp;" | "&amp;$AO267&amp;" | "&amp;IF(TRIM(H267)="","uniq"&amp;ROW(),TRIM(H267))</f>
        <v>461E | 90MB1BJ0-C1BAY0 | 59MB1BJB-MB0A02S |  |  |  |  |  |  | 99</v>
      </c>
      <c r="AT267" s="63">
        <f>IF(NOT(AR267),IF(TRIM($H267)="","Assembly","Phantom Alt"),VLOOKUP(F267,ZPCS04!B:G,6,0))</f>
        <v>639</v>
      </c>
      <c r="AU267" s="7"/>
      <c r="AV267" s="38">
        <f ca="1">IF(TRIM($W267)="F",OFFSET($A$5,MATCH($AS267,$AS$5:$AS267,0)-1,0),$A267)</f>
        <v>266</v>
      </c>
      <c r="AW267" s="38">
        <f ca="1">IFERROR(OFFSET(ZPCS04!$A$1,MATCH(F267,ZPCS04!B:B,0)-1,0),100)</f>
        <v>2</v>
      </c>
      <c r="AX267" s="7"/>
      <c r="AY267" s="6" t="b">
        <f>SUMIF(AS:AS,AS267,AP:AP)=100</f>
        <v>1</v>
      </c>
      <c r="AZ267" s="6" t="b">
        <f>SUMIF(AS:AS,AS267,AE:AE)/COUNTIF(AS:AS,AS267)=AE267</f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>C267&amp;" | "&amp;F267</f>
        <v>90MB1BJ0-C1BAY0 | 10G212100314020</v>
      </c>
      <c r="BE267" s="55" t="str">
        <f ca="1">C267&amp;" | "&amp;OFFSET($AF267,0,8-COUNTBLANK($AG267:$AN267))</f>
        <v>90MB1BJ0-C1BAY0 | 59MB1BJB-MB0A02S</v>
      </c>
      <c r="BF267" s="57">
        <f ca="1">IFERROR(VLOOKUP($BE267,$BD$5:$BF266,3,0)*$AE267,VLOOKUP($C267,Demanda!$A:$B,2,0)*$AE267)*IF(AT267="Phantom Alt",$BC267,TRUE)</f>
        <v>27000</v>
      </c>
      <c r="BG267" s="57">
        <f ca="1">BF267*(AP267/100)</f>
        <v>27000</v>
      </c>
      <c r="BH267" s="57">
        <f>SUMIF(Invoice!A:A,F267,Invoice!B:B)</f>
        <v>0</v>
      </c>
      <c r="BI267" s="57">
        <f ca="1">SUMIF(AS:AS,AS267,BG:BG)</f>
        <v>27000</v>
      </c>
      <c r="BJ267" s="57">
        <f ca="1">MIN((BI267-SUMIF($AS$5:AS266,AS267,$BJ$5:BJ266)),MAX(0,BH267-SUMIF($F$5:F266,F267,$BJ$5:BJ266)))</f>
        <v>0</v>
      </c>
      <c r="BK267" s="57">
        <f ca="1">(-SUMIF(AS:AS,AS267,BG:BG)+SUMIF(AS:AS,AS267,BJ:BJ))*(AP267=100)*AR267</f>
        <v>0</v>
      </c>
      <c r="BL267" s="57">
        <f ca="1">MAX(0,SUMIF(Invoice!A:A,F267,Invoice!B:B)-SUMIF(F:F,F267,BJ:BJ))*(COUNTIF(F:F,F267)=COUNTIF($F$5:F267,F267))</f>
        <v>0</v>
      </c>
    </row>
    <row r="268" spans="1:64" hidden="1">
      <c r="A268" s="43">
        <v>268</v>
      </c>
      <c r="B268" s="35" t="s">
        <v>147</v>
      </c>
      <c r="C268" s="35" t="s">
        <v>146</v>
      </c>
      <c r="D268" s="35">
        <v>2</v>
      </c>
      <c r="E268" s="35">
        <v>990</v>
      </c>
      <c r="F268" s="64" t="s">
        <v>704</v>
      </c>
      <c r="G268" s="73" t="s">
        <v>705</v>
      </c>
      <c r="H268" s="35">
        <v>99</v>
      </c>
      <c r="I268" s="35" t="s">
        <v>55</v>
      </c>
      <c r="J268" s="35">
        <v>0</v>
      </c>
      <c r="K268" s="35" t="s">
        <v>150</v>
      </c>
      <c r="L268" s="35" t="s">
        <v>53</v>
      </c>
      <c r="M268" s="35">
        <v>27</v>
      </c>
      <c r="N268" s="35"/>
      <c r="O268" s="35">
        <v>1</v>
      </c>
      <c r="P268" s="35">
        <v>2</v>
      </c>
      <c r="Q268" s="35">
        <v>3</v>
      </c>
      <c r="R268" s="35" t="s">
        <v>73</v>
      </c>
      <c r="S268" s="35" t="s">
        <v>73</v>
      </c>
      <c r="T268" s="36">
        <v>44901</v>
      </c>
      <c r="U268" s="36">
        <v>2958465</v>
      </c>
      <c r="V268" s="35" t="s">
        <v>282</v>
      </c>
      <c r="W268" s="35" t="s">
        <v>145</v>
      </c>
      <c r="X268" s="35"/>
      <c r="Y268" s="35" t="s">
        <v>143</v>
      </c>
      <c r="Z268" s="35">
        <v>7589154</v>
      </c>
      <c r="AA268" s="35">
        <v>424</v>
      </c>
      <c r="AB268" s="35">
        <v>212</v>
      </c>
      <c r="AC268" s="35"/>
      <c r="AE268" s="51">
        <f>M268/O268</f>
        <v>27</v>
      </c>
      <c r="AG268" s="6" t="str">
        <f>C268</f>
        <v>90MB1BJ0-C1BAY0</v>
      </c>
      <c r="AH268" s="6" t="str">
        <f>IF($D268&lt;=AH$4,"",IF(AND($D267=AH$4,$D268&gt;AH$4),$F267,AH267))</f>
        <v>59MB1BJB-MB0A02S</v>
      </c>
      <c r="AI268" s="6" t="str">
        <f>IF($D268&lt;=AI$4,"",IF(AND($D267=AI$4,$D268&gt;AI$4),$F267,AI267))</f>
        <v/>
      </c>
      <c r="AJ268" s="6" t="str">
        <f>IF($D268&lt;=AJ$4,"",IF(AND($D267=AJ$4,$D268&gt;AJ$4),$F267,AJ267))</f>
        <v/>
      </c>
      <c r="AK268" s="6" t="str">
        <f>IF($D268&lt;=AK$4,"",IF(AND($D267=AK$4,$D268&gt;AK$4),$F267,AK267))</f>
        <v/>
      </c>
      <c r="AL268" s="6" t="str">
        <f>IF($D268&lt;=AL$4,"",IF(AND($D267=AL$4,$D268&gt;AL$4),$F267,AL267))</f>
        <v/>
      </c>
      <c r="AM268" s="6" t="str">
        <f>IF($D268&lt;=AM$4,"",IF(AND($D267=AM$4,$D268&gt;AM$4),$F267,AM267))</f>
        <v/>
      </c>
      <c r="AN268" s="6" t="str">
        <f>IF($D268&lt;=AN$4,"",IF(AND($D267=AN$4,$D268&gt;AN$4),$F267,AN267))</f>
        <v/>
      </c>
      <c r="AO268" s="6" t="str">
        <f>CONCATENATE(AG268," | ",AH268," | ",AI268," | ",AJ268," | ",AK268," | ",AL268," | ",AM268," | ",AN268)</f>
        <v xml:space="preserve">90MB1BJ0-C1BAY0 | 59MB1BJB-MB0A02S |  |  |  |  |  | </v>
      </c>
      <c r="AP268" s="6">
        <f>IF(TRIM(H268)="",100,J268)</f>
        <v>0</v>
      </c>
      <c r="AQ268" s="4"/>
      <c r="AR268" s="6" t="b">
        <f>NOT(TRIM(W268)&lt;&gt;"F")</f>
        <v>1</v>
      </c>
      <c r="AS268" s="6" t="str">
        <f>$B268&amp;" | "&amp;$AO268&amp;" | "&amp;IF(TRIM(H268)="","uniq"&amp;ROW(),TRIM(H268))</f>
        <v>461E | 90MB1BJ0-C1BAY0 | 59MB1BJB-MB0A02S |  |  |  |  |  |  | 99</v>
      </c>
      <c r="AT268" s="63">
        <f>IF(NOT(AR268),IF(TRIM($H268)="","Assembly","Phantom Alt"),VLOOKUP(F268,ZPCS04!B:G,6,0))</f>
        <v>639</v>
      </c>
      <c r="AU268" s="7"/>
      <c r="AV268" s="38">
        <f ca="1">IF(TRIM($W268)="F",OFFSET($A$5,MATCH($AS268,$AS$5:$AS268,0)-1,0),$A268)</f>
        <v>266</v>
      </c>
      <c r="AW268" s="38">
        <f ca="1">IFERROR(OFFSET(ZPCS04!$A$1,MATCH(F268,ZPCS04!B:B,0)-1,0),100)</f>
        <v>2</v>
      </c>
      <c r="AX268" s="7"/>
      <c r="AY268" s="6" t="b">
        <f>SUMIF(AS:AS,AS268,AP:AP)=100</f>
        <v>1</v>
      </c>
      <c r="AZ268" s="6" t="b">
        <f>SUMIF(AS:AS,AS268,AE:AE)/COUNTIF(AS:AS,AS268)=AE268</f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>C268&amp;" | "&amp;F268</f>
        <v>90MB1BJ0-C1BAY0 | 10G212100314050</v>
      </c>
      <c r="BE268" s="55" t="str">
        <f ca="1">C268&amp;" | "&amp;OFFSET($AF268,0,8-COUNTBLANK($AG268:$AN268))</f>
        <v>90MB1BJ0-C1BAY0 | 59MB1BJB-MB0A02S</v>
      </c>
      <c r="BF268" s="57">
        <f ca="1">IFERROR(VLOOKUP($BE268,$BD$5:$BF267,3,0)*$AE268,VLOOKUP($C268,Demanda!$A:$B,2,0)*$AE268)*IF(AT268="Phantom Alt",$BC268,TRUE)</f>
        <v>27000</v>
      </c>
      <c r="BG268" s="57">
        <f ca="1">BF268*(AP268/100)</f>
        <v>0</v>
      </c>
      <c r="BH268" s="57">
        <f>SUMIF(Invoice!A:A,F268,Invoice!B:B)</f>
        <v>0</v>
      </c>
      <c r="BI268" s="57">
        <f ca="1">SUMIF(AS:AS,AS268,BG:BG)</f>
        <v>27000</v>
      </c>
      <c r="BJ268" s="57">
        <f ca="1">MIN((BI268-SUMIF($AS$5:AS267,AS268,$BJ$5:BJ267)),MAX(0,BH268-SUMIF($F$5:F267,F268,$BJ$5:BJ267)))</f>
        <v>0</v>
      </c>
      <c r="BK268" s="57">
        <f ca="1">(-SUMIF(AS:AS,AS268,BG:BG)+SUMIF(AS:AS,AS268,BJ:BJ))*(AP268=100)*AR268</f>
        <v>0</v>
      </c>
      <c r="BL268" s="57">
        <f ca="1">MAX(0,SUMIF(Invoice!A:A,F268,Invoice!B:B)-SUMIF(F:F,F268,BJ:BJ))*(COUNTIF(F:F,F268)=COUNTIF($F$5:F268,F268))</f>
        <v>0</v>
      </c>
    </row>
    <row r="269" spans="1:64" hidden="1">
      <c r="A269" s="43">
        <v>269</v>
      </c>
      <c r="B269" s="35" t="s">
        <v>147</v>
      </c>
      <c r="C269" s="35" t="s">
        <v>146</v>
      </c>
      <c r="D269" s="35">
        <v>2</v>
      </c>
      <c r="E269" s="35">
        <v>1000</v>
      </c>
      <c r="F269" s="64" t="s">
        <v>706</v>
      </c>
      <c r="G269" s="73" t="s">
        <v>707</v>
      </c>
      <c r="H269" s="35" t="s">
        <v>170</v>
      </c>
      <c r="I269" s="35" t="s">
        <v>55</v>
      </c>
      <c r="J269" s="35">
        <v>0</v>
      </c>
      <c r="K269" s="35" t="s">
        <v>489</v>
      </c>
      <c r="L269" s="35" t="s">
        <v>53</v>
      </c>
      <c r="M269" s="35">
        <v>10</v>
      </c>
      <c r="N269" s="35"/>
      <c r="O269" s="35">
        <v>1</v>
      </c>
      <c r="P269" s="35">
        <v>2</v>
      </c>
      <c r="Q269" s="35">
        <v>3</v>
      </c>
      <c r="R269" s="35" t="s">
        <v>122</v>
      </c>
      <c r="S269" s="35" t="s">
        <v>122</v>
      </c>
      <c r="T269" s="36">
        <v>44901</v>
      </c>
      <c r="U269" s="36">
        <v>2958465</v>
      </c>
      <c r="V269" s="35" t="s">
        <v>282</v>
      </c>
      <c r="W269" s="35" t="s">
        <v>145</v>
      </c>
      <c r="X269" s="35"/>
      <c r="Y269" s="35" t="s">
        <v>143</v>
      </c>
      <c r="Z269" s="35">
        <v>7589154</v>
      </c>
      <c r="AA269" s="35">
        <v>430</v>
      </c>
      <c r="AB269" s="35">
        <v>215</v>
      </c>
      <c r="AC269" s="35"/>
      <c r="AE269" s="51">
        <f>M269/O269</f>
        <v>10</v>
      </c>
      <c r="AG269" s="6" t="str">
        <f>C269</f>
        <v>90MB1BJ0-C1BAY0</v>
      </c>
      <c r="AH269" s="6" t="str">
        <f>IF($D269&lt;=AH$4,"",IF(AND($D268=AH$4,$D269&gt;AH$4),$F268,AH268))</f>
        <v>59MB1BJB-MB0A02S</v>
      </c>
      <c r="AI269" s="6" t="str">
        <f>IF($D269&lt;=AI$4,"",IF(AND($D268=AI$4,$D269&gt;AI$4),$F268,AI268))</f>
        <v/>
      </c>
      <c r="AJ269" s="6" t="str">
        <f>IF($D269&lt;=AJ$4,"",IF(AND($D268=AJ$4,$D269&gt;AJ$4),$F268,AJ268))</f>
        <v/>
      </c>
      <c r="AK269" s="6" t="str">
        <f>IF($D269&lt;=AK$4,"",IF(AND($D268=AK$4,$D269&gt;AK$4),$F268,AK268))</f>
        <v/>
      </c>
      <c r="AL269" s="6" t="str">
        <f>IF($D269&lt;=AL$4,"",IF(AND($D268=AL$4,$D269&gt;AL$4),$F268,AL268))</f>
        <v/>
      </c>
      <c r="AM269" s="6" t="str">
        <f>IF($D269&lt;=AM$4,"",IF(AND($D268=AM$4,$D269&gt;AM$4),$F268,AM268))</f>
        <v/>
      </c>
      <c r="AN269" s="6" t="str">
        <f>IF($D269&lt;=AN$4,"",IF(AND($D268=AN$4,$D269&gt;AN$4),$F268,AN268))</f>
        <v/>
      </c>
      <c r="AO269" s="6" t="str">
        <f>CONCATENATE(AG269," | ",AH269," | ",AI269," | ",AJ269," | ",AK269," | ",AL269," | ",AM269," | ",AN269)</f>
        <v xml:space="preserve">90MB1BJ0-C1BAY0 | 59MB1BJB-MB0A02S |  |  |  |  |  | </v>
      </c>
      <c r="AP269" s="6">
        <f>IF(TRIM(H269)="",100,J269)</f>
        <v>0</v>
      </c>
      <c r="AQ269" s="4"/>
      <c r="AR269" s="6" t="b">
        <f>NOT(TRIM(W269)&lt;&gt;"F")</f>
        <v>1</v>
      </c>
      <c r="AS269" s="6" t="str">
        <f>$B269&amp;" | "&amp;$AO269&amp;" | "&amp;IF(TRIM(H269)="","uniq"&amp;ROW(),TRIM(H269))</f>
        <v>461E | 90MB1BJ0-C1BAY0 | 59MB1BJB-MB0A02S |  |  |  |  |  |  | A0</v>
      </c>
      <c r="AT269" s="63">
        <f>IF(NOT(AR269),IF(TRIM($H269)="","Assembly","Phantom Alt"),VLOOKUP(F269,ZPCS04!B:G,6,0))</f>
        <v>824</v>
      </c>
      <c r="AU269" s="7"/>
      <c r="AV269" s="38">
        <f ca="1">IF(TRIM($W269)="F",OFFSET($A$5,MATCH($AS269,$AS$5:$AS269,0)-1,0),$A269)</f>
        <v>269</v>
      </c>
      <c r="AW269" s="38">
        <f ca="1">IFERROR(OFFSET(ZPCS04!$A$1,MATCH(F269,ZPCS04!B:B,0)-1,0),100)</f>
        <v>1.9999999000000002</v>
      </c>
      <c r="AX269" s="7"/>
      <c r="AY269" s="6" t="b">
        <f>SUMIF(AS:AS,AS269,AP:AP)=100</f>
        <v>1</v>
      </c>
      <c r="AZ269" s="6" t="b">
        <f>SUMIF(AS:AS,AS269,AE:AE)/COUNTIF(AS:AS,AS269)=AE269</f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>C269&amp;" | "&amp;F269</f>
        <v>90MB1BJ0-C1BAY0 | 10G212100414010</v>
      </c>
      <c r="BE269" s="55" t="str">
        <f ca="1">C269&amp;" | "&amp;OFFSET($AF269,0,8-COUNTBLANK($AG269:$AN269))</f>
        <v>90MB1BJ0-C1BAY0 | 59MB1BJB-MB0A02S</v>
      </c>
      <c r="BF269" s="57">
        <f ca="1">IFERROR(VLOOKUP($BE269,$BD$5:$BF268,3,0)*$AE269,VLOOKUP($C269,Demanda!$A:$B,2,0)*$AE269)*IF(AT269="Phantom Alt",$BC269,TRUE)</f>
        <v>10000</v>
      </c>
      <c r="BG269" s="57">
        <f ca="1">BF269*(AP269/100)</f>
        <v>0</v>
      </c>
      <c r="BH269" s="57">
        <f>SUMIF(Invoice!A:A,F269,Invoice!B:B)</f>
        <v>10000</v>
      </c>
      <c r="BI269" s="57">
        <f ca="1">SUMIF(AS:AS,AS269,BG:BG)</f>
        <v>10000</v>
      </c>
      <c r="BJ269" s="57">
        <f ca="1">MIN((BI269-SUMIF($AS$5:AS268,AS269,$BJ$5:BJ268)),MAX(0,BH269-SUMIF($F$5:F268,F269,$BJ$5:BJ268)))</f>
        <v>10000</v>
      </c>
      <c r="BK269" s="57">
        <f ca="1">(-SUMIF(AS:AS,AS269,BG:BG)+SUMIF(AS:AS,AS269,BJ:BJ))*(AP269=100)*AR269</f>
        <v>0</v>
      </c>
      <c r="BL269" s="57">
        <f ca="1">MAX(0,SUMIF(Invoice!A:A,F269,Invoice!B:B)-SUMIF(F:F,F269,BJ:BJ))*(COUNTIF(F:F,F269)=COUNTIF($F$5:F269,F269))</f>
        <v>0</v>
      </c>
    </row>
    <row r="270" spans="1:64" hidden="1">
      <c r="A270" s="43">
        <v>270</v>
      </c>
      <c r="B270" s="35" t="s">
        <v>147</v>
      </c>
      <c r="C270" s="35" t="s">
        <v>146</v>
      </c>
      <c r="D270" s="35">
        <v>2</v>
      </c>
      <c r="E270" s="35">
        <v>1000</v>
      </c>
      <c r="F270" s="64" t="s">
        <v>708</v>
      </c>
      <c r="G270" s="73" t="s">
        <v>709</v>
      </c>
      <c r="H270" s="35" t="s">
        <v>170</v>
      </c>
      <c r="I270" s="35" t="s">
        <v>55</v>
      </c>
      <c r="J270" s="35">
        <v>0</v>
      </c>
      <c r="K270" s="35" t="s">
        <v>489</v>
      </c>
      <c r="L270" s="35" t="s">
        <v>53</v>
      </c>
      <c r="M270" s="35">
        <v>10</v>
      </c>
      <c r="N270" s="35"/>
      <c r="O270" s="35">
        <v>1</v>
      </c>
      <c r="P270" s="35">
        <v>2</v>
      </c>
      <c r="Q270" s="35">
        <v>2</v>
      </c>
      <c r="R270" s="35" t="s">
        <v>122</v>
      </c>
      <c r="S270" s="35" t="s">
        <v>122</v>
      </c>
      <c r="T270" s="36">
        <v>44901</v>
      </c>
      <c r="U270" s="36">
        <v>2958465</v>
      </c>
      <c r="V270" s="35" t="s">
        <v>282</v>
      </c>
      <c r="W270" s="35" t="s">
        <v>145</v>
      </c>
      <c r="X270" s="35"/>
      <c r="Y270" s="35" t="s">
        <v>143</v>
      </c>
      <c r="Z270" s="35">
        <v>7589154</v>
      </c>
      <c r="AA270" s="35">
        <v>428</v>
      </c>
      <c r="AB270" s="35">
        <v>214</v>
      </c>
      <c r="AC270" s="35"/>
      <c r="AE270" s="51">
        <f>M270/O270</f>
        <v>10</v>
      </c>
      <c r="AG270" s="6" t="str">
        <f>C270</f>
        <v>90MB1BJ0-C1BAY0</v>
      </c>
      <c r="AH270" s="6" t="str">
        <f>IF($D270&lt;=AH$4,"",IF(AND($D269=AH$4,$D270&gt;AH$4),$F269,AH269))</f>
        <v>59MB1BJB-MB0A02S</v>
      </c>
      <c r="AI270" s="6" t="str">
        <f>IF($D270&lt;=AI$4,"",IF(AND($D269=AI$4,$D270&gt;AI$4),$F269,AI269))</f>
        <v/>
      </c>
      <c r="AJ270" s="6" t="str">
        <f>IF($D270&lt;=AJ$4,"",IF(AND($D269=AJ$4,$D270&gt;AJ$4),$F269,AJ269))</f>
        <v/>
      </c>
      <c r="AK270" s="6" t="str">
        <f>IF($D270&lt;=AK$4,"",IF(AND($D269=AK$4,$D270&gt;AK$4),$F269,AK269))</f>
        <v/>
      </c>
      <c r="AL270" s="6" t="str">
        <f>IF($D270&lt;=AL$4,"",IF(AND($D269=AL$4,$D270&gt;AL$4),$F269,AL269))</f>
        <v/>
      </c>
      <c r="AM270" s="6" t="str">
        <f>IF($D270&lt;=AM$4,"",IF(AND($D269=AM$4,$D270&gt;AM$4),$F269,AM269))</f>
        <v/>
      </c>
      <c r="AN270" s="6" t="str">
        <f>IF($D270&lt;=AN$4,"",IF(AND($D269=AN$4,$D270&gt;AN$4),$F269,AN269))</f>
        <v/>
      </c>
      <c r="AO270" s="6" t="str">
        <f>CONCATENATE(AG270," | ",AH270," | ",AI270," | ",AJ270," | ",AK270," | ",AL270," | ",AM270," | ",AN270)</f>
        <v xml:space="preserve">90MB1BJ0-C1BAY0 | 59MB1BJB-MB0A02S |  |  |  |  |  | </v>
      </c>
      <c r="AP270" s="6">
        <f>IF(TRIM(H270)="",100,J270)</f>
        <v>0</v>
      </c>
      <c r="AQ270" s="4"/>
      <c r="AR270" s="6" t="b">
        <f>NOT(TRIM(W270)&lt;&gt;"F")</f>
        <v>1</v>
      </c>
      <c r="AS270" s="6" t="str">
        <f>$B270&amp;" | "&amp;$AO270&amp;" | "&amp;IF(TRIM(H270)="","uniq"&amp;ROW(),TRIM(H270))</f>
        <v>461E | 90MB1BJ0-C1BAY0 | 59MB1BJB-MB0A02S |  |  |  |  |  |  | A0</v>
      </c>
      <c r="AT270" s="63">
        <f>IF(NOT(AR270),IF(TRIM($H270)="","Assembly","Phantom Alt"),VLOOKUP(F270,ZPCS04!B:G,6,0))</f>
        <v>824</v>
      </c>
      <c r="AU270" s="7"/>
      <c r="AV270" s="38">
        <f ca="1">IF(TRIM($W270)="F",OFFSET($A$5,MATCH($AS270,$AS$5:$AS270,0)-1,0),$A270)</f>
        <v>269</v>
      </c>
      <c r="AW270" s="38">
        <f ca="1">IFERROR(OFFSET(ZPCS04!$A$1,MATCH(F270,ZPCS04!B:B,0)-1,0),100)</f>
        <v>2</v>
      </c>
      <c r="AX270" s="7"/>
      <c r="AY270" s="6" t="b">
        <f>SUMIF(AS:AS,AS270,AP:AP)=100</f>
        <v>1</v>
      </c>
      <c r="AZ270" s="6" t="b">
        <f>SUMIF(AS:AS,AS270,AE:AE)/COUNTIF(AS:AS,AS270)=AE270</f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>C270&amp;" | "&amp;F270</f>
        <v>90MB1BJ0-C1BAY0 | 10G212100414020</v>
      </c>
      <c r="BE270" s="55" t="str">
        <f ca="1">C270&amp;" | "&amp;OFFSET($AF270,0,8-COUNTBLANK($AG270:$AN270))</f>
        <v>90MB1BJ0-C1BAY0 | 59MB1BJB-MB0A02S</v>
      </c>
      <c r="BF270" s="57">
        <f ca="1">IFERROR(VLOOKUP($BE270,$BD$5:$BF269,3,0)*$AE270,VLOOKUP($C270,Demanda!$A:$B,2,0)*$AE270)*IF(AT270="Phantom Alt",$BC270,TRUE)</f>
        <v>10000</v>
      </c>
      <c r="BG270" s="57">
        <f ca="1">BF270*(AP270/100)</f>
        <v>0</v>
      </c>
      <c r="BH270" s="57">
        <f>SUMIF(Invoice!A:A,F270,Invoice!B:B)</f>
        <v>0</v>
      </c>
      <c r="BI270" s="57">
        <f ca="1">SUMIF(AS:AS,AS270,BG:BG)</f>
        <v>10000</v>
      </c>
      <c r="BJ270" s="57">
        <f ca="1">MIN((BI270-SUMIF($AS$5:AS269,AS270,$BJ$5:BJ269)),MAX(0,BH270-SUMIF($F$5:F269,F270,$BJ$5:BJ269)))</f>
        <v>0</v>
      </c>
      <c r="BK270" s="57">
        <f ca="1">(-SUMIF(AS:AS,AS270,BG:BG)+SUMIF(AS:AS,AS270,BJ:BJ))*(AP270=100)*AR270</f>
        <v>0</v>
      </c>
      <c r="BL270" s="57">
        <f ca="1">MAX(0,SUMIF(Invoice!A:A,F270,Invoice!B:B)-SUMIF(F:F,F270,BJ:BJ))*(COUNTIF(F:F,F270)=COUNTIF($F$5:F270,F270))</f>
        <v>0</v>
      </c>
    </row>
    <row r="271" spans="1:64" hidden="1">
      <c r="A271" s="43">
        <v>271</v>
      </c>
      <c r="B271" s="35" t="s">
        <v>147</v>
      </c>
      <c r="C271" s="35" t="s">
        <v>146</v>
      </c>
      <c r="D271" s="35">
        <v>2</v>
      </c>
      <c r="E271" s="35">
        <v>1000</v>
      </c>
      <c r="F271" s="64" t="s">
        <v>710</v>
      </c>
      <c r="G271" s="73" t="s">
        <v>711</v>
      </c>
      <c r="H271" s="35" t="s">
        <v>170</v>
      </c>
      <c r="I271" s="35" t="s">
        <v>54</v>
      </c>
      <c r="J271" s="35">
        <v>100</v>
      </c>
      <c r="K271" s="35" t="s">
        <v>150</v>
      </c>
      <c r="L271" s="35" t="s">
        <v>53</v>
      </c>
      <c r="M271" s="35">
        <v>10</v>
      </c>
      <c r="N271" s="35">
        <v>10</v>
      </c>
      <c r="O271" s="35">
        <v>1</v>
      </c>
      <c r="P271" s="35">
        <v>2</v>
      </c>
      <c r="Q271" s="35">
        <v>1</v>
      </c>
      <c r="R271" s="35" t="s">
        <v>73</v>
      </c>
      <c r="S271" s="35" t="s">
        <v>73</v>
      </c>
      <c r="T271" s="36">
        <v>44901</v>
      </c>
      <c r="U271" s="36">
        <v>2958465</v>
      </c>
      <c r="V271" s="35" t="s">
        <v>282</v>
      </c>
      <c r="W271" s="35" t="s">
        <v>145</v>
      </c>
      <c r="X271" s="35"/>
      <c r="Y271" s="35" t="s">
        <v>143</v>
      </c>
      <c r="Z271" s="35">
        <v>7589154</v>
      </c>
      <c r="AA271" s="35">
        <v>426</v>
      </c>
      <c r="AB271" s="35">
        <v>213</v>
      </c>
      <c r="AC271" s="35"/>
      <c r="AE271" s="51">
        <f>M271/O271</f>
        <v>10</v>
      </c>
      <c r="AG271" s="6" t="str">
        <f>C271</f>
        <v>90MB1BJ0-C1BAY0</v>
      </c>
      <c r="AH271" s="6" t="str">
        <f>IF($D271&lt;=AH$4,"",IF(AND($D270=AH$4,$D271&gt;AH$4),$F270,AH270))</f>
        <v>59MB1BJB-MB0A02S</v>
      </c>
      <c r="AI271" s="6" t="str">
        <f>IF($D271&lt;=AI$4,"",IF(AND($D270=AI$4,$D271&gt;AI$4),$F270,AI270))</f>
        <v/>
      </c>
      <c r="AJ271" s="6" t="str">
        <f>IF($D271&lt;=AJ$4,"",IF(AND($D270=AJ$4,$D271&gt;AJ$4),$F270,AJ270))</f>
        <v/>
      </c>
      <c r="AK271" s="6" t="str">
        <f>IF($D271&lt;=AK$4,"",IF(AND($D270=AK$4,$D271&gt;AK$4),$F270,AK270))</f>
        <v/>
      </c>
      <c r="AL271" s="6" t="str">
        <f>IF($D271&lt;=AL$4,"",IF(AND($D270=AL$4,$D271&gt;AL$4),$F270,AL270))</f>
        <v/>
      </c>
      <c r="AM271" s="6" t="str">
        <f>IF($D271&lt;=AM$4,"",IF(AND($D270=AM$4,$D271&gt;AM$4),$F270,AM270))</f>
        <v/>
      </c>
      <c r="AN271" s="6" t="str">
        <f>IF($D271&lt;=AN$4,"",IF(AND($D270=AN$4,$D271&gt;AN$4),$F270,AN270))</f>
        <v/>
      </c>
      <c r="AO271" s="6" t="str">
        <f>CONCATENATE(AG271," | ",AH271," | ",AI271," | ",AJ271," | ",AK271," | ",AL271," | ",AM271," | ",AN271)</f>
        <v xml:space="preserve">90MB1BJ0-C1BAY0 | 59MB1BJB-MB0A02S |  |  |  |  |  | </v>
      </c>
      <c r="AP271" s="6">
        <f>IF(TRIM(H271)="",100,J271)</f>
        <v>100</v>
      </c>
      <c r="AQ271" s="4"/>
      <c r="AR271" s="6" t="b">
        <f>NOT(TRIM(W271)&lt;&gt;"F")</f>
        <v>1</v>
      </c>
      <c r="AS271" s="6" t="str">
        <f>$B271&amp;" | "&amp;$AO271&amp;" | "&amp;IF(TRIM(H271)="","uniq"&amp;ROW(),TRIM(H271))</f>
        <v>461E | 90MB1BJ0-C1BAY0 | 59MB1BJB-MB0A02S |  |  |  |  |  |  | A0</v>
      </c>
      <c r="AT271" s="63">
        <f>IF(NOT(AR271),IF(TRIM($H271)="","Assembly","Phantom Alt"),VLOOKUP(F271,ZPCS04!B:G,6,0))</f>
        <v>824</v>
      </c>
      <c r="AU271" s="7"/>
      <c r="AV271" s="38">
        <f ca="1">IF(TRIM($W271)="F",OFFSET($A$5,MATCH($AS271,$AS$5:$AS271,0)-1,0),$A271)</f>
        <v>269</v>
      </c>
      <c r="AW271" s="38">
        <f ca="1">IFERROR(OFFSET(ZPCS04!$A$1,MATCH(F271,ZPCS04!B:B,0)-1,0),100)</f>
        <v>2</v>
      </c>
      <c r="AX271" s="7"/>
      <c r="AY271" s="6" t="b">
        <f>SUMIF(AS:AS,AS271,AP:AP)=100</f>
        <v>1</v>
      </c>
      <c r="AZ271" s="6" t="b">
        <f>SUMIF(AS:AS,AS271,AE:AE)/COUNTIF(AS:AS,AS271)=AE271</f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>C271&amp;" | "&amp;F271</f>
        <v>90MB1BJ0-C1BAY0 | 10G212100414050</v>
      </c>
      <c r="BE271" s="55" t="str">
        <f ca="1">C271&amp;" | "&amp;OFFSET($AF271,0,8-COUNTBLANK($AG271:$AN271))</f>
        <v>90MB1BJ0-C1BAY0 | 59MB1BJB-MB0A02S</v>
      </c>
      <c r="BF271" s="57">
        <f ca="1">IFERROR(VLOOKUP($BE271,$BD$5:$BF270,3,0)*$AE271,VLOOKUP($C271,Demanda!$A:$B,2,0)*$AE271)*IF(AT271="Phantom Alt",$BC271,TRUE)</f>
        <v>10000</v>
      </c>
      <c r="BG271" s="57">
        <f ca="1">BF271*(AP271/100)</f>
        <v>10000</v>
      </c>
      <c r="BH271" s="57">
        <f>SUMIF(Invoice!A:A,F271,Invoice!B:B)</f>
        <v>0</v>
      </c>
      <c r="BI271" s="57">
        <f ca="1">SUMIF(AS:AS,AS271,BG:BG)</f>
        <v>10000</v>
      </c>
      <c r="BJ271" s="57">
        <f ca="1">MIN((BI271-SUMIF($AS$5:AS270,AS271,$BJ$5:BJ270)),MAX(0,BH271-SUMIF($F$5:F270,F271,$BJ$5:BJ270)))</f>
        <v>0</v>
      </c>
      <c r="BK271" s="57">
        <f ca="1">(-SUMIF(AS:AS,AS271,BG:BG)+SUMIF(AS:AS,AS271,BJ:BJ))*(AP271=100)*AR271</f>
        <v>0</v>
      </c>
      <c r="BL271" s="57">
        <f ca="1">MAX(0,SUMIF(Invoice!A:A,F271,Invoice!B:B)-SUMIF(F:F,F271,BJ:BJ))*(COUNTIF(F:F,F271)=COUNTIF($F$5:F271,F271))</f>
        <v>0</v>
      </c>
    </row>
    <row r="272" spans="1:64" hidden="1">
      <c r="A272" s="43">
        <v>273</v>
      </c>
      <c r="B272" s="35" t="s">
        <v>147</v>
      </c>
      <c r="C272" s="35" t="s">
        <v>146</v>
      </c>
      <c r="D272" s="35">
        <v>2</v>
      </c>
      <c r="E272" s="35">
        <v>1010</v>
      </c>
      <c r="F272" s="64" t="s">
        <v>714</v>
      </c>
      <c r="G272" s="73" t="s">
        <v>715</v>
      </c>
      <c r="H272" s="35" t="s">
        <v>175</v>
      </c>
      <c r="I272" s="35" t="s">
        <v>55</v>
      </c>
      <c r="J272" s="35">
        <v>0</v>
      </c>
      <c r="K272" s="35" t="s">
        <v>150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3</v>
      </c>
      <c r="R272" s="35" t="s">
        <v>73</v>
      </c>
      <c r="S272" s="35" t="s">
        <v>73</v>
      </c>
      <c r="T272" s="36">
        <v>44901</v>
      </c>
      <c r="U272" s="36">
        <v>2958465</v>
      </c>
      <c r="V272" s="35" t="s">
        <v>282</v>
      </c>
      <c r="W272" s="35" t="s">
        <v>145</v>
      </c>
      <c r="X272" s="35"/>
      <c r="Y272" s="35" t="s">
        <v>143</v>
      </c>
      <c r="Z272" s="35">
        <v>7589154</v>
      </c>
      <c r="AA272" s="35">
        <v>436</v>
      </c>
      <c r="AB272" s="35">
        <v>218</v>
      </c>
      <c r="AC272" s="35"/>
      <c r="AE272" s="51">
        <f>M272/O272</f>
        <v>1</v>
      </c>
      <c r="AG272" s="6" t="str">
        <f>C272</f>
        <v>90MB1BJ0-C1BAY0</v>
      </c>
      <c r="AH272" s="6" t="str">
        <f>IF($D272&lt;=AH$4,"",IF(AND($D271=AH$4,$D272&gt;AH$4),$F271,AH271))</f>
        <v>59MB1BJB-MB0A02S</v>
      </c>
      <c r="AI272" s="6" t="str">
        <f>IF($D272&lt;=AI$4,"",IF(AND($D271=AI$4,$D272&gt;AI$4),$F271,AI271))</f>
        <v/>
      </c>
      <c r="AJ272" s="6" t="str">
        <f>IF($D272&lt;=AJ$4,"",IF(AND($D271=AJ$4,$D272&gt;AJ$4),$F271,AJ271))</f>
        <v/>
      </c>
      <c r="AK272" s="6" t="str">
        <f>IF($D272&lt;=AK$4,"",IF(AND($D271=AK$4,$D272&gt;AK$4),$F271,AK271))</f>
        <v/>
      </c>
      <c r="AL272" s="6" t="str">
        <f>IF($D272&lt;=AL$4,"",IF(AND($D271=AL$4,$D272&gt;AL$4),$F271,AL271))</f>
        <v/>
      </c>
      <c r="AM272" s="6" t="str">
        <f>IF($D272&lt;=AM$4,"",IF(AND($D271=AM$4,$D272&gt;AM$4),$F271,AM271))</f>
        <v/>
      </c>
      <c r="AN272" s="6" t="str">
        <f>IF($D272&lt;=AN$4,"",IF(AND($D271=AN$4,$D272&gt;AN$4),$F271,AN271))</f>
        <v/>
      </c>
      <c r="AO272" s="6" t="str">
        <f>CONCATENATE(AG272," | ",AH272," | ",AI272," | ",AJ272," | ",AK272," | ",AL272," | ",AM272," | ",AN272)</f>
        <v xml:space="preserve">90MB1BJ0-C1BAY0 | 59MB1BJB-MB0A02S |  |  |  |  |  | </v>
      </c>
      <c r="AP272" s="6">
        <f>IF(TRIM(H272)="",100,J272)</f>
        <v>0</v>
      </c>
      <c r="AQ272" s="4"/>
      <c r="AR272" s="6" t="b">
        <f>NOT(TRIM(W272)&lt;&gt;"F")</f>
        <v>1</v>
      </c>
      <c r="AS272" s="6" t="str">
        <f>$B272&amp;" | "&amp;$AO272&amp;" | "&amp;IF(TRIM(H272)="","uniq"&amp;ROW(),TRIM(H272))</f>
        <v>461E | 90MB1BJ0-C1BAY0 | 59MB1BJB-MB0A02S |  |  |  |  |  |  | A1</v>
      </c>
      <c r="AT272" s="63">
        <f>IF(NOT(AR272),IF(TRIM($H272)="","Assembly","Phantom Alt"),VLOOKUP(F272,ZPCS04!B:G,6,0))</f>
        <v>1261</v>
      </c>
      <c r="AU272" s="7"/>
      <c r="AV272" s="38">
        <f ca="1">IF(TRIM($W272)="F",OFFSET($A$5,MATCH($AS272,$AS$5:$AS272,0)-1,0),$A272)</f>
        <v>273</v>
      </c>
      <c r="AW272" s="38">
        <f ca="1">IFERROR(OFFSET(ZPCS04!$A$1,MATCH(F272,ZPCS04!B:B,0)-1,0),100)</f>
        <v>1.9999999000000002</v>
      </c>
      <c r="AX272" s="7"/>
      <c r="AY272" s="6" t="b">
        <f>SUMIF(AS:AS,AS272,AP:AP)=100</f>
        <v>1</v>
      </c>
      <c r="AZ272" s="6" t="b">
        <f>SUMIF(AS:AS,AS272,AE:AE)/COUNTIF(AS:AS,AS272)=AE272</f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>C272&amp;" | "&amp;F272</f>
        <v>90MB1BJ0-C1BAY0 | 10G212100514020</v>
      </c>
      <c r="BE272" s="55" t="str">
        <f ca="1">C272&amp;" | "&amp;OFFSET($AF272,0,8-COUNTBLANK($AG272:$AN272))</f>
        <v>90MB1BJ0-C1BAY0 | 59MB1BJB-MB0A02S</v>
      </c>
      <c r="BF272" s="57">
        <f ca="1">IFERROR(VLOOKUP($BE272,$BD$5:$BF271,3,0)*$AE272,VLOOKUP($C272,Demanda!$A:$B,2,0)*$AE272)*IF(AT272="Phantom Alt",$BC272,TRUE)</f>
        <v>1000</v>
      </c>
      <c r="BG272" s="57">
        <f ca="1">BF272*(AP272/100)</f>
        <v>0</v>
      </c>
      <c r="BH272" s="57">
        <f>SUMIF(Invoice!A:A,F272,Invoice!B:B)</f>
        <v>10000</v>
      </c>
      <c r="BI272" s="57">
        <f ca="1">SUMIF(AS:AS,AS272,BG:BG)</f>
        <v>1000</v>
      </c>
      <c r="BJ272" s="57">
        <f ca="1">MIN((BI272-SUMIF($AS$5:AS271,AS272,$BJ$5:BJ271)),MAX(0,BH272-SUMIF($F$5:F271,F272,$BJ$5:BJ271)))</f>
        <v>1000</v>
      </c>
      <c r="BK272" s="57">
        <f ca="1">(-SUMIF(AS:AS,AS272,BG:BG)+SUMIF(AS:AS,AS272,BJ:BJ))*(AP272=100)*AR272</f>
        <v>0</v>
      </c>
      <c r="BL272" s="57">
        <f ca="1">MAX(0,SUMIF(Invoice!A:A,F272,Invoice!B:B)-SUMIF(F:F,F272,BJ:BJ))*(COUNTIF(F:F,F272)=COUNTIF($F$5:F272,F272))</f>
        <v>9000</v>
      </c>
    </row>
    <row r="273" spans="1:64" hidden="1">
      <c r="A273" s="43">
        <v>272</v>
      </c>
      <c r="B273" s="35" t="s">
        <v>147</v>
      </c>
      <c r="C273" s="35" t="s">
        <v>146</v>
      </c>
      <c r="D273" s="35">
        <v>2</v>
      </c>
      <c r="E273" s="35">
        <v>1010</v>
      </c>
      <c r="F273" s="64" t="s">
        <v>712</v>
      </c>
      <c r="G273" s="73" t="s">
        <v>713</v>
      </c>
      <c r="H273" s="35" t="s">
        <v>175</v>
      </c>
      <c r="I273" s="35" t="s">
        <v>54</v>
      </c>
      <c r="J273" s="35">
        <v>100</v>
      </c>
      <c r="K273" s="35" t="s">
        <v>150</v>
      </c>
      <c r="L273" s="35" t="s">
        <v>53</v>
      </c>
      <c r="M273" s="35">
        <v>1</v>
      </c>
      <c r="N273" s="35">
        <v>1</v>
      </c>
      <c r="O273" s="35">
        <v>1</v>
      </c>
      <c r="P273" s="35">
        <v>2</v>
      </c>
      <c r="Q273" s="35">
        <v>1</v>
      </c>
      <c r="R273" s="35" t="s">
        <v>73</v>
      </c>
      <c r="S273" s="35" t="s">
        <v>73</v>
      </c>
      <c r="T273" s="36">
        <v>44901</v>
      </c>
      <c r="U273" s="36">
        <v>2958465</v>
      </c>
      <c r="V273" s="35" t="s">
        <v>282</v>
      </c>
      <c r="W273" s="35" t="s">
        <v>145</v>
      </c>
      <c r="X273" s="35"/>
      <c r="Y273" s="35" t="s">
        <v>143</v>
      </c>
      <c r="Z273" s="35">
        <v>7589154</v>
      </c>
      <c r="AA273" s="35">
        <v>432</v>
      </c>
      <c r="AB273" s="35">
        <v>216</v>
      </c>
      <c r="AC273" s="35"/>
      <c r="AE273" s="51">
        <f>M273/O273</f>
        <v>1</v>
      </c>
      <c r="AG273" s="6" t="str">
        <f>C273</f>
        <v>90MB1BJ0-C1BAY0</v>
      </c>
      <c r="AH273" s="6" t="str">
        <f>IF($D273&lt;=AH$4,"",IF(AND($D272=AH$4,$D273&gt;AH$4),$F272,AH272))</f>
        <v>59MB1BJB-MB0A02S</v>
      </c>
      <c r="AI273" s="6" t="str">
        <f>IF($D273&lt;=AI$4,"",IF(AND($D272=AI$4,$D273&gt;AI$4),$F272,AI272))</f>
        <v/>
      </c>
      <c r="AJ273" s="6" t="str">
        <f>IF($D273&lt;=AJ$4,"",IF(AND($D272=AJ$4,$D273&gt;AJ$4),$F272,AJ272))</f>
        <v/>
      </c>
      <c r="AK273" s="6" t="str">
        <f>IF($D273&lt;=AK$4,"",IF(AND($D272=AK$4,$D273&gt;AK$4),$F272,AK272))</f>
        <v/>
      </c>
      <c r="AL273" s="6" t="str">
        <f>IF($D273&lt;=AL$4,"",IF(AND($D272=AL$4,$D273&gt;AL$4),$F272,AL272))</f>
        <v/>
      </c>
      <c r="AM273" s="6" t="str">
        <f>IF($D273&lt;=AM$4,"",IF(AND($D272=AM$4,$D273&gt;AM$4),$F272,AM272))</f>
        <v/>
      </c>
      <c r="AN273" s="6" t="str">
        <f>IF($D273&lt;=AN$4,"",IF(AND($D272=AN$4,$D273&gt;AN$4),$F272,AN272))</f>
        <v/>
      </c>
      <c r="AO273" s="6" t="str">
        <f>CONCATENATE(AG273," | ",AH273," | ",AI273," | ",AJ273," | ",AK273," | ",AL273," | ",AM273," | ",AN273)</f>
        <v xml:space="preserve">90MB1BJ0-C1BAY0 | 59MB1BJB-MB0A02S |  |  |  |  |  | </v>
      </c>
      <c r="AP273" s="6">
        <f>IF(TRIM(H273)="",100,J273)</f>
        <v>100</v>
      </c>
      <c r="AQ273" s="4"/>
      <c r="AR273" s="6" t="b">
        <f>NOT(TRIM(W273)&lt;&gt;"F")</f>
        <v>1</v>
      </c>
      <c r="AS273" s="6" t="str">
        <f>$B273&amp;" | "&amp;$AO273&amp;" | "&amp;IF(TRIM(H273)="","uniq"&amp;ROW(),TRIM(H273))</f>
        <v>461E | 90MB1BJ0-C1BAY0 | 59MB1BJB-MB0A02S |  |  |  |  |  |  | A1</v>
      </c>
      <c r="AT273" s="63">
        <f>IF(NOT(AR273),IF(TRIM($H273)="","Assembly","Phantom Alt"),VLOOKUP(F273,ZPCS04!B:G,6,0))</f>
        <v>1261</v>
      </c>
      <c r="AU273" s="7"/>
      <c r="AV273" s="38">
        <f ca="1">IF(TRIM($W273)="F",OFFSET($A$5,MATCH($AS273,$AS$5:$AS273,0)-1,0),$A273)</f>
        <v>273</v>
      </c>
      <c r="AW273" s="38">
        <f ca="1">IFERROR(OFFSET(ZPCS04!$A$1,MATCH(F273,ZPCS04!B:B,0)-1,0),100)</f>
        <v>2</v>
      </c>
      <c r="AX273" s="7"/>
      <c r="AY273" s="6" t="b">
        <f>SUMIF(AS:AS,AS273,AP:AP)=100</f>
        <v>1</v>
      </c>
      <c r="AZ273" s="6" t="b">
        <f>SUMIF(AS:AS,AS273,AE:AE)/COUNTIF(AS:AS,AS273)=AE273</f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>C273&amp;" | "&amp;F273</f>
        <v>90MB1BJ0-C1BAY0 | 10G212100514010</v>
      </c>
      <c r="BE273" s="55" t="str">
        <f ca="1">C273&amp;" | "&amp;OFFSET($AF273,0,8-COUNTBLANK($AG273:$AN273))</f>
        <v>90MB1BJ0-C1BAY0 | 59MB1BJB-MB0A02S</v>
      </c>
      <c r="BF273" s="57">
        <f ca="1">IFERROR(VLOOKUP($BE273,$BD$5:$BF272,3,0)*$AE273,VLOOKUP($C273,Demanda!$A:$B,2,0)*$AE273)*IF(AT273="Phantom Alt",$BC273,TRUE)</f>
        <v>1000</v>
      </c>
      <c r="BG273" s="57">
        <f ca="1">BF273*(AP273/100)</f>
        <v>1000</v>
      </c>
      <c r="BH273" s="57">
        <f>SUMIF(Invoice!A:A,F273,Invoice!B:B)</f>
        <v>0</v>
      </c>
      <c r="BI273" s="57">
        <f ca="1">SUMIF(AS:AS,AS273,BG:BG)</f>
        <v>1000</v>
      </c>
      <c r="BJ273" s="57">
        <f ca="1">MIN((BI273-SUMIF($AS$5:AS272,AS273,$BJ$5:BJ272)),MAX(0,BH273-SUMIF($F$5:F272,F273,$BJ$5:BJ272)))</f>
        <v>0</v>
      </c>
      <c r="BK273" s="57">
        <f ca="1">(-SUMIF(AS:AS,AS273,BG:BG)+SUMIF(AS:AS,AS273,BJ:BJ))*(AP273=100)*AR273</f>
        <v>0</v>
      </c>
      <c r="BL273" s="57">
        <f ca="1">MAX(0,SUMIF(Invoice!A:A,F273,Invoice!B:B)-SUMIF(F:F,F273,BJ:BJ))*(COUNTIF(F:F,F273)=COUNTIF($F$5:F273,F273))</f>
        <v>0</v>
      </c>
    </row>
    <row r="274" spans="1:64" hidden="1">
      <c r="A274" s="43">
        <v>274</v>
      </c>
      <c r="B274" s="35" t="s">
        <v>147</v>
      </c>
      <c r="C274" s="35" t="s">
        <v>146</v>
      </c>
      <c r="D274" s="35">
        <v>2</v>
      </c>
      <c r="E274" s="35">
        <v>1010</v>
      </c>
      <c r="F274" s="64" t="s">
        <v>716</v>
      </c>
      <c r="G274" s="73" t="s">
        <v>717</v>
      </c>
      <c r="H274" s="35" t="s">
        <v>175</v>
      </c>
      <c r="I274" s="35" t="s">
        <v>55</v>
      </c>
      <c r="J274" s="35">
        <v>0</v>
      </c>
      <c r="K274" s="35" t="s">
        <v>150</v>
      </c>
      <c r="L274" s="35" t="s">
        <v>53</v>
      </c>
      <c r="M274" s="35">
        <v>1</v>
      </c>
      <c r="N274" s="35"/>
      <c r="O274" s="35">
        <v>1</v>
      </c>
      <c r="P274" s="35">
        <v>2</v>
      </c>
      <c r="Q274" s="35">
        <v>2</v>
      </c>
      <c r="R274" s="35" t="s">
        <v>73</v>
      </c>
      <c r="S274" s="35" t="s">
        <v>73</v>
      </c>
      <c r="T274" s="36">
        <v>44901</v>
      </c>
      <c r="U274" s="36">
        <v>2958465</v>
      </c>
      <c r="V274" s="35" t="s">
        <v>282</v>
      </c>
      <c r="W274" s="35" t="s">
        <v>145</v>
      </c>
      <c r="X274" s="35"/>
      <c r="Y274" s="35" t="s">
        <v>143</v>
      </c>
      <c r="Z274" s="35">
        <v>7589154</v>
      </c>
      <c r="AA274" s="35">
        <v>434</v>
      </c>
      <c r="AB274" s="35">
        <v>217</v>
      </c>
      <c r="AC274" s="35" t="s">
        <v>144</v>
      </c>
      <c r="AE274" s="51">
        <f>M274/O274</f>
        <v>1</v>
      </c>
      <c r="AG274" s="6" t="str">
        <f>C274</f>
        <v>90MB1BJ0-C1BAY0</v>
      </c>
      <c r="AH274" s="6" t="str">
        <f>IF($D274&lt;=AH$4,"",IF(AND($D273=AH$4,$D274&gt;AH$4),$F273,AH273))</f>
        <v>59MB1BJB-MB0A02S</v>
      </c>
      <c r="AI274" s="6" t="str">
        <f>IF($D274&lt;=AI$4,"",IF(AND($D273=AI$4,$D274&gt;AI$4),$F273,AI273))</f>
        <v/>
      </c>
      <c r="AJ274" s="6" t="str">
        <f>IF($D274&lt;=AJ$4,"",IF(AND($D273=AJ$4,$D274&gt;AJ$4),$F273,AJ273))</f>
        <v/>
      </c>
      <c r="AK274" s="6" t="str">
        <f>IF($D274&lt;=AK$4,"",IF(AND($D273=AK$4,$D274&gt;AK$4),$F273,AK273))</f>
        <v/>
      </c>
      <c r="AL274" s="6" t="str">
        <f>IF($D274&lt;=AL$4,"",IF(AND($D273=AL$4,$D274&gt;AL$4),$F273,AL273))</f>
        <v/>
      </c>
      <c r="AM274" s="6" t="str">
        <f>IF($D274&lt;=AM$4,"",IF(AND($D273=AM$4,$D274&gt;AM$4),$F273,AM273))</f>
        <v/>
      </c>
      <c r="AN274" s="6" t="str">
        <f>IF($D274&lt;=AN$4,"",IF(AND($D273=AN$4,$D274&gt;AN$4),$F273,AN273))</f>
        <v/>
      </c>
      <c r="AO274" s="6" t="str">
        <f>CONCATENATE(AG274," | ",AH274," | ",AI274," | ",AJ274," | ",AK274," | ",AL274," | ",AM274," | ",AN274)</f>
        <v xml:space="preserve">90MB1BJ0-C1BAY0 | 59MB1BJB-MB0A02S |  |  |  |  |  | </v>
      </c>
      <c r="AP274" s="6">
        <f>IF(TRIM(H274)="",100,J274)</f>
        <v>0</v>
      </c>
      <c r="AQ274" s="4"/>
      <c r="AR274" s="6" t="b">
        <f>NOT(TRIM(W274)&lt;&gt;"F")</f>
        <v>1</v>
      </c>
      <c r="AS274" s="6" t="str">
        <f>$B274&amp;" | "&amp;$AO274&amp;" | "&amp;IF(TRIM(H274)="","uniq"&amp;ROW(),TRIM(H274))</f>
        <v>461E | 90MB1BJ0-C1BAY0 | 59MB1BJB-MB0A02S |  |  |  |  |  |  | A1</v>
      </c>
      <c r="AT274" s="63">
        <f>IF(NOT(AR274),IF(TRIM($H274)="","Assembly","Phantom Alt"),VLOOKUP(F274,ZPCS04!B:G,6,0))</f>
        <v>1261</v>
      </c>
      <c r="AU274" s="7"/>
      <c r="AV274" s="38">
        <f ca="1">IF(TRIM($W274)="F",OFFSET($A$5,MATCH($AS274,$AS$5:$AS274,0)-1,0),$A274)</f>
        <v>273</v>
      </c>
      <c r="AW274" s="38">
        <f ca="1">IFERROR(OFFSET(ZPCS04!$A$1,MATCH(F274,ZPCS04!B:B,0)-1,0),100)</f>
        <v>2</v>
      </c>
      <c r="AX274" s="7"/>
      <c r="AY274" s="6" t="b">
        <f>SUMIF(AS:AS,AS274,AP:AP)=100</f>
        <v>1</v>
      </c>
      <c r="AZ274" s="6" t="b">
        <f>SUMIF(AS:AS,AS274,AE:AE)/COUNTIF(AS:AS,AS274)=AE274</f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>C274&amp;" | "&amp;F274</f>
        <v>90MB1BJ0-C1BAY0 | 10G212100514050</v>
      </c>
      <c r="BE274" s="55" t="str">
        <f ca="1">C274&amp;" | "&amp;OFFSET($AF274,0,8-COUNTBLANK($AG274:$AN274))</f>
        <v>90MB1BJ0-C1BAY0 | 59MB1BJB-MB0A02S</v>
      </c>
      <c r="BF274" s="57">
        <f ca="1">IFERROR(VLOOKUP($BE274,$BD$5:$BF273,3,0)*$AE274,VLOOKUP($C274,Demanda!$A:$B,2,0)*$AE274)*IF(AT274="Phantom Alt",$BC274,TRUE)</f>
        <v>1000</v>
      </c>
      <c r="BG274" s="57">
        <f ca="1">BF274*(AP274/100)</f>
        <v>0</v>
      </c>
      <c r="BH274" s="57">
        <f>SUMIF(Invoice!A:A,F274,Invoice!B:B)</f>
        <v>0</v>
      </c>
      <c r="BI274" s="57">
        <f ca="1">SUMIF(AS:AS,AS274,BG:BG)</f>
        <v>1000</v>
      </c>
      <c r="BJ274" s="57">
        <f ca="1">MIN((BI274-SUMIF($AS$5:AS273,AS274,$BJ$5:BJ273)),MAX(0,BH274-SUMIF($F$5:F273,F274,$BJ$5:BJ273)))</f>
        <v>0</v>
      </c>
      <c r="BK274" s="57">
        <f ca="1">(-SUMIF(AS:AS,AS274,BG:BG)+SUMIF(AS:AS,AS274,BJ:BJ))*(AP274=100)*AR274</f>
        <v>0</v>
      </c>
      <c r="BL274" s="57">
        <f ca="1">MAX(0,SUMIF(Invoice!A:A,F274,Invoice!B:B)-SUMIF(F:F,F274,BJ:BJ))*(COUNTIF(F:F,F274)=COUNTIF($F$5:F274,F274))</f>
        <v>0</v>
      </c>
    </row>
    <row r="275" spans="1:64" hidden="1">
      <c r="A275" s="43">
        <v>276</v>
      </c>
      <c r="B275" s="35" t="s">
        <v>147</v>
      </c>
      <c r="C275" s="35" t="s">
        <v>146</v>
      </c>
      <c r="D275" s="35">
        <v>2</v>
      </c>
      <c r="E275" s="35">
        <v>1020</v>
      </c>
      <c r="F275" s="64" t="s">
        <v>720</v>
      </c>
      <c r="G275" s="73" t="s">
        <v>721</v>
      </c>
      <c r="H275" s="35" t="s">
        <v>180</v>
      </c>
      <c r="I275" s="35" t="s">
        <v>54</v>
      </c>
      <c r="J275" s="35">
        <v>100</v>
      </c>
      <c r="K275" s="35" t="s">
        <v>489</v>
      </c>
      <c r="L275" s="35" t="s">
        <v>53</v>
      </c>
      <c r="M275" s="35">
        <v>5</v>
      </c>
      <c r="N275" s="35">
        <v>5</v>
      </c>
      <c r="O275" s="35">
        <v>1</v>
      </c>
      <c r="P275" s="35">
        <v>2</v>
      </c>
      <c r="Q275" s="35">
        <v>1</v>
      </c>
      <c r="R275" s="35" t="s">
        <v>122</v>
      </c>
      <c r="S275" s="35" t="s">
        <v>122</v>
      </c>
      <c r="T275" s="36">
        <v>44901</v>
      </c>
      <c r="U275" s="36">
        <v>2958465</v>
      </c>
      <c r="V275" s="35" t="s">
        <v>282</v>
      </c>
      <c r="W275" s="35" t="s">
        <v>145</v>
      </c>
      <c r="X275" s="35"/>
      <c r="Y275" s="35" t="s">
        <v>143</v>
      </c>
      <c r="Z275" s="35">
        <v>7589154</v>
      </c>
      <c r="AA275" s="35">
        <v>438</v>
      </c>
      <c r="AB275" s="35">
        <v>219</v>
      </c>
      <c r="AC275" s="35"/>
      <c r="AE275" s="51">
        <f>M275/O275</f>
        <v>5</v>
      </c>
      <c r="AG275" s="6" t="str">
        <f>C275</f>
        <v>90MB1BJ0-C1BAY0</v>
      </c>
      <c r="AH275" s="6" t="str">
        <f>IF($D275&lt;=AH$4,"",IF(AND($D274=AH$4,$D275&gt;AH$4),$F274,AH274))</f>
        <v>59MB1BJB-MB0A02S</v>
      </c>
      <c r="AI275" s="6" t="str">
        <f>IF($D275&lt;=AI$4,"",IF(AND($D274=AI$4,$D275&gt;AI$4),$F274,AI274))</f>
        <v/>
      </c>
      <c r="AJ275" s="6" t="str">
        <f>IF($D275&lt;=AJ$4,"",IF(AND($D274=AJ$4,$D275&gt;AJ$4),$F274,AJ274))</f>
        <v/>
      </c>
      <c r="AK275" s="6" t="str">
        <f>IF($D275&lt;=AK$4,"",IF(AND($D274=AK$4,$D275&gt;AK$4),$F274,AK274))</f>
        <v/>
      </c>
      <c r="AL275" s="6" t="str">
        <f>IF($D275&lt;=AL$4,"",IF(AND($D274=AL$4,$D275&gt;AL$4),$F274,AL274))</f>
        <v/>
      </c>
      <c r="AM275" s="6" t="str">
        <f>IF($D275&lt;=AM$4,"",IF(AND($D274=AM$4,$D275&gt;AM$4),$F274,AM274))</f>
        <v/>
      </c>
      <c r="AN275" s="6" t="str">
        <f>IF($D275&lt;=AN$4,"",IF(AND($D274=AN$4,$D275&gt;AN$4),$F274,AN274))</f>
        <v/>
      </c>
      <c r="AO275" s="6" t="str">
        <f>CONCATENATE(AG275," | ",AH275," | ",AI275," | ",AJ275," | ",AK275," | ",AL275," | ",AM275," | ",AN275)</f>
        <v xml:space="preserve">90MB1BJ0-C1BAY0 | 59MB1BJB-MB0A02S |  |  |  |  |  | </v>
      </c>
      <c r="AP275" s="6">
        <f>IF(TRIM(H275)="",100,J275)</f>
        <v>100</v>
      </c>
      <c r="AQ275" s="4"/>
      <c r="AR275" s="6" t="b">
        <f>NOT(TRIM(W275)&lt;&gt;"F")</f>
        <v>1</v>
      </c>
      <c r="AS275" s="6" t="str">
        <f>$B275&amp;" | "&amp;$AO275&amp;" | "&amp;IF(TRIM(H275)="","uniq"&amp;ROW(),TRIM(H275))</f>
        <v>461E | 90MB1BJ0-C1BAY0 | 59MB1BJB-MB0A02S |  |  |  |  |  |  | A2</v>
      </c>
      <c r="AT275" s="63">
        <f>IF(NOT(AR275),IF(TRIM($H275)="","Assembly","Phantom Alt"),VLOOKUP(F275,ZPCS04!B:G,6,0))</f>
        <v>642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1.9999999000000002</v>
      </c>
      <c r="AX275" s="7"/>
      <c r="AY275" s="6" t="b">
        <f>SUMIF(AS:AS,AS275,AP:AP)=100</f>
        <v>1</v>
      </c>
      <c r="AZ275" s="6" t="b">
        <f>SUMIF(AS:AS,AS275,AE:AE)/COUNTIF(AS:AS,AS275)=AE275</f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>C275&amp;" | "&amp;F275</f>
        <v>90MB1BJ0-C1BAY0 | 10G21210R014020</v>
      </c>
      <c r="BE275" s="55" t="str">
        <f ca="1">C275&amp;" | "&amp;OFFSET($AF275,0,8-COUNTBLANK($AG275:$AN275))</f>
        <v>90MB1BJ0-C1BAY0 | 59MB1BJB-MB0A02S</v>
      </c>
      <c r="BF275" s="57">
        <f ca="1">IFERROR(VLOOKUP($BE275,$BD$5:$BF274,3,0)*$AE275,VLOOKUP($C275,Demanda!$A:$B,2,0)*$AE275)*IF(AT275="Phantom Alt",$BC275,TRUE)</f>
        <v>5000</v>
      </c>
      <c r="BG275" s="57">
        <f ca="1">BF275*(AP275/100)</f>
        <v>5000</v>
      </c>
      <c r="BH275" s="57">
        <f>SUMIF(Invoice!A:A,F275,Invoice!B:B)</f>
        <v>10000</v>
      </c>
      <c r="BI275" s="57">
        <f ca="1">SUMIF(AS:AS,AS275,BG:BG)</f>
        <v>5000</v>
      </c>
      <c r="BJ275" s="57">
        <f ca="1">MIN((BI275-SUMIF($AS$5:AS274,AS275,$BJ$5:BJ274)),MAX(0,BH275-SUMIF($F$5:F274,F275,$BJ$5:BJ274)))</f>
        <v>5000</v>
      </c>
      <c r="BK275" s="57">
        <f ca="1">(-SUMIF(AS:AS,AS275,BG:BG)+SUMIF(AS:AS,AS275,BJ:BJ))*(AP275=100)*AR275</f>
        <v>0</v>
      </c>
      <c r="BL275" s="57">
        <f ca="1">MAX(0,SUMIF(Invoice!A:A,F275,Invoice!B:B)-SUMIF(F:F,F275,BJ:BJ))*(COUNTIF(F:F,F275)=COUNTIF($F$5:F275,F275))</f>
        <v>5000</v>
      </c>
    </row>
    <row r="276" spans="1:64" hidden="1">
      <c r="A276" s="43">
        <v>275</v>
      </c>
      <c r="B276" s="35" t="s">
        <v>147</v>
      </c>
      <c r="C276" s="35" t="s">
        <v>146</v>
      </c>
      <c r="D276" s="35">
        <v>2</v>
      </c>
      <c r="E276" s="35">
        <v>1020</v>
      </c>
      <c r="F276" s="64" t="s">
        <v>718</v>
      </c>
      <c r="G276" s="73" t="s">
        <v>719</v>
      </c>
      <c r="H276" s="35" t="s">
        <v>180</v>
      </c>
      <c r="I276" s="35" t="s">
        <v>55</v>
      </c>
      <c r="J276" s="35">
        <v>0</v>
      </c>
      <c r="K276" s="35" t="s">
        <v>489</v>
      </c>
      <c r="L276" s="35" t="s">
        <v>53</v>
      </c>
      <c r="M276" s="35">
        <v>5</v>
      </c>
      <c r="N276" s="35"/>
      <c r="O276" s="35">
        <v>1</v>
      </c>
      <c r="P276" s="35">
        <v>2</v>
      </c>
      <c r="Q276" s="35">
        <v>2</v>
      </c>
      <c r="R276" s="35" t="s">
        <v>122</v>
      </c>
      <c r="S276" s="35" t="s">
        <v>122</v>
      </c>
      <c r="T276" s="36">
        <v>44901</v>
      </c>
      <c r="U276" s="36">
        <v>2958465</v>
      </c>
      <c r="V276" s="35" t="s">
        <v>282</v>
      </c>
      <c r="W276" s="35" t="s">
        <v>145</v>
      </c>
      <c r="X276" s="35"/>
      <c r="Y276" s="35" t="s">
        <v>143</v>
      </c>
      <c r="Z276" s="35">
        <v>7589154</v>
      </c>
      <c r="AA276" s="35">
        <v>440</v>
      </c>
      <c r="AB276" s="35">
        <v>220</v>
      </c>
      <c r="AC276" s="35"/>
      <c r="AE276" s="51">
        <f>M276/O276</f>
        <v>5</v>
      </c>
      <c r="AG276" s="6" t="str">
        <f>C276</f>
        <v>90MB1BJ0-C1BAY0</v>
      </c>
      <c r="AH276" s="6" t="str">
        <f>IF($D276&lt;=AH$4,"",IF(AND($D275=AH$4,$D276&gt;AH$4),$F275,AH275))</f>
        <v>59MB1BJB-MB0A02S</v>
      </c>
      <c r="AI276" s="6" t="str">
        <f>IF($D276&lt;=AI$4,"",IF(AND($D275=AI$4,$D276&gt;AI$4),$F275,AI275))</f>
        <v/>
      </c>
      <c r="AJ276" s="6" t="str">
        <f>IF($D276&lt;=AJ$4,"",IF(AND($D275=AJ$4,$D276&gt;AJ$4),$F275,AJ275))</f>
        <v/>
      </c>
      <c r="AK276" s="6" t="str">
        <f>IF($D276&lt;=AK$4,"",IF(AND($D275=AK$4,$D276&gt;AK$4),$F275,AK275))</f>
        <v/>
      </c>
      <c r="AL276" s="6" t="str">
        <f>IF($D276&lt;=AL$4,"",IF(AND($D275=AL$4,$D276&gt;AL$4),$F275,AL275))</f>
        <v/>
      </c>
      <c r="AM276" s="6" t="str">
        <f>IF($D276&lt;=AM$4,"",IF(AND($D275=AM$4,$D276&gt;AM$4),$F275,AM275))</f>
        <v/>
      </c>
      <c r="AN276" s="6" t="str">
        <f>IF($D276&lt;=AN$4,"",IF(AND($D275=AN$4,$D276&gt;AN$4),$F275,AN275))</f>
        <v/>
      </c>
      <c r="AO276" s="6" t="str">
        <f>CONCATENATE(AG276," | ",AH276," | ",AI276," | ",AJ276," | ",AK276," | ",AL276," | ",AM276," | ",AN276)</f>
        <v xml:space="preserve">90MB1BJ0-C1BAY0 | 59MB1BJB-MB0A02S |  |  |  |  |  | </v>
      </c>
      <c r="AP276" s="6">
        <f>IF(TRIM(H276)="",100,J276)</f>
        <v>0</v>
      </c>
      <c r="AQ276" s="4"/>
      <c r="AR276" s="6" t="b">
        <f>NOT(TRIM(W276)&lt;&gt;"F")</f>
        <v>1</v>
      </c>
      <c r="AS276" s="6" t="str">
        <f>$B276&amp;" | "&amp;$AO276&amp;" | "&amp;IF(TRIM(H276)="","uniq"&amp;ROW(),TRIM(H276))</f>
        <v>461E | 90MB1BJ0-C1BAY0 | 59MB1BJB-MB0A02S |  |  |  |  |  |  | A2</v>
      </c>
      <c r="AT276" s="63">
        <f>IF(NOT(AR276),IF(TRIM($H276)="","Assembly","Phantom Alt"),VLOOKUP(F276,ZPCS04!B:G,6,0))</f>
        <v>642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>SUMIF(AS:AS,AS276,AP:AP)=100</f>
        <v>1</v>
      </c>
      <c r="AZ276" s="6" t="b">
        <f>SUMIF(AS:AS,AS276,AE:AE)/COUNTIF(AS:AS,AS276)=AE276</f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>C276&amp;" | "&amp;F276</f>
        <v>90MB1BJ0-C1BAY0 | 10G21210R014010</v>
      </c>
      <c r="BE276" s="55" t="str">
        <f ca="1">C276&amp;" | "&amp;OFFSET($AF276,0,8-COUNTBLANK($AG276:$AN276))</f>
        <v>90MB1BJ0-C1BAY0 | 59MB1BJB-MB0A02S</v>
      </c>
      <c r="BF276" s="57">
        <f ca="1">IFERROR(VLOOKUP($BE276,$BD$5:$BF275,3,0)*$AE276,VLOOKUP($C276,Demanda!$A:$B,2,0)*$AE276)*IF(AT276="Phantom Alt",$BC276,TRUE)</f>
        <v>5000</v>
      </c>
      <c r="BG276" s="57">
        <f ca="1">BF276*(AP276/100)</f>
        <v>0</v>
      </c>
      <c r="BH276" s="57">
        <f>SUMIF(Invoice!A:A,F276,Invoice!B:B)</f>
        <v>0</v>
      </c>
      <c r="BI276" s="57">
        <f ca="1">SUMIF(AS:AS,AS276,BG:BG)</f>
        <v>5000</v>
      </c>
      <c r="BJ276" s="57">
        <f ca="1">MIN((BI276-SUMIF($AS$5:AS275,AS276,$BJ$5:BJ275)),MAX(0,BH276-SUMIF($F$5:F275,F276,$BJ$5:BJ275)))</f>
        <v>0</v>
      </c>
      <c r="BK276" s="57">
        <f ca="1">(-SUMIF(AS:AS,AS276,BG:BG)+SUMIF(AS:AS,AS276,BJ:BJ))*(AP276=100)*AR276</f>
        <v>0</v>
      </c>
      <c r="BL276" s="57">
        <f ca="1">MAX(0,SUMIF(Invoice!A:A,F276,Invoice!B:B)-SUMIF(F:F,F276,BJ:BJ))*(COUNTIF(F:F,F276)=COUNTIF($F$5:F276,F276))</f>
        <v>0</v>
      </c>
    </row>
    <row r="277" spans="1:64" hidden="1">
      <c r="A277" s="43">
        <v>277</v>
      </c>
      <c r="B277" s="35" t="s">
        <v>147</v>
      </c>
      <c r="C277" s="35" t="s">
        <v>146</v>
      </c>
      <c r="D277" s="35">
        <v>2</v>
      </c>
      <c r="E277" s="35">
        <v>1020</v>
      </c>
      <c r="F277" s="64" t="s">
        <v>722</v>
      </c>
      <c r="G277" s="73" t="s">
        <v>723</v>
      </c>
      <c r="H277" s="35" t="s">
        <v>180</v>
      </c>
      <c r="I277" s="35" t="s">
        <v>55</v>
      </c>
      <c r="J277" s="35">
        <v>0</v>
      </c>
      <c r="K277" s="35" t="s">
        <v>150</v>
      </c>
      <c r="L277" s="35" t="s">
        <v>53</v>
      </c>
      <c r="M277" s="35">
        <v>5</v>
      </c>
      <c r="N277" s="35"/>
      <c r="O277" s="35">
        <v>1</v>
      </c>
      <c r="P277" s="35">
        <v>2</v>
      </c>
      <c r="Q277" s="35">
        <v>3</v>
      </c>
      <c r="R277" s="35" t="s">
        <v>73</v>
      </c>
      <c r="S277" s="35" t="s">
        <v>73</v>
      </c>
      <c r="T277" s="36">
        <v>44901</v>
      </c>
      <c r="U277" s="36">
        <v>2958465</v>
      </c>
      <c r="V277" s="35" t="s">
        <v>282</v>
      </c>
      <c r="W277" s="35" t="s">
        <v>145</v>
      </c>
      <c r="X277" s="35"/>
      <c r="Y277" s="35" t="s">
        <v>143</v>
      </c>
      <c r="Z277" s="35">
        <v>7589154</v>
      </c>
      <c r="AA277" s="35">
        <v>442</v>
      </c>
      <c r="AB277" s="35">
        <v>221</v>
      </c>
      <c r="AC277" s="35"/>
      <c r="AE277" s="51">
        <f>M277/O277</f>
        <v>5</v>
      </c>
      <c r="AG277" s="6" t="str">
        <f>C277</f>
        <v>90MB1BJ0-C1BAY0</v>
      </c>
      <c r="AH277" s="6" t="str">
        <f>IF($D277&lt;=AH$4,"",IF(AND($D276=AH$4,$D277&gt;AH$4),$F276,AH276))</f>
        <v>59MB1BJB-MB0A02S</v>
      </c>
      <c r="AI277" s="6" t="str">
        <f>IF($D277&lt;=AI$4,"",IF(AND($D276=AI$4,$D277&gt;AI$4),$F276,AI276))</f>
        <v/>
      </c>
      <c r="AJ277" s="6" t="str">
        <f>IF($D277&lt;=AJ$4,"",IF(AND($D276=AJ$4,$D277&gt;AJ$4),$F276,AJ276))</f>
        <v/>
      </c>
      <c r="AK277" s="6" t="str">
        <f>IF($D277&lt;=AK$4,"",IF(AND($D276=AK$4,$D277&gt;AK$4),$F276,AK276))</f>
        <v/>
      </c>
      <c r="AL277" s="6" t="str">
        <f>IF($D277&lt;=AL$4,"",IF(AND($D276=AL$4,$D277&gt;AL$4),$F276,AL276))</f>
        <v/>
      </c>
      <c r="AM277" s="6" t="str">
        <f>IF($D277&lt;=AM$4,"",IF(AND($D276=AM$4,$D277&gt;AM$4),$F276,AM276))</f>
        <v/>
      </c>
      <c r="AN277" s="6" t="str">
        <f>IF($D277&lt;=AN$4,"",IF(AND($D276=AN$4,$D277&gt;AN$4),$F276,AN276))</f>
        <v/>
      </c>
      <c r="AO277" s="6" t="str">
        <f>CONCATENATE(AG277," | ",AH277," | ",AI277," | ",AJ277," | ",AK277," | ",AL277," | ",AM277," | ",AN277)</f>
        <v xml:space="preserve">90MB1BJ0-C1BAY0 | 59MB1BJB-MB0A02S |  |  |  |  |  | </v>
      </c>
      <c r="AP277" s="6">
        <f>IF(TRIM(H277)="",100,J277)</f>
        <v>0</v>
      </c>
      <c r="AQ277" s="4"/>
      <c r="AR277" s="6" t="b">
        <f>NOT(TRIM(W277)&lt;&gt;"F")</f>
        <v>1</v>
      </c>
      <c r="AS277" s="6" t="str">
        <f>$B277&amp;" | "&amp;$AO277&amp;" | "&amp;IF(TRIM(H277)="","uniq"&amp;ROW(),TRIM(H277))</f>
        <v>461E | 90MB1BJ0-C1BAY0 | 59MB1BJB-MB0A02S |  |  |  |  |  |  | A2</v>
      </c>
      <c r="AT277" s="63">
        <f>IF(NOT(AR277),IF(TRIM($H277)="","Assembly","Phantom Alt"),VLOOKUP(F277,ZPCS04!B:G,6,0))</f>
        <v>642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>SUMIF(AS:AS,AS277,AP:AP)=100</f>
        <v>1</v>
      </c>
      <c r="AZ277" s="6" t="b">
        <f>SUMIF(AS:AS,AS277,AE:AE)/COUNTIF(AS:AS,AS277)=AE277</f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>C277&amp;" | "&amp;F277</f>
        <v>90MB1BJ0-C1BAY0 | 10G21210R014050</v>
      </c>
      <c r="BE277" s="55" t="str">
        <f ca="1">C277&amp;" | "&amp;OFFSET($AF277,0,8-COUNTBLANK($AG277:$AN277))</f>
        <v>90MB1BJ0-C1BAY0 | 59MB1BJB-MB0A02S</v>
      </c>
      <c r="BF277" s="57">
        <f ca="1">IFERROR(VLOOKUP($BE277,$BD$5:$BF276,3,0)*$AE277,VLOOKUP($C277,Demanda!$A:$B,2,0)*$AE277)*IF(AT277="Phantom Alt",$BC277,TRUE)</f>
        <v>5000</v>
      </c>
      <c r="BG277" s="57">
        <f ca="1">BF277*(AP277/100)</f>
        <v>0</v>
      </c>
      <c r="BH277" s="57">
        <f>SUMIF(Invoice!A:A,F277,Invoice!B:B)</f>
        <v>0</v>
      </c>
      <c r="BI277" s="57">
        <f ca="1">SUMIF(AS:AS,AS277,BG:BG)</f>
        <v>5000</v>
      </c>
      <c r="BJ277" s="57">
        <f ca="1">MIN((BI277-SUMIF($AS$5:AS276,AS277,$BJ$5:BJ276)),MAX(0,BH277-SUMIF($F$5:F276,F277,$BJ$5:BJ276)))</f>
        <v>0</v>
      </c>
      <c r="BK277" s="57">
        <f ca="1">(-SUMIF(AS:AS,AS277,BG:BG)+SUMIF(AS:AS,AS277,BJ:BJ))*(AP277=100)*AR277</f>
        <v>0</v>
      </c>
      <c r="BL277" s="57">
        <f ca="1">MAX(0,SUMIF(Invoice!A:A,F277,Invoice!B:B)-SUMIF(F:F,F277,BJ:BJ))*(COUNTIF(F:F,F277)=COUNTIF($F$5:F277,F277))</f>
        <v>0</v>
      </c>
    </row>
    <row r="278" spans="1:64" hidden="1">
      <c r="A278" s="43">
        <v>279</v>
      </c>
      <c r="B278" s="35" t="s">
        <v>147</v>
      </c>
      <c r="C278" s="35" t="s">
        <v>146</v>
      </c>
      <c r="D278" s="35">
        <v>2</v>
      </c>
      <c r="E278" s="35">
        <v>1030</v>
      </c>
      <c r="F278" s="64" t="s">
        <v>726</v>
      </c>
      <c r="G278" s="73" t="s">
        <v>727</v>
      </c>
      <c r="H278" s="35" t="s">
        <v>185</v>
      </c>
      <c r="I278" s="35" t="s">
        <v>54</v>
      </c>
      <c r="J278" s="35">
        <v>100</v>
      </c>
      <c r="K278" s="35" t="s">
        <v>489</v>
      </c>
      <c r="L278" s="35" t="s">
        <v>53</v>
      </c>
      <c r="M278" s="35">
        <v>1</v>
      </c>
      <c r="N278" s="35">
        <v>1</v>
      </c>
      <c r="O278" s="35">
        <v>1</v>
      </c>
      <c r="P278" s="35">
        <v>2</v>
      </c>
      <c r="Q278" s="35">
        <v>1</v>
      </c>
      <c r="R278" s="35" t="s">
        <v>122</v>
      </c>
      <c r="S278" s="35" t="s">
        <v>122</v>
      </c>
      <c r="T278" s="36">
        <v>44901</v>
      </c>
      <c r="U278" s="36">
        <v>2958465</v>
      </c>
      <c r="V278" s="35" t="s">
        <v>282</v>
      </c>
      <c r="W278" s="35" t="s">
        <v>145</v>
      </c>
      <c r="X278" s="35"/>
      <c r="Y278" s="35" t="s">
        <v>143</v>
      </c>
      <c r="Z278" s="35">
        <v>7589154</v>
      </c>
      <c r="AA278" s="35">
        <v>444</v>
      </c>
      <c r="AB278" s="35">
        <v>222</v>
      </c>
      <c r="AC278" s="35" t="s">
        <v>144</v>
      </c>
      <c r="AE278" s="51">
        <f>M278/O278</f>
        <v>1</v>
      </c>
      <c r="AG278" s="6" t="str">
        <f>C278</f>
        <v>90MB1BJ0-C1BAY0</v>
      </c>
      <c r="AH278" s="6" t="str">
        <f>IF($D278&lt;=AH$4,"",IF(AND($D277=AH$4,$D278&gt;AH$4),$F277,AH277))</f>
        <v>59MB1BJB-MB0A02S</v>
      </c>
      <c r="AI278" s="6" t="str">
        <f>IF($D278&lt;=AI$4,"",IF(AND($D277=AI$4,$D278&gt;AI$4),$F277,AI277))</f>
        <v/>
      </c>
      <c r="AJ278" s="6" t="str">
        <f>IF($D278&lt;=AJ$4,"",IF(AND($D277=AJ$4,$D278&gt;AJ$4),$F277,AJ277))</f>
        <v/>
      </c>
      <c r="AK278" s="6" t="str">
        <f>IF($D278&lt;=AK$4,"",IF(AND($D277=AK$4,$D278&gt;AK$4),$F277,AK277))</f>
        <v/>
      </c>
      <c r="AL278" s="6" t="str">
        <f>IF($D278&lt;=AL$4,"",IF(AND($D277=AL$4,$D278&gt;AL$4),$F277,AL277))</f>
        <v/>
      </c>
      <c r="AM278" s="6" t="str">
        <f>IF($D278&lt;=AM$4,"",IF(AND($D277=AM$4,$D278&gt;AM$4),$F277,AM277))</f>
        <v/>
      </c>
      <c r="AN278" s="6" t="str">
        <f>IF($D278&lt;=AN$4,"",IF(AND($D277=AN$4,$D278&gt;AN$4),$F277,AN277))</f>
        <v/>
      </c>
      <c r="AO278" s="6" t="str">
        <f>CONCATENATE(AG278," | ",AH278," | ",AI278," | ",AJ278," | ",AK278," | ",AL278," | ",AM278," | ",AN278)</f>
        <v xml:space="preserve">90MB1BJ0-C1BAY0 | 59MB1BJB-MB0A02S |  |  |  |  |  | </v>
      </c>
      <c r="AP278" s="6">
        <f>IF(TRIM(H278)="",100,J278)</f>
        <v>100</v>
      </c>
      <c r="AQ278" s="4"/>
      <c r="AR278" s="6" t="b">
        <f>NOT(TRIM(W278)&lt;&gt;"F")</f>
        <v>1</v>
      </c>
      <c r="AS278" s="6" t="str">
        <f>$B278&amp;" | "&amp;$AO278&amp;" | "&amp;IF(TRIM(H278)="","uniq"&amp;ROW(),TRIM(H278))</f>
        <v>461E | 90MB1BJ0-C1BAY0 | 59MB1BJB-MB0A02S |  |  |  |  |  |  | A3</v>
      </c>
      <c r="AT278" s="63">
        <f>IF(NOT(AR278),IF(TRIM($H278)="","Assembly","Phantom Alt"),VLOOKUP(F278,ZPCS04!B:G,6,0))</f>
        <v>644</v>
      </c>
      <c r="AU278" s="7"/>
      <c r="AV278" s="38">
        <f ca="1">IF(TRIM($W278)="F",OFFSET($A$5,MATCH($AS278,$AS$5:$AS278,0)-1,0),$A278)</f>
        <v>279</v>
      </c>
      <c r="AW278" s="38">
        <f ca="1">IFERROR(OFFSET(ZPCS04!$A$1,MATCH(F278,ZPCS04!B:B,0)-1,0),100)</f>
        <v>1.9999999000000002</v>
      </c>
      <c r="AX278" s="7"/>
      <c r="AY278" s="6" t="b">
        <f>SUMIF(AS:AS,AS278,AP:AP)=100</f>
        <v>1</v>
      </c>
      <c r="AZ278" s="6" t="b">
        <f>SUMIF(AS:AS,AS278,AE:AE)/COUNTIF(AS:AS,AS278)=AE278</f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>C278&amp;" | "&amp;F278</f>
        <v>90MB1BJ0-C1BAY0 | 10G212110214020</v>
      </c>
      <c r="BE278" s="55" t="str">
        <f ca="1">C278&amp;" | "&amp;OFFSET($AF278,0,8-COUNTBLANK($AG278:$AN278))</f>
        <v>90MB1BJ0-C1BAY0 | 59MB1BJB-MB0A02S</v>
      </c>
      <c r="BF278" s="57">
        <f ca="1">IFERROR(VLOOKUP($BE278,$BD$5:$BF277,3,0)*$AE278,VLOOKUP($C278,Demanda!$A:$B,2,0)*$AE278)*IF(AT278="Phantom Alt",$BC278,TRUE)</f>
        <v>1000</v>
      </c>
      <c r="BG278" s="57">
        <f ca="1">BF278*(AP278/100)</f>
        <v>1000</v>
      </c>
      <c r="BH278" s="57">
        <f>SUMIF(Invoice!A:A,F278,Invoice!B:B)</f>
        <v>10000</v>
      </c>
      <c r="BI278" s="57">
        <f ca="1">SUMIF(AS:AS,AS278,BG:BG)</f>
        <v>1000</v>
      </c>
      <c r="BJ278" s="57">
        <f ca="1">MIN((BI278-SUMIF($AS$5:AS277,AS278,$BJ$5:BJ277)),MAX(0,BH278-SUMIF($F$5:F277,F278,$BJ$5:BJ277)))</f>
        <v>1000</v>
      </c>
      <c r="BK278" s="57">
        <f ca="1">(-SUMIF(AS:AS,AS278,BG:BG)+SUMIF(AS:AS,AS278,BJ:BJ))*(AP278=100)*AR278</f>
        <v>0</v>
      </c>
      <c r="BL278" s="57">
        <f ca="1">MAX(0,SUMIF(Invoice!A:A,F278,Invoice!B:B)-SUMIF(F:F,F278,BJ:BJ))*(COUNTIF(F:F,F278)=COUNTIF($F$5:F278,F278))</f>
        <v>9000</v>
      </c>
    </row>
    <row r="279" spans="1:64" hidden="1">
      <c r="A279" s="43">
        <v>278</v>
      </c>
      <c r="B279" s="35" t="s">
        <v>147</v>
      </c>
      <c r="C279" s="35" t="s">
        <v>146</v>
      </c>
      <c r="D279" s="35">
        <v>2</v>
      </c>
      <c r="E279" s="35">
        <v>1030</v>
      </c>
      <c r="F279" s="64" t="s">
        <v>724</v>
      </c>
      <c r="G279" s="73" t="s">
        <v>725</v>
      </c>
      <c r="H279" s="35" t="s">
        <v>185</v>
      </c>
      <c r="I279" s="35" t="s">
        <v>55</v>
      </c>
      <c r="J279" s="35">
        <v>0</v>
      </c>
      <c r="K279" s="35" t="s">
        <v>489</v>
      </c>
      <c r="L279" s="35" t="s">
        <v>53</v>
      </c>
      <c r="M279" s="35">
        <v>1</v>
      </c>
      <c r="N279" s="35"/>
      <c r="O279" s="35">
        <v>1</v>
      </c>
      <c r="P279" s="35">
        <v>2</v>
      </c>
      <c r="Q279" s="35">
        <v>2</v>
      </c>
      <c r="R279" s="35" t="s">
        <v>122</v>
      </c>
      <c r="S279" s="35" t="s">
        <v>122</v>
      </c>
      <c r="T279" s="36">
        <v>44901</v>
      </c>
      <c r="U279" s="36">
        <v>2958465</v>
      </c>
      <c r="V279" s="35" t="s">
        <v>282</v>
      </c>
      <c r="W279" s="35" t="s">
        <v>145</v>
      </c>
      <c r="X279" s="35"/>
      <c r="Y279" s="35" t="s">
        <v>143</v>
      </c>
      <c r="Z279" s="35">
        <v>7589154</v>
      </c>
      <c r="AA279" s="35">
        <v>446</v>
      </c>
      <c r="AB279" s="35">
        <v>223</v>
      </c>
      <c r="AC279" s="35"/>
      <c r="AE279" s="51">
        <f>M279/O279</f>
        <v>1</v>
      </c>
      <c r="AG279" s="6" t="str">
        <f>C279</f>
        <v>90MB1BJ0-C1BAY0</v>
      </c>
      <c r="AH279" s="6" t="str">
        <f>IF($D279&lt;=AH$4,"",IF(AND($D278=AH$4,$D279&gt;AH$4),$F278,AH278))</f>
        <v>59MB1BJB-MB0A02S</v>
      </c>
      <c r="AI279" s="6" t="str">
        <f>IF($D279&lt;=AI$4,"",IF(AND($D278=AI$4,$D279&gt;AI$4),$F278,AI278))</f>
        <v/>
      </c>
      <c r="AJ279" s="6" t="str">
        <f>IF($D279&lt;=AJ$4,"",IF(AND($D278=AJ$4,$D279&gt;AJ$4),$F278,AJ278))</f>
        <v/>
      </c>
      <c r="AK279" s="6" t="str">
        <f>IF($D279&lt;=AK$4,"",IF(AND($D278=AK$4,$D279&gt;AK$4),$F278,AK278))</f>
        <v/>
      </c>
      <c r="AL279" s="6" t="str">
        <f>IF($D279&lt;=AL$4,"",IF(AND($D278=AL$4,$D279&gt;AL$4),$F278,AL278))</f>
        <v/>
      </c>
      <c r="AM279" s="6" t="str">
        <f>IF($D279&lt;=AM$4,"",IF(AND($D278=AM$4,$D279&gt;AM$4),$F278,AM278))</f>
        <v/>
      </c>
      <c r="AN279" s="6" t="str">
        <f>IF($D279&lt;=AN$4,"",IF(AND($D278=AN$4,$D279&gt;AN$4),$F278,AN278))</f>
        <v/>
      </c>
      <c r="AO279" s="6" t="str">
        <f>CONCATENATE(AG279," | ",AH279," | ",AI279," | ",AJ279," | ",AK279," | ",AL279," | ",AM279," | ",AN279)</f>
        <v xml:space="preserve">90MB1BJ0-C1BAY0 | 59MB1BJB-MB0A02S |  |  |  |  |  | </v>
      </c>
      <c r="AP279" s="6">
        <f>IF(TRIM(H279)="",100,J279)</f>
        <v>0</v>
      </c>
      <c r="AQ279" s="4"/>
      <c r="AR279" s="6" t="b">
        <f>NOT(TRIM(W279)&lt;&gt;"F")</f>
        <v>1</v>
      </c>
      <c r="AS279" s="6" t="str">
        <f>$B279&amp;" | "&amp;$AO279&amp;" | "&amp;IF(TRIM(H279)="","uniq"&amp;ROW(),TRIM(H279))</f>
        <v>461E | 90MB1BJ0-C1BAY0 | 59MB1BJB-MB0A02S |  |  |  |  |  |  | A3</v>
      </c>
      <c r="AT279" s="63">
        <f>IF(NOT(AR279),IF(TRIM($H279)="","Assembly","Phantom Alt"),VLOOKUP(F279,ZPCS04!B:G,6,0))</f>
        <v>644</v>
      </c>
      <c r="AU279" s="7"/>
      <c r="AV279" s="38">
        <f ca="1">IF(TRIM($W279)="F",OFFSET($A$5,MATCH($AS279,$AS$5:$AS279,0)-1,0),$A279)</f>
        <v>279</v>
      </c>
      <c r="AW279" s="38">
        <f ca="1">IFERROR(OFFSET(ZPCS04!$A$1,MATCH(F279,ZPCS04!B:B,0)-1,0),100)</f>
        <v>2</v>
      </c>
      <c r="AX279" s="7"/>
      <c r="AY279" s="6" t="b">
        <f>SUMIF(AS:AS,AS279,AP:AP)=100</f>
        <v>1</v>
      </c>
      <c r="AZ279" s="6" t="b">
        <f>SUMIF(AS:AS,AS279,AE:AE)/COUNTIF(AS:AS,AS279)=AE279</f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>C279&amp;" | "&amp;F279</f>
        <v>90MB1BJ0-C1BAY0 | 10G212110214010</v>
      </c>
      <c r="BE279" s="55" t="str">
        <f ca="1">C279&amp;" | "&amp;OFFSET($AF279,0,8-COUNTBLANK($AG279:$AN279))</f>
        <v>90MB1BJ0-C1BAY0 | 59MB1BJB-MB0A02S</v>
      </c>
      <c r="BF279" s="57">
        <f ca="1">IFERROR(VLOOKUP($BE279,$BD$5:$BF278,3,0)*$AE279,VLOOKUP($C279,Demanda!$A:$B,2,0)*$AE279)*IF(AT279="Phantom Alt",$BC279,TRUE)</f>
        <v>1000</v>
      </c>
      <c r="BG279" s="57">
        <f ca="1">BF279*(AP279/100)</f>
        <v>0</v>
      </c>
      <c r="BH279" s="57">
        <f>SUMIF(Invoice!A:A,F279,Invoice!B:B)</f>
        <v>0</v>
      </c>
      <c r="BI279" s="57">
        <f ca="1">SUMIF(AS:AS,AS279,BG:BG)</f>
        <v>1000</v>
      </c>
      <c r="BJ279" s="57">
        <f ca="1">MIN((BI279-SUMIF($AS$5:AS278,AS279,$BJ$5:BJ278)),MAX(0,BH279-SUMIF($F$5:F278,F279,$BJ$5:BJ278)))</f>
        <v>0</v>
      </c>
      <c r="BK279" s="57">
        <f ca="1">(-SUMIF(AS:AS,AS279,BG:BG)+SUMIF(AS:AS,AS279,BJ:BJ))*(AP279=100)*AR279</f>
        <v>0</v>
      </c>
      <c r="BL279" s="57">
        <f ca="1">MAX(0,SUMIF(Invoice!A:A,F279,Invoice!B:B)-SUMIF(F:F,F279,BJ:BJ))*(COUNTIF(F:F,F279)=COUNTIF($F$5:F279,F279))</f>
        <v>0</v>
      </c>
    </row>
    <row r="280" spans="1:64" hidden="1">
      <c r="A280" s="43">
        <v>280</v>
      </c>
      <c r="B280" s="35" t="s">
        <v>147</v>
      </c>
      <c r="C280" s="35" t="s">
        <v>146</v>
      </c>
      <c r="D280" s="35">
        <v>2</v>
      </c>
      <c r="E280" s="35">
        <v>1030</v>
      </c>
      <c r="F280" s="64" t="s">
        <v>728</v>
      </c>
      <c r="G280" s="73" t="s">
        <v>729</v>
      </c>
      <c r="H280" s="35" t="s">
        <v>185</v>
      </c>
      <c r="I280" s="35" t="s">
        <v>55</v>
      </c>
      <c r="J280" s="35">
        <v>0</v>
      </c>
      <c r="K280" s="35" t="s">
        <v>489</v>
      </c>
      <c r="L280" s="35" t="s">
        <v>53</v>
      </c>
      <c r="M280" s="35">
        <v>1</v>
      </c>
      <c r="N280" s="35"/>
      <c r="O280" s="35">
        <v>1</v>
      </c>
      <c r="P280" s="35">
        <v>2</v>
      </c>
      <c r="Q280" s="35">
        <v>3</v>
      </c>
      <c r="R280" s="35" t="s">
        <v>73</v>
      </c>
      <c r="S280" s="35" t="s">
        <v>73</v>
      </c>
      <c r="T280" s="36">
        <v>44901</v>
      </c>
      <c r="U280" s="36">
        <v>2958465</v>
      </c>
      <c r="V280" s="35" t="s">
        <v>282</v>
      </c>
      <c r="W280" s="35" t="s">
        <v>145</v>
      </c>
      <c r="X280" s="35"/>
      <c r="Y280" s="35" t="s">
        <v>143</v>
      </c>
      <c r="Z280" s="35">
        <v>7589154</v>
      </c>
      <c r="AA280" s="35">
        <v>448</v>
      </c>
      <c r="AB280" s="35">
        <v>224</v>
      </c>
      <c r="AC280" s="35" t="s">
        <v>144</v>
      </c>
      <c r="AE280" s="51">
        <f>M280/O280</f>
        <v>1</v>
      </c>
      <c r="AG280" s="6" t="str">
        <f>C280</f>
        <v>90MB1BJ0-C1BAY0</v>
      </c>
      <c r="AH280" s="6" t="str">
        <f>IF($D280&lt;=AH$4,"",IF(AND($D279=AH$4,$D280&gt;AH$4),$F279,AH279))</f>
        <v>59MB1BJB-MB0A02S</v>
      </c>
      <c r="AI280" s="6" t="str">
        <f>IF($D280&lt;=AI$4,"",IF(AND($D279=AI$4,$D280&gt;AI$4),$F279,AI279))</f>
        <v/>
      </c>
      <c r="AJ280" s="6" t="str">
        <f>IF($D280&lt;=AJ$4,"",IF(AND($D279=AJ$4,$D280&gt;AJ$4),$F279,AJ279))</f>
        <v/>
      </c>
      <c r="AK280" s="6" t="str">
        <f>IF($D280&lt;=AK$4,"",IF(AND($D279=AK$4,$D280&gt;AK$4),$F279,AK279))</f>
        <v/>
      </c>
      <c r="AL280" s="6" t="str">
        <f>IF($D280&lt;=AL$4,"",IF(AND($D279=AL$4,$D280&gt;AL$4),$F279,AL279))</f>
        <v/>
      </c>
      <c r="AM280" s="6" t="str">
        <f>IF($D280&lt;=AM$4,"",IF(AND($D279=AM$4,$D280&gt;AM$4),$F279,AM279))</f>
        <v/>
      </c>
      <c r="AN280" s="6" t="str">
        <f>IF($D280&lt;=AN$4,"",IF(AND($D279=AN$4,$D280&gt;AN$4),$F279,AN279))</f>
        <v/>
      </c>
      <c r="AO280" s="6" t="str">
        <f>CONCATENATE(AG280," | ",AH280," | ",AI280," | ",AJ280," | ",AK280," | ",AL280," | ",AM280," | ",AN280)</f>
        <v xml:space="preserve">90MB1BJ0-C1BAY0 | 59MB1BJB-MB0A02S |  |  |  |  |  | </v>
      </c>
      <c r="AP280" s="6">
        <f>IF(TRIM(H280)="",100,J280)</f>
        <v>0</v>
      </c>
      <c r="AQ280" s="4"/>
      <c r="AR280" s="6" t="b">
        <f>NOT(TRIM(W280)&lt;&gt;"F")</f>
        <v>1</v>
      </c>
      <c r="AS280" s="6" t="str">
        <f>$B280&amp;" | "&amp;$AO280&amp;" | "&amp;IF(TRIM(H280)="","uniq"&amp;ROW(),TRIM(H280))</f>
        <v>461E | 90MB1BJ0-C1BAY0 | 59MB1BJB-MB0A02S |  |  |  |  |  |  | A3</v>
      </c>
      <c r="AT280" s="63">
        <f>IF(NOT(AR280),IF(TRIM($H280)="","Assembly","Phantom Alt"),VLOOKUP(F280,ZPCS04!B:G,6,0))</f>
        <v>644</v>
      </c>
      <c r="AU280" s="7"/>
      <c r="AV280" s="38">
        <f ca="1">IF(TRIM($W280)="F",OFFSET($A$5,MATCH($AS280,$AS$5:$AS280,0)-1,0),$A280)</f>
        <v>279</v>
      </c>
      <c r="AW280" s="38">
        <f ca="1">IFERROR(OFFSET(ZPCS04!$A$1,MATCH(F280,ZPCS04!B:B,0)-1,0),100)</f>
        <v>2</v>
      </c>
      <c r="AX280" s="7"/>
      <c r="AY280" s="6" t="b">
        <f>SUMIF(AS:AS,AS280,AP:AP)=100</f>
        <v>1</v>
      </c>
      <c r="AZ280" s="6" t="b">
        <f>SUMIF(AS:AS,AS280,AE:AE)/COUNTIF(AS:AS,AS280)=AE280</f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>C280&amp;" | "&amp;F280</f>
        <v>90MB1BJ0-C1BAY0 | 10G212110214050</v>
      </c>
      <c r="BE280" s="55" t="str">
        <f ca="1">C280&amp;" | "&amp;OFFSET($AF280,0,8-COUNTBLANK($AG280:$AN280))</f>
        <v>90MB1BJ0-C1BAY0 | 59MB1BJB-MB0A02S</v>
      </c>
      <c r="BF280" s="57">
        <f ca="1">IFERROR(VLOOKUP($BE280,$BD$5:$BF279,3,0)*$AE280,VLOOKUP($C280,Demanda!$A:$B,2,0)*$AE280)*IF(AT280="Phantom Alt",$BC280,TRUE)</f>
        <v>1000</v>
      </c>
      <c r="BG280" s="57">
        <f ca="1">BF280*(AP280/100)</f>
        <v>0</v>
      </c>
      <c r="BH280" s="57">
        <f>SUMIF(Invoice!A:A,F280,Invoice!B:B)</f>
        <v>0</v>
      </c>
      <c r="BI280" s="57">
        <f ca="1">SUMIF(AS:AS,AS280,BG:BG)</f>
        <v>1000</v>
      </c>
      <c r="BJ280" s="57">
        <f ca="1">MIN((BI280-SUMIF($AS$5:AS279,AS280,$BJ$5:BJ279)),MAX(0,BH280-SUMIF($F$5:F279,F280,$BJ$5:BJ279)))</f>
        <v>0</v>
      </c>
      <c r="BK280" s="57">
        <f ca="1">(-SUMIF(AS:AS,AS280,BG:BG)+SUMIF(AS:AS,AS280,BJ:BJ))*(AP280=100)*AR280</f>
        <v>0</v>
      </c>
      <c r="BL280" s="57">
        <f ca="1">MAX(0,SUMIF(Invoice!A:A,F280,Invoice!B:B)-SUMIF(F:F,F280,BJ:BJ))*(COUNTIF(F:F,F280)=COUNTIF($F$5:F280,F280))</f>
        <v>0</v>
      </c>
    </row>
    <row r="281" spans="1:64" hidden="1">
      <c r="A281" s="43">
        <v>282</v>
      </c>
      <c r="B281" s="35" t="s">
        <v>147</v>
      </c>
      <c r="C281" s="35" t="s">
        <v>146</v>
      </c>
      <c r="D281" s="35">
        <v>2</v>
      </c>
      <c r="E281" s="35">
        <v>1040</v>
      </c>
      <c r="F281" s="64" t="s">
        <v>732</v>
      </c>
      <c r="G281" s="73" t="s">
        <v>731</v>
      </c>
      <c r="H281" s="35" t="s">
        <v>190</v>
      </c>
      <c r="I281" s="35" t="s">
        <v>55</v>
      </c>
      <c r="J281" s="35">
        <v>0</v>
      </c>
      <c r="K281" s="35" t="s">
        <v>150</v>
      </c>
      <c r="L281" s="35" t="s">
        <v>53</v>
      </c>
      <c r="M281" s="35">
        <v>6</v>
      </c>
      <c r="N281" s="35"/>
      <c r="O281" s="35">
        <v>1</v>
      </c>
      <c r="P281" s="35">
        <v>2</v>
      </c>
      <c r="Q281" s="35">
        <v>3</v>
      </c>
      <c r="R281" s="35" t="s">
        <v>73</v>
      </c>
      <c r="S281" s="35" t="s">
        <v>73</v>
      </c>
      <c r="T281" s="36">
        <v>44901</v>
      </c>
      <c r="U281" s="36">
        <v>2958465</v>
      </c>
      <c r="V281" s="35" t="s">
        <v>282</v>
      </c>
      <c r="W281" s="35" t="s">
        <v>145</v>
      </c>
      <c r="X281" s="35"/>
      <c r="Y281" s="35" t="s">
        <v>143</v>
      </c>
      <c r="Z281" s="35">
        <v>7589154</v>
      </c>
      <c r="AA281" s="35">
        <v>454</v>
      </c>
      <c r="AB281" s="35">
        <v>227</v>
      </c>
      <c r="AC281" s="35"/>
      <c r="AE281" s="51">
        <f>M281/O281</f>
        <v>6</v>
      </c>
      <c r="AG281" s="6" t="str">
        <f>C281</f>
        <v>90MB1BJ0-C1BAY0</v>
      </c>
      <c r="AH281" s="6" t="str">
        <f>IF($D281&lt;=AH$4,"",IF(AND($D280=AH$4,$D281&gt;AH$4),$F280,AH280))</f>
        <v>59MB1BJB-MB0A02S</v>
      </c>
      <c r="AI281" s="6" t="str">
        <f>IF($D281&lt;=AI$4,"",IF(AND($D280=AI$4,$D281&gt;AI$4),$F280,AI280))</f>
        <v/>
      </c>
      <c r="AJ281" s="6" t="str">
        <f>IF($D281&lt;=AJ$4,"",IF(AND($D280=AJ$4,$D281&gt;AJ$4),$F280,AJ280))</f>
        <v/>
      </c>
      <c r="AK281" s="6" t="str">
        <f>IF($D281&lt;=AK$4,"",IF(AND($D280=AK$4,$D281&gt;AK$4),$F280,AK280))</f>
        <v/>
      </c>
      <c r="AL281" s="6" t="str">
        <f>IF($D281&lt;=AL$4,"",IF(AND($D280=AL$4,$D281&gt;AL$4),$F280,AL280))</f>
        <v/>
      </c>
      <c r="AM281" s="6" t="str">
        <f>IF($D281&lt;=AM$4,"",IF(AND($D280=AM$4,$D281&gt;AM$4),$F280,AM280))</f>
        <v/>
      </c>
      <c r="AN281" s="6" t="str">
        <f>IF($D281&lt;=AN$4,"",IF(AND($D280=AN$4,$D281&gt;AN$4),$F280,AN280))</f>
        <v/>
      </c>
      <c r="AO281" s="6" t="str">
        <f>CONCATENATE(AG281," | ",AH281," | ",AI281," | ",AJ281," | ",AK281," | ",AL281," | ",AM281," | ",AN281)</f>
        <v xml:space="preserve">90MB1BJ0-C1BAY0 | 59MB1BJB-MB0A02S |  |  |  |  |  | </v>
      </c>
      <c r="AP281" s="6">
        <f>IF(TRIM(H281)="",100,J281)</f>
        <v>0</v>
      </c>
      <c r="AQ281" s="4"/>
      <c r="AR281" s="6" t="b">
        <f>NOT(TRIM(W281)&lt;&gt;"F")</f>
        <v>1</v>
      </c>
      <c r="AS281" s="6" t="str">
        <f>$B281&amp;" | "&amp;$AO281&amp;" | "&amp;IF(TRIM(H281)="","uniq"&amp;ROW(),TRIM(H281))</f>
        <v>461E | 90MB1BJ0-C1BAY0 | 59MB1BJB-MB0A02S |  |  |  |  |  |  | A4</v>
      </c>
      <c r="AT281" s="63">
        <f>IF(NOT(AR281),IF(TRIM($H281)="","Assembly","Phantom Alt"),VLOOKUP(F281,ZPCS04!B:G,6,0))</f>
        <v>953</v>
      </c>
      <c r="AU281" s="7"/>
      <c r="AV281" s="38">
        <f ca="1">IF(TRIM($W281)="F",OFFSET($A$5,MATCH($AS281,$AS$5:$AS281,0)-1,0),$A281)</f>
        <v>282</v>
      </c>
      <c r="AW281" s="38">
        <f ca="1">IFERROR(OFFSET(ZPCS04!$A$1,MATCH(F281,ZPCS04!B:B,0)-1,0),100)</f>
        <v>1.9999999000000002</v>
      </c>
      <c r="AX281" s="7"/>
      <c r="AY281" s="6" t="b">
        <f>SUMIF(AS:AS,AS281,AP:AP)=100</f>
        <v>1</v>
      </c>
      <c r="AZ281" s="6" t="b">
        <f>SUMIF(AS:AS,AS281,AE:AE)/COUNTIF(AS:AS,AS281)=AE281</f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>C281&amp;" | "&amp;F281</f>
        <v>90MB1BJ0-C1BAY0 | 10G212121214020</v>
      </c>
      <c r="BE281" s="55" t="str">
        <f ca="1">C281&amp;" | "&amp;OFFSET($AF281,0,8-COUNTBLANK($AG281:$AN281))</f>
        <v>90MB1BJ0-C1BAY0 | 59MB1BJB-MB0A02S</v>
      </c>
      <c r="BF281" s="57">
        <f ca="1">IFERROR(VLOOKUP($BE281,$BD$5:$BF280,3,0)*$AE281,VLOOKUP($C281,Demanda!$A:$B,2,0)*$AE281)*IF(AT281="Phantom Alt",$BC281,TRUE)</f>
        <v>6000</v>
      </c>
      <c r="BG281" s="57">
        <f ca="1">BF281*(AP281/100)</f>
        <v>0</v>
      </c>
      <c r="BH281" s="57">
        <f>SUMIF(Invoice!A:A,F281,Invoice!B:B)</f>
        <v>10000</v>
      </c>
      <c r="BI281" s="57">
        <f ca="1">SUMIF(AS:AS,AS281,BG:BG)</f>
        <v>6000</v>
      </c>
      <c r="BJ281" s="57">
        <f ca="1">MIN((BI281-SUMIF($AS$5:AS280,AS281,$BJ$5:BJ280)),MAX(0,BH281-SUMIF($F$5:F280,F281,$BJ$5:BJ280)))</f>
        <v>6000</v>
      </c>
      <c r="BK281" s="57">
        <f ca="1">(-SUMIF(AS:AS,AS281,BG:BG)+SUMIF(AS:AS,AS281,BJ:BJ))*(AP281=100)*AR281</f>
        <v>0</v>
      </c>
      <c r="BL281" s="57">
        <f ca="1">MAX(0,SUMIF(Invoice!A:A,F281,Invoice!B:B)-SUMIF(F:F,F281,BJ:BJ))*(COUNTIF(F:F,F281)=COUNTIF($F$5:F281,F281))</f>
        <v>4000</v>
      </c>
    </row>
    <row r="282" spans="1:64" hidden="1">
      <c r="A282" s="43">
        <v>281</v>
      </c>
      <c r="B282" s="35" t="s">
        <v>147</v>
      </c>
      <c r="C282" s="35" t="s">
        <v>146</v>
      </c>
      <c r="D282" s="35">
        <v>2</v>
      </c>
      <c r="E282" s="35">
        <v>1040</v>
      </c>
      <c r="F282" s="64" t="s">
        <v>730</v>
      </c>
      <c r="G282" s="73" t="s">
        <v>731</v>
      </c>
      <c r="H282" s="35" t="s">
        <v>190</v>
      </c>
      <c r="I282" s="35" t="s">
        <v>54</v>
      </c>
      <c r="J282" s="35">
        <v>100</v>
      </c>
      <c r="K282" s="35" t="s">
        <v>150</v>
      </c>
      <c r="L282" s="35" t="s">
        <v>53</v>
      </c>
      <c r="M282" s="35">
        <v>6</v>
      </c>
      <c r="N282" s="35">
        <v>6</v>
      </c>
      <c r="O282" s="35">
        <v>1</v>
      </c>
      <c r="P282" s="35">
        <v>2</v>
      </c>
      <c r="Q282" s="35">
        <v>1</v>
      </c>
      <c r="R282" s="35" t="s">
        <v>73</v>
      </c>
      <c r="S282" s="35" t="s">
        <v>73</v>
      </c>
      <c r="T282" s="36">
        <v>44901</v>
      </c>
      <c r="U282" s="36">
        <v>2958465</v>
      </c>
      <c r="V282" s="35" t="s">
        <v>282</v>
      </c>
      <c r="W282" s="35" t="s">
        <v>145</v>
      </c>
      <c r="X282" s="35"/>
      <c r="Y282" s="35" t="s">
        <v>143</v>
      </c>
      <c r="Z282" s="35">
        <v>7589154</v>
      </c>
      <c r="AA282" s="35">
        <v>450</v>
      </c>
      <c r="AB282" s="35">
        <v>225</v>
      </c>
      <c r="AC282" s="35"/>
      <c r="AE282" s="51">
        <f>M282/O282</f>
        <v>6</v>
      </c>
      <c r="AG282" s="6" t="str">
        <f>C282</f>
        <v>90MB1BJ0-C1BAY0</v>
      </c>
      <c r="AH282" s="6" t="str">
        <f>IF($D282&lt;=AH$4,"",IF(AND($D281=AH$4,$D282&gt;AH$4),$F281,AH281))</f>
        <v>59MB1BJB-MB0A02S</v>
      </c>
      <c r="AI282" s="6" t="str">
        <f>IF($D282&lt;=AI$4,"",IF(AND($D281=AI$4,$D282&gt;AI$4),$F281,AI281))</f>
        <v/>
      </c>
      <c r="AJ282" s="6" t="str">
        <f>IF($D282&lt;=AJ$4,"",IF(AND($D281=AJ$4,$D282&gt;AJ$4),$F281,AJ281))</f>
        <v/>
      </c>
      <c r="AK282" s="6" t="str">
        <f>IF($D282&lt;=AK$4,"",IF(AND($D281=AK$4,$D282&gt;AK$4),$F281,AK281))</f>
        <v/>
      </c>
      <c r="AL282" s="6" t="str">
        <f>IF($D282&lt;=AL$4,"",IF(AND($D281=AL$4,$D282&gt;AL$4),$F281,AL281))</f>
        <v/>
      </c>
      <c r="AM282" s="6" t="str">
        <f>IF($D282&lt;=AM$4,"",IF(AND($D281=AM$4,$D282&gt;AM$4),$F281,AM281))</f>
        <v/>
      </c>
      <c r="AN282" s="6" t="str">
        <f>IF($D282&lt;=AN$4,"",IF(AND($D281=AN$4,$D282&gt;AN$4),$F281,AN281))</f>
        <v/>
      </c>
      <c r="AO282" s="6" t="str">
        <f>CONCATENATE(AG282," | ",AH282," | ",AI282," | ",AJ282," | ",AK282," | ",AL282," | ",AM282," | ",AN282)</f>
        <v xml:space="preserve">90MB1BJ0-C1BAY0 | 59MB1BJB-MB0A02S |  |  |  |  |  | </v>
      </c>
      <c r="AP282" s="6">
        <f>IF(TRIM(H282)="",100,J282)</f>
        <v>100</v>
      </c>
      <c r="AQ282" s="4"/>
      <c r="AR282" s="6" t="b">
        <f>NOT(TRIM(W282)&lt;&gt;"F")</f>
        <v>1</v>
      </c>
      <c r="AS282" s="6" t="str">
        <f>$B282&amp;" | "&amp;$AO282&amp;" | "&amp;IF(TRIM(H282)="","uniq"&amp;ROW(),TRIM(H282))</f>
        <v>461E | 90MB1BJ0-C1BAY0 | 59MB1BJB-MB0A02S |  |  |  |  |  |  | A4</v>
      </c>
      <c r="AT282" s="63">
        <f>IF(NOT(AR282),IF(TRIM($H282)="","Assembly","Phantom Alt"),VLOOKUP(F282,ZPCS04!B:G,6,0))</f>
        <v>953</v>
      </c>
      <c r="AU282" s="7"/>
      <c r="AV282" s="38">
        <f ca="1">IF(TRIM($W282)="F",OFFSET($A$5,MATCH($AS282,$AS$5:$AS282,0)-1,0),$A282)</f>
        <v>282</v>
      </c>
      <c r="AW282" s="38">
        <f ca="1">IFERROR(OFFSET(ZPCS04!$A$1,MATCH(F282,ZPCS04!B:B,0)-1,0),100)</f>
        <v>2</v>
      </c>
      <c r="AX282" s="7"/>
      <c r="AY282" s="6" t="b">
        <f>SUMIF(AS:AS,AS282,AP:AP)=100</f>
        <v>1</v>
      </c>
      <c r="AZ282" s="6" t="b">
        <f>SUMIF(AS:AS,AS282,AE:AE)/COUNTIF(AS:AS,AS282)=AE282</f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>C282&amp;" | "&amp;F282</f>
        <v>90MB1BJ0-C1BAY0 | 10G212121214010</v>
      </c>
      <c r="BE282" s="55" t="str">
        <f ca="1">C282&amp;" | "&amp;OFFSET($AF282,0,8-COUNTBLANK($AG282:$AN282))</f>
        <v>90MB1BJ0-C1BAY0 | 59MB1BJB-MB0A02S</v>
      </c>
      <c r="BF282" s="57">
        <f ca="1">IFERROR(VLOOKUP($BE282,$BD$5:$BF281,3,0)*$AE282,VLOOKUP($C282,Demanda!$A:$B,2,0)*$AE282)*IF(AT282="Phantom Alt",$BC282,TRUE)</f>
        <v>6000</v>
      </c>
      <c r="BG282" s="57">
        <f ca="1">BF282*(AP282/100)</f>
        <v>6000</v>
      </c>
      <c r="BH282" s="57">
        <f>SUMIF(Invoice!A:A,F282,Invoice!B:B)</f>
        <v>0</v>
      </c>
      <c r="BI282" s="57">
        <f ca="1">SUMIF(AS:AS,AS282,BG:BG)</f>
        <v>6000</v>
      </c>
      <c r="BJ282" s="57">
        <f ca="1">MIN((BI282-SUMIF($AS$5:AS281,AS282,$BJ$5:BJ281)),MAX(0,BH282-SUMIF($F$5:F281,F282,$BJ$5:BJ281)))</f>
        <v>0</v>
      </c>
      <c r="BK282" s="57">
        <f ca="1">(-SUMIF(AS:AS,AS282,BG:BG)+SUMIF(AS:AS,AS282,BJ:BJ))*(AP282=100)*AR282</f>
        <v>0</v>
      </c>
      <c r="BL282" s="57">
        <f ca="1">MAX(0,SUMIF(Invoice!A:A,F282,Invoice!B:B)-SUMIF(F:F,F282,BJ:BJ))*(COUNTIF(F:F,F282)=COUNTIF($F$5:F282,F282))</f>
        <v>0</v>
      </c>
    </row>
    <row r="283" spans="1:64" hidden="1">
      <c r="A283" s="43">
        <v>283</v>
      </c>
      <c r="B283" s="35" t="s">
        <v>147</v>
      </c>
      <c r="C283" s="35" t="s">
        <v>146</v>
      </c>
      <c r="D283" s="35">
        <v>2</v>
      </c>
      <c r="E283" s="35">
        <v>1040</v>
      </c>
      <c r="F283" s="64" t="s">
        <v>733</v>
      </c>
      <c r="G283" s="73" t="s">
        <v>734</v>
      </c>
      <c r="H283" s="35" t="s">
        <v>190</v>
      </c>
      <c r="I283" s="35" t="s">
        <v>55</v>
      </c>
      <c r="J283" s="35">
        <v>0</v>
      </c>
      <c r="K283" s="35" t="s">
        <v>150</v>
      </c>
      <c r="L283" s="35" t="s">
        <v>53</v>
      </c>
      <c r="M283" s="35">
        <v>6</v>
      </c>
      <c r="N283" s="35"/>
      <c r="O283" s="35">
        <v>1</v>
      </c>
      <c r="P283" s="35">
        <v>2</v>
      </c>
      <c r="Q283" s="35">
        <v>2</v>
      </c>
      <c r="R283" s="35" t="s">
        <v>73</v>
      </c>
      <c r="S283" s="35" t="s">
        <v>73</v>
      </c>
      <c r="T283" s="36">
        <v>44901</v>
      </c>
      <c r="U283" s="36">
        <v>2958465</v>
      </c>
      <c r="V283" s="35" t="s">
        <v>282</v>
      </c>
      <c r="W283" s="35" t="s">
        <v>145</v>
      </c>
      <c r="X283" s="35"/>
      <c r="Y283" s="35" t="s">
        <v>143</v>
      </c>
      <c r="Z283" s="35">
        <v>7589154</v>
      </c>
      <c r="AA283" s="35">
        <v>452</v>
      </c>
      <c r="AB283" s="35">
        <v>226</v>
      </c>
      <c r="AC283" s="35" t="s">
        <v>144</v>
      </c>
      <c r="AE283" s="51">
        <f>M283/O283</f>
        <v>6</v>
      </c>
      <c r="AG283" s="6" t="str">
        <f>C283</f>
        <v>90MB1BJ0-C1BAY0</v>
      </c>
      <c r="AH283" s="6" t="str">
        <f>IF($D283&lt;=AH$4,"",IF(AND($D282=AH$4,$D283&gt;AH$4),$F282,AH282))</f>
        <v>59MB1BJB-MB0A02S</v>
      </c>
      <c r="AI283" s="6" t="str">
        <f>IF($D283&lt;=AI$4,"",IF(AND($D282=AI$4,$D283&gt;AI$4),$F282,AI282))</f>
        <v/>
      </c>
      <c r="AJ283" s="6" t="str">
        <f>IF($D283&lt;=AJ$4,"",IF(AND($D282=AJ$4,$D283&gt;AJ$4),$F282,AJ282))</f>
        <v/>
      </c>
      <c r="AK283" s="6" t="str">
        <f>IF($D283&lt;=AK$4,"",IF(AND($D282=AK$4,$D283&gt;AK$4),$F282,AK282))</f>
        <v/>
      </c>
      <c r="AL283" s="6" t="str">
        <f>IF($D283&lt;=AL$4,"",IF(AND($D282=AL$4,$D283&gt;AL$4),$F282,AL282))</f>
        <v/>
      </c>
      <c r="AM283" s="6" t="str">
        <f>IF($D283&lt;=AM$4,"",IF(AND($D282=AM$4,$D283&gt;AM$4),$F282,AM282))</f>
        <v/>
      </c>
      <c r="AN283" s="6" t="str">
        <f>IF($D283&lt;=AN$4,"",IF(AND($D282=AN$4,$D283&gt;AN$4),$F282,AN282))</f>
        <v/>
      </c>
      <c r="AO283" s="6" t="str">
        <f>CONCATENATE(AG283," | ",AH283," | ",AI283," | ",AJ283," | ",AK283," | ",AL283," | ",AM283," | ",AN283)</f>
        <v xml:space="preserve">90MB1BJ0-C1BAY0 | 59MB1BJB-MB0A02S |  |  |  |  |  | </v>
      </c>
      <c r="AP283" s="6">
        <f>IF(TRIM(H283)="",100,J283)</f>
        <v>0</v>
      </c>
      <c r="AQ283" s="4"/>
      <c r="AR283" s="6" t="b">
        <f>NOT(TRIM(W283)&lt;&gt;"F")</f>
        <v>1</v>
      </c>
      <c r="AS283" s="6" t="str">
        <f>$B283&amp;" | "&amp;$AO283&amp;" | "&amp;IF(TRIM(H283)="","uniq"&amp;ROW(),TRIM(H283))</f>
        <v>461E | 90MB1BJ0-C1BAY0 | 59MB1BJB-MB0A02S |  |  |  |  |  |  | A4</v>
      </c>
      <c r="AT283" s="63">
        <f>IF(NOT(AR283),IF(TRIM($H283)="","Assembly","Phantom Alt"),VLOOKUP(F283,ZPCS04!B:G,6,0))</f>
        <v>953</v>
      </c>
      <c r="AU283" s="7"/>
      <c r="AV283" s="38">
        <f ca="1">IF(TRIM($W283)="F",OFFSET($A$5,MATCH($AS283,$AS$5:$AS283,0)-1,0),$A283)</f>
        <v>282</v>
      </c>
      <c r="AW283" s="38">
        <f ca="1">IFERROR(OFFSET(ZPCS04!$A$1,MATCH(F283,ZPCS04!B:B,0)-1,0),100)</f>
        <v>2</v>
      </c>
      <c r="AX283" s="7"/>
      <c r="AY283" s="6" t="b">
        <f>SUMIF(AS:AS,AS283,AP:AP)=100</f>
        <v>1</v>
      </c>
      <c r="AZ283" s="6" t="b">
        <f>SUMIF(AS:AS,AS283,AE:AE)/COUNTIF(AS:AS,AS283)=AE283</f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>C283&amp;" | "&amp;F283</f>
        <v>90MB1BJ0-C1BAY0 | 10G212121214050</v>
      </c>
      <c r="BE283" s="55" t="str">
        <f ca="1">C283&amp;" | "&amp;OFFSET($AF283,0,8-COUNTBLANK($AG283:$AN283))</f>
        <v>90MB1BJ0-C1BAY0 | 59MB1BJB-MB0A02S</v>
      </c>
      <c r="BF283" s="57">
        <f ca="1">IFERROR(VLOOKUP($BE283,$BD$5:$BF282,3,0)*$AE283,VLOOKUP($C283,Demanda!$A:$B,2,0)*$AE283)*IF(AT283="Phantom Alt",$BC283,TRUE)</f>
        <v>6000</v>
      </c>
      <c r="BG283" s="57">
        <f ca="1">BF283*(AP283/100)</f>
        <v>0</v>
      </c>
      <c r="BH283" s="57">
        <f>SUMIF(Invoice!A:A,F283,Invoice!B:B)</f>
        <v>0</v>
      </c>
      <c r="BI283" s="57">
        <f ca="1">SUMIF(AS:AS,AS283,BG:BG)</f>
        <v>6000</v>
      </c>
      <c r="BJ283" s="57">
        <f ca="1">MIN((BI283-SUMIF($AS$5:AS282,AS283,$BJ$5:BJ282)),MAX(0,BH283-SUMIF($F$5:F282,F283,$BJ$5:BJ282)))</f>
        <v>0</v>
      </c>
      <c r="BK283" s="57">
        <f ca="1">(-SUMIF(AS:AS,AS283,BG:BG)+SUMIF(AS:AS,AS283,BJ:BJ))*(AP283=100)*AR283</f>
        <v>0</v>
      </c>
      <c r="BL283" s="57">
        <f ca="1">MAX(0,SUMIF(Invoice!A:A,F283,Invoice!B:B)-SUMIF(F:F,F283,BJ:BJ))*(COUNTIF(F:F,F283)=COUNTIF($F$5:F283,F283))</f>
        <v>0</v>
      </c>
    </row>
    <row r="284" spans="1:64" hidden="1">
      <c r="A284" s="43">
        <v>284</v>
      </c>
      <c r="B284" s="35" t="s">
        <v>147</v>
      </c>
      <c r="C284" s="35" t="s">
        <v>146</v>
      </c>
      <c r="D284" s="35">
        <v>2</v>
      </c>
      <c r="E284" s="35">
        <v>1050</v>
      </c>
      <c r="F284" s="64" t="s">
        <v>735</v>
      </c>
      <c r="G284" s="73" t="s">
        <v>736</v>
      </c>
      <c r="H284" s="35" t="s">
        <v>203</v>
      </c>
      <c r="I284" s="35" t="s">
        <v>54</v>
      </c>
      <c r="J284" s="35">
        <v>100</v>
      </c>
      <c r="K284" s="35" t="s">
        <v>489</v>
      </c>
      <c r="L284" s="35" t="s">
        <v>53</v>
      </c>
      <c r="M284" s="35">
        <v>1</v>
      </c>
      <c r="N284" s="35">
        <v>1</v>
      </c>
      <c r="O284" s="35">
        <v>1</v>
      </c>
      <c r="P284" s="35">
        <v>2</v>
      </c>
      <c r="Q284" s="35">
        <v>1</v>
      </c>
      <c r="R284" s="35" t="s">
        <v>122</v>
      </c>
      <c r="S284" s="35" t="s">
        <v>122</v>
      </c>
      <c r="T284" s="36">
        <v>44901</v>
      </c>
      <c r="U284" s="36">
        <v>2958465</v>
      </c>
      <c r="V284" s="35" t="s">
        <v>282</v>
      </c>
      <c r="W284" s="35" t="s">
        <v>145</v>
      </c>
      <c r="X284" s="35"/>
      <c r="Y284" s="35" t="s">
        <v>143</v>
      </c>
      <c r="Z284" s="35">
        <v>7589154</v>
      </c>
      <c r="AA284" s="35">
        <v>456</v>
      </c>
      <c r="AB284" s="35">
        <v>228</v>
      </c>
      <c r="AC284" s="35"/>
      <c r="AE284" s="51">
        <f>M284/O284</f>
        <v>1</v>
      </c>
      <c r="AG284" s="6" t="str">
        <f>C284</f>
        <v>90MB1BJ0-C1BAY0</v>
      </c>
      <c r="AH284" s="6" t="str">
        <f>IF($D284&lt;=AH$4,"",IF(AND($D283=AH$4,$D284&gt;AH$4),$F283,AH283))</f>
        <v>59MB1BJB-MB0A02S</v>
      </c>
      <c r="AI284" s="6" t="str">
        <f>IF($D284&lt;=AI$4,"",IF(AND($D283=AI$4,$D284&gt;AI$4),$F283,AI283))</f>
        <v/>
      </c>
      <c r="AJ284" s="6" t="str">
        <f>IF($D284&lt;=AJ$4,"",IF(AND($D283=AJ$4,$D284&gt;AJ$4),$F283,AJ283))</f>
        <v/>
      </c>
      <c r="AK284" s="6" t="str">
        <f>IF($D284&lt;=AK$4,"",IF(AND($D283=AK$4,$D284&gt;AK$4),$F283,AK283))</f>
        <v/>
      </c>
      <c r="AL284" s="6" t="str">
        <f>IF($D284&lt;=AL$4,"",IF(AND($D283=AL$4,$D284&gt;AL$4),$F283,AL283))</f>
        <v/>
      </c>
      <c r="AM284" s="6" t="str">
        <f>IF($D284&lt;=AM$4,"",IF(AND($D283=AM$4,$D284&gt;AM$4),$F283,AM283))</f>
        <v/>
      </c>
      <c r="AN284" s="6" t="str">
        <f>IF($D284&lt;=AN$4,"",IF(AND($D283=AN$4,$D284&gt;AN$4),$F283,AN283))</f>
        <v/>
      </c>
      <c r="AO284" s="6" t="str">
        <f>CONCATENATE(AG284," | ",AH284," | ",AI284," | ",AJ284," | ",AK284," | ",AL284," | ",AM284," | ",AN284)</f>
        <v xml:space="preserve">90MB1BJ0-C1BAY0 | 59MB1BJB-MB0A02S |  |  |  |  |  | </v>
      </c>
      <c r="AP284" s="6">
        <f>IF(TRIM(H284)="",100,J284)</f>
        <v>100</v>
      </c>
      <c r="AQ284" s="4"/>
      <c r="AR284" s="6" t="b">
        <f>NOT(TRIM(W284)&lt;&gt;"F")</f>
        <v>1</v>
      </c>
      <c r="AS284" s="6" t="str">
        <f>$B284&amp;" | "&amp;$AO284&amp;" | "&amp;IF(TRIM(H284)="","uniq"&amp;ROW(),TRIM(H284))</f>
        <v>461E | 90MB1BJ0-C1BAY0 | 59MB1BJB-MB0A02S |  |  |  |  |  |  | A5</v>
      </c>
      <c r="AT284" s="63">
        <f>IF(NOT(AR284),IF(TRIM($H284)="","Assembly","Phantom Alt"),VLOOKUP(F284,ZPCS04!B:G,6,0))</f>
        <v>1028</v>
      </c>
      <c r="AU284" s="7"/>
      <c r="AV284" s="38">
        <f ca="1">IF(TRIM($W284)="F",OFFSET($A$5,MATCH($AS284,$AS$5:$AS284,0)-1,0),$A284)</f>
        <v>284</v>
      </c>
      <c r="AW284" s="38">
        <f ca="1">IFERROR(OFFSET(ZPCS04!$A$1,MATCH(F284,ZPCS04!B:B,0)-1,0),100)</f>
        <v>1.9999999000000002</v>
      </c>
      <c r="AX284" s="7"/>
      <c r="AY284" s="6" t="b">
        <f>SUMIF(AS:AS,AS284,AP:AP)=100</f>
        <v>1</v>
      </c>
      <c r="AZ284" s="6" t="b">
        <f>SUMIF(AS:AS,AS284,AE:AE)/COUNTIF(AS:AS,AS284)=AE284</f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>C284&amp;" | "&amp;F284</f>
        <v>90MB1BJ0-C1BAY0 | 10G212124214010</v>
      </c>
      <c r="BE284" s="55" t="str">
        <f ca="1">C284&amp;" | "&amp;OFFSET($AF284,0,8-COUNTBLANK($AG284:$AN284))</f>
        <v>90MB1BJ0-C1BAY0 | 59MB1BJB-MB0A02S</v>
      </c>
      <c r="BF284" s="57">
        <f ca="1">IFERROR(VLOOKUP($BE284,$BD$5:$BF283,3,0)*$AE284,VLOOKUP($C284,Demanda!$A:$B,2,0)*$AE284)*IF(AT284="Phantom Alt",$BC284,TRUE)</f>
        <v>1000</v>
      </c>
      <c r="BG284" s="57">
        <f ca="1">BF284*(AP284/100)</f>
        <v>1000</v>
      </c>
      <c r="BH284" s="57">
        <f>SUMIF(Invoice!A:A,F284,Invoice!B:B)</f>
        <v>10000</v>
      </c>
      <c r="BI284" s="57">
        <f ca="1">SUMIF(AS:AS,AS284,BG:BG)</f>
        <v>1000</v>
      </c>
      <c r="BJ284" s="57">
        <f ca="1">MIN((BI284-SUMIF($AS$5:AS283,AS284,$BJ$5:BJ283)),MAX(0,BH284-SUMIF($F$5:F283,F284,$BJ$5:BJ283)))</f>
        <v>1000</v>
      </c>
      <c r="BK284" s="57">
        <f ca="1">(-SUMIF(AS:AS,AS284,BG:BG)+SUMIF(AS:AS,AS284,BJ:BJ))*(AP284=100)*AR284</f>
        <v>0</v>
      </c>
      <c r="BL284" s="57">
        <f ca="1">MAX(0,SUMIF(Invoice!A:A,F284,Invoice!B:B)-SUMIF(F:F,F284,BJ:BJ))*(COUNTIF(F:F,F284)=COUNTIF($F$5:F284,F284))</f>
        <v>9000</v>
      </c>
    </row>
    <row r="285" spans="1:64" hidden="1">
      <c r="A285" s="43">
        <v>285</v>
      </c>
      <c r="B285" s="35" t="s">
        <v>147</v>
      </c>
      <c r="C285" s="35" t="s">
        <v>146</v>
      </c>
      <c r="D285" s="35">
        <v>2</v>
      </c>
      <c r="E285" s="35">
        <v>1050</v>
      </c>
      <c r="F285" s="64" t="s">
        <v>737</v>
      </c>
      <c r="G285" s="73" t="s">
        <v>738</v>
      </c>
      <c r="H285" s="35" t="s">
        <v>203</v>
      </c>
      <c r="I285" s="35" t="s">
        <v>55</v>
      </c>
      <c r="J285" s="35">
        <v>0</v>
      </c>
      <c r="K285" s="35" t="s">
        <v>489</v>
      </c>
      <c r="L285" s="35" t="s">
        <v>53</v>
      </c>
      <c r="M285" s="35">
        <v>1</v>
      </c>
      <c r="N285" s="35"/>
      <c r="O285" s="35">
        <v>1</v>
      </c>
      <c r="P285" s="35">
        <v>2</v>
      </c>
      <c r="Q285" s="35">
        <v>3</v>
      </c>
      <c r="R285" s="35" t="s">
        <v>122</v>
      </c>
      <c r="S285" s="35" t="s">
        <v>122</v>
      </c>
      <c r="T285" s="36">
        <v>44901</v>
      </c>
      <c r="U285" s="36">
        <v>2958465</v>
      </c>
      <c r="V285" s="35" t="s">
        <v>282</v>
      </c>
      <c r="W285" s="35" t="s">
        <v>145</v>
      </c>
      <c r="X285" s="35"/>
      <c r="Y285" s="35" t="s">
        <v>143</v>
      </c>
      <c r="Z285" s="35">
        <v>7589154</v>
      </c>
      <c r="AA285" s="35">
        <v>460</v>
      </c>
      <c r="AB285" s="35">
        <v>230</v>
      </c>
      <c r="AC285" s="35"/>
      <c r="AE285" s="51">
        <f>M285/O285</f>
        <v>1</v>
      </c>
      <c r="AG285" s="6" t="str">
        <f>C285</f>
        <v>90MB1BJ0-C1BAY0</v>
      </c>
      <c r="AH285" s="6" t="str">
        <f>IF($D285&lt;=AH$4,"",IF(AND($D284=AH$4,$D285&gt;AH$4),$F284,AH284))</f>
        <v>59MB1BJB-MB0A02S</v>
      </c>
      <c r="AI285" s="6" t="str">
        <f>IF($D285&lt;=AI$4,"",IF(AND($D284=AI$4,$D285&gt;AI$4),$F284,AI284))</f>
        <v/>
      </c>
      <c r="AJ285" s="6" t="str">
        <f>IF($D285&lt;=AJ$4,"",IF(AND($D284=AJ$4,$D285&gt;AJ$4),$F284,AJ284))</f>
        <v/>
      </c>
      <c r="AK285" s="6" t="str">
        <f>IF($D285&lt;=AK$4,"",IF(AND($D284=AK$4,$D285&gt;AK$4),$F284,AK284))</f>
        <v/>
      </c>
      <c r="AL285" s="6" t="str">
        <f>IF($D285&lt;=AL$4,"",IF(AND($D284=AL$4,$D285&gt;AL$4),$F284,AL284))</f>
        <v/>
      </c>
      <c r="AM285" s="6" t="str">
        <f>IF($D285&lt;=AM$4,"",IF(AND($D284=AM$4,$D285&gt;AM$4),$F284,AM284))</f>
        <v/>
      </c>
      <c r="AN285" s="6" t="str">
        <f>IF($D285&lt;=AN$4,"",IF(AND($D284=AN$4,$D285&gt;AN$4),$F284,AN284))</f>
        <v/>
      </c>
      <c r="AO285" s="6" t="str">
        <f>CONCATENATE(AG285," | ",AH285," | ",AI285," | ",AJ285," | ",AK285," | ",AL285," | ",AM285," | ",AN285)</f>
        <v xml:space="preserve">90MB1BJ0-C1BAY0 | 59MB1BJB-MB0A02S |  |  |  |  |  | </v>
      </c>
      <c r="AP285" s="6">
        <f>IF(TRIM(H285)="",100,J285)</f>
        <v>0</v>
      </c>
      <c r="AQ285" s="4"/>
      <c r="AR285" s="6" t="b">
        <f>NOT(TRIM(W285)&lt;&gt;"F")</f>
        <v>1</v>
      </c>
      <c r="AS285" s="6" t="str">
        <f>$B285&amp;" | "&amp;$AO285&amp;" | "&amp;IF(TRIM(H285)="","uniq"&amp;ROW(),TRIM(H285))</f>
        <v>461E | 90MB1BJ0-C1BAY0 | 59MB1BJB-MB0A02S |  |  |  |  |  |  | A5</v>
      </c>
      <c r="AT285" s="63">
        <f>IF(NOT(AR285),IF(TRIM($H285)="","Assembly","Phantom Alt"),VLOOKUP(F285,ZPCS04!B:G,6,0))</f>
        <v>1028</v>
      </c>
      <c r="AU285" s="7"/>
      <c r="AV285" s="38">
        <f ca="1">IF(TRIM($W285)="F",OFFSET($A$5,MATCH($AS285,$AS$5:$AS285,0)-1,0),$A285)</f>
        <v>284</v>
      </c>
      <c r="AW285" s="38">
        <f ca="1">IFERROR(OFFSET(ZPCS04!$A$1,MATCH(F285,ZPCS04!B:B,0)-1,0),100)</f>
        <v>2</v>
      </c>
      <c r="AX285" s="7"/>
      <c r="AY285" s="6" t="b">
        <f>SUMIF(AS:AS,AS285,AP:AP)=100</f>
        <v>1</v>
      </c>
      <c r="AZ285" s="6" t="b">
        <f>SUMIF(AS:AS,AS285,AE:AE)/COUNTIF(AS:AS,AS285)=AE285</f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>C285&amp;" | "&amp;F285</f>
        <v>90MB1BJ0-C1BAY0 | 10G212124214020</v>
      </c>
      <c r="BE285" s="55" t="str">
        <f ca="1">C285&amp;" | "&amp;OFFSET($AF285,0,8-COUNTBLANK($AG285:$AN285))</f>
        <v>90MB1BJ0-C1BAY0 | 59MB1BJB-MB0A02S</v>
      </c>
      <c r="BF285" s="57">
        <f ca="1">IFERROR(VLOOKUP($BE285,$BD$5:$BF284,3,0)*$AE285,VLOOKUP($C285,Demanda!$A:$B,2,0)*$AE285)*IF(AT285="Phantom Alt",$BC285,TRUE)</f>
        <v>1000</v>
      </c>
      <c r="BG285" s="57">
        <f ca="1">BF285*(AP285/100)</f>
        <v>0</v>
      </c>
      <c r="BH285" s="57">
        <f>SUMIF(Invoice!A:A,F285,Invoice!B:B)</f>
        <v>0</v>
      </c>
      <c r="BI285" s="57">
        <f ca="1">SUMIF(AS:AS,AS285,BG:BG)</f>
        <v>1000</v>
      </c>
      <c r="BJ285" s="57">
        <f ca="1">MIN((BI285-SUMIF($AS$5:AS284,AS285,$BJ$5:BJ284)),MAX(0,BH285-SUMIF($F$5:F284,F285,$BJ$5:BJ284)))</f>
        <v>0</v>
      </c>
      <c r="BK285" s="57">
        <f ca="1">(-SUMIF(AS:AS,AS285,BG:BG)+SUMIF(AS:AS,AS285,BJ:BJ))*(AP285=100)*AR285</f>
        <v>0</v>
      </c>
      <c r="BL285" s="57">
        <f ca="1">MAX(0,SUMIF(Invoice!A:A,F285,Invoice!B:B)-SUMIF(F:F,F285,BJ:BJ))*(COUNTIF(F:F,F285)=COUNTIF($F$5:F285,F285))</f>
        <v>0</v>
      </c>
    </row>
    <row r="286" spans="1:64" hidden="1">
      <c r="A286" s="43">
        <v>286</v>
      </c>
      <c r="B286" s="35" t="s">
        <v>147</v>
      </c>
      <c r="C286" s="35" t="s">
        <v>146</v>
      </c>
      <c r="D286" s="35">
        <v>2</v>
      </c>
      <c r="E286" s="35">
        <v>1050</v>
      </c>
      <c r="F286" s="64" t="s">
        <v>739</v>
      </c>
      <c r="G286" s="73" t="s">
        <v>740</v>
      </c>
      <c r="H286" s="35" t="s">
        <v>203</v>
      </c>
      <c r="I286" s="35" t="s">
        <v>55</v>
      </c>
      <c r="J286" s="35">
        <v>0</v>
      </c>
      <c r="K286" s="35" t="s">
        <v>150</v>
      </c>
      <c r="L286" s="35" t="s">
        <v>53</v>
      </c>
      <c r="M286" s="35">
        <v>1</v>
      </c>
      <c r="N286" s="35"/>
      <c r="O286" s="35">
        <v>1</v>
      </c>
      <c r="P286" s="35">
        <v>2</v>
      </c>
      <c r="Q286" s="35">
        <v>2</v>
      </c>
      <c r="R286" s="35" t="s">
        <v>73</v>
      </c>
      <c r="S286" s="35" t="s">
        <v>73</v>
      </c>
      <c r="T286" s="36">
        <v>44901</v>
      </c>
      <c r="U286" s="36">
        <v>2958465</v>
      </c>
      <c r="V286" s="35" t="s">
        <v>282</v>
      </c>
      <c r="W286" s="35" t="s">
        <v>145</v>
      </c>
      <c r="X286" s="35"/>
      <c r="Y286" s="35" t="s">
        <v>143</v>
      </c>
      <c r="Z286" s="35">
        <v>7589154</v>
      </c>
      <c r="AA286" s="35">
        <v>458</v>
      </c>
      <c r="AB286" s="35">
        <v>229</v>
      </c>
      <c r="AC286" s="35"/>
      <c r="AE286" s="51">
        <f>M286/O286</f>
        <v>1</v>
      </c>
      <c r="AG286" s="6" t="str">
        <f>C286</f>
        <v>90MB1BJ0-C1BAY0</v>
      </c>
      <c r="AH286" s="6" t="str">
        <f>IF($D286&lt;=AH$4,"",IF(AND($D285=AH$4,$D286&gt;AH$4),$F285,AH285))</f>
        <v>59MB1BJB-MB0A02S</v>
      </c>
      <c r="AI286" s="6" t="str">
        <f>IF($D286&lt;=AI$4,"",IF(AND($D285=AI$4,$D286&gt;AI$4),$F285,AI285))</f>
        <v/>
      </c>
      <c r="AJ286" s="6" t="str">
        <f>IF($D286&lt;=AJ$4,"",IF(AND($D285=AJ$4,$D286&gt;AJ$4),$F285,AJ285))</f>
        <v/>
      </c>
      <c r="AK286" s="6" t="str">
        <f>IF($D286&lt;=AK$4,"",IF(AND($D285=AK$4,$D286&gt;AK$4),$F285,AK285))</f>
        <v/>
      </c>
      <c r="AL286" s="6" t="str">
        <f>IF($D286&lt;=AL$4,"",IF(AND($D285=AL$4,$D286&gt;AL$4),$F285,AL285))</f>
        <v/>
      </c>
      <c r="AM286" s="6" t="str">
        <f>IF($D286&lt;=AM$4,"",IF(AND($D285=AM$4,$D286&gt;AM$4),$F285,AM285))</f>
        <v/>
      </c>
      <c r="AN286" s="6" t="str">
        <f>IF($D286&lt;=AN$4,"",IF(AND($D285=AN$4,$D286&gt;AN$4),$F285,AN285))</f>
        <v/>
      </c>
      <c r="AO286" s="6" t="str">
        <f>CONCATENATE(AG286," | ",AH286," | ",AI286," | ",AJ286," | ",AK286," | ",AL286," | ",AM286," | ",AN286)</f>
        <v xml:space="preserve">90MB1BJ0-C1BAY0 | 59MB1BJB-MB0A02S |  |  |  |  |  | </v>
      </c>
      <c r="AP286" s="6">
        <f>IF(TRIM(H286)="",100,J286)</f>
        <v>0</v>
      </c>
      <c r="AQ286" s="4"/>
      <c r="AR286" s="6" t="b">
        <f>NOT(TRIM(W286)&lt;&gt;"F")</f>
        <v>1</v>
      </c>
      <c r="AS286" s="6" t="str">
        <f>$B286&amp;" | "&amp;$AO286&amp;" | "&amp;IF(TRIM(H286)="","uniq"&amp;ROW(),TRIM(H286))</f>
        <v>461E | 90MB1BJ0-C1BAY0 | 59MB1BJB-MB0A02S |  |  |  |  |  |  | A5</v>
      </c>
      <c r="AT286" s="63">
        <f>IF(NOT(AR286),IF(TRIM($H286)="","Assembly","Phantom Alt"),VLOOKUP(F286,ZPCS04!B:G,6,0))</f>
        <v>1028</v>
      </c>
      <c r="AU286" s="7"/>
      <c r="AV286" s="38">
        <f ca="1">IF(TRIM($W286)="F",OFFSET($A$5,MATCH($AS286,$AS$5:$AS286,0)-1,0),$A286)</f>
        <v>284</v>
      </c>
      <c r="AW286" s="38">
        <f ca="1">IFERROR(OFFSET(ZPCS04!$A$1,MATCH(F286,ZPCS04!B:B,0)-1,0),100)</f>
        <v>2</v>
      </c>
      <c r="AX286" s="7"/>
      <c r="AY286" s="6" t="b">
        <f>SUMIF(AS:AS,AS286,AP:AP)=100</f>
        <v>1</v>
      </c>
      <c r="AZ286" s="6" t="b">
        <f>SUMIF(AS:AS,AS286,AE:AE)/COUNTIF(AS:AS,AS286)=AE286</f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>C286&amp;" | "&amp;F286</f>
        <v>90MB1BJ0-C1BAY0 | 10G212124214050</v>
      </c>
      <c r="BE286" s="55" t="str">
        <f ca="1">C286&amp;" | "&amp;OFFSET($AF286,0,8-COUNTBLANK($AG286:$AN286))</f>
        <v>90MB1BJ0-C1BAY0 | 59MB1BJB-MB0A02S</v>
      </c>
      <c r="BF286" s="57">
        <f ca="1">IFERROR(VLOOKUP($BE286,$BD$5:$BF285,3,0)*$AE286,VLOOKUP($C286,Demanda!$A:$B,2,0)*$AE286)*IF(AT286="Phantom Alt",$BC286,TRUE)</f>
        <v>1000</v>
      </c>
      <c r="BG286" s="57">
        <f ca="1">BF286*(AP286/100)</f>
        <v>0</v>
      </c>
      <c r="BH286" s="57">
        <f>SUMIF(Invoice!A:A,F286,Invoice!B:B)</f>
        <v>0</v>
      </c>
      <c r="BI286" s="57">
        <f ca="1">SUMIF(AS:AS,AS286,BG:BG)</f>
        <v>1000</v>
      </c>
      <c r="BJ286" s="57">
        <f ca="1">MIN((BI286-SUMIF($AS$5:AS285,AS286,$BJ$5:BJ285)),MAX(0,BH286-SUMIF($F$5:F285,F286,$BJ$5:BJ285)))</f>
        <v>0</v>
      </c>
      <c r="BK286" s="57">
        <f ca="1">(-SUMIF(AS:AS,AS286,BG:BG)+SUMIF(AS:AS,AS286,BJ:BJ))*(AP286=100)*AR286</f>
        <v>0</v>
      </c>
      <c r="BL286" s="57">
        <f ca="1">MAX(0,SUMIF(Invoice!A:A,F286,Invoice!B:B)-SUMIF(F:F,F286,BJ:BJ))*(COUNTIF(F:F,F286)=COUNTIF($F$5:F286,F286))</f>
        <v>0</v>
      </c>
    </row>
    <row r="287" spans="1:64" hidden="1">
      <c r="A287" s="43">
        <v>287</v>
      </c>
      <c r="B287" s="35" t="s">
        <v>147</v>
      </c>
      <c r="C287" s="35" t="s">
        <v>146</v>
      </c>
      <c r="D287" s="35">
        <v>2</v>
      </c>
      <c r="E287" s="35">
        <v>1060</v>
      </c>
      <c r="F287" s="64" t="s">
        <v>741</v>
      </c>
      <c r="G287" s="73" t="s">
        <v>742</v>
      </c>
      <c r="H287" s="35" t="s">
        <v>208</v>
      </c>
      <c r="I287" s="35" t="s">
        <v>55</v>
      </c>
      <c r="J287" s="35">
        <v>0</v>
      </c>
      <c r="K287" s="35" t="s">
        <v>489</v>
      </c>
      <c r="L287" s="35" t="s">
        <v>53</v>
      </c>
      <c r="M287" s="35">
        <v>2</v>
      </c>
      <c r="N287" s="35"/>
      <c r="O287" s="35">
        <v>1</v>
      </c>
      <c r="P287" s="35">
        <v>2</v>
      </c>
      <c r="Q287" s="35">
        <v>3</v>
      </c>
      <c r="R287" s="35" t="s">
        <v>122</v>
      </c>
      <c r="S287" s="35" t="s">
        <v>122</v>
      </c>
      <c r="T287" s="36">
        <v>44901</v>
      </c>
      <c r="U287" s="36">
        <v>2958465</v>
      </c>
      <c r="V287" s="35" t="s">
        <v>282</v>
      </c>
      <c r="W287" s="35" t="s">
        <v>145</v>
      </c>
      <c r="X287" s="35"/>
      <c r="Y287" s="35" t="s">
        <v>143</v>
      </c>
      <c r="Z287" s="35">
        <v>7589154</v>
      </c>
      <c r="AA287" s="35">
        <v>466</v>
      </c>
      <c r="AB287" s="35">
        <v>233</v>
      </c>
      <c r="AC287" s="35"/>
      <c r="AE287" s="51">
        <f>M287/O287</f>
        <v>2</v>
      </c>
      <c r="AG287" s="6" t="str">
        <f>C287</f>
        <v>90MB1BJ0-C1BAY0</v>
      </c>
      <c r="AH287" s="6" t="str">
        <f>IF($D287&lt;=AH$4,"",IF(AND($D286=AH$4,$D287&gt;AH$4),$F286,AH286))</f>
        <v>59MB1BJB-MB0A02S</v>
      </c>
      <c r="AI287" s="6" t="str">
        <f>IF($D287&lt;=AI$4,"",IF(AND($D286=AI$4,$D287&gt;AI$4),$F286,AI286))</f>
        <v/>
      </c>
      <c r="AJ287" s="6" t="str">
        <f>IF($D287&lt;=AJ$4,"",IF(AND($D286=AJ$4,$D287&gt;AJ$4),$F286,AJ286))</f>
        <v/>
      </c>
      <c r="AK287" s="6" t="str">
        <f>IF($D287&lt;=AK$4,"",IF(AND($D286=AK$4,$D287&gt;AK$4),$F286,AK286))</f>
        <v/>
      </c>
      <c r="AL287" s="6" t="str">
        <f>IF($D287&lt;=AL$4,"",IF(AND($D286=AL$4,$D287&gt;AL$4),$F286,AL286))</f>
        <v/>
      </c>
      <c r="AM287" s="6" t="str">
        <f>IF($D287&lt;=AM$4,"",IF(AND($D286=AM$4,$D287&gt;AM$4),$F286,AM286))</f>
        <v/>
      </c>
      <c r="AN287" s="6" t="str">
        <f>IF($D287&lt;=AN$4,"",IF(AND($D286=AN$4,$D287&gt;AN$4),$F286,AN286))</f>
        <v/>
      </c>
      <c r="AO287" s="6" t="str">
        <f>CONCATENATE(AG287," | ",AH287," | ",AI287," | ",AJ287," | ",AK287," | ",AL287," | ",AM287," | ",AN287)</f>
        <v xml:space="preserve">90MB1BJ0-C1BAY0 | 59MB1BJB-MB0A02S |  |  |  |  |  | </v>
      </c>
      <c r="AP287" s="6">
        <f>IF(TRIM(H287)="",100,J287)</f>
        <v>0</v>
      </c>
      <c r="AQ287" s="4"/>
      <c r="AR287" s="6" t="b">
        <f>NOT(TRIM(W287)&lt;&gt;"F")</f>
        <v>1</v>
      </c>
      <c r="AS287" s="6" t="str">
        <f>$B287&amp;" | "&amp;$AO287&amp;" | "&amp;IF(TRIM(H287)="","uniq"&amp;ROW(),TRIM(H287))</f>
        <v>461E | 90MB1BJ0-C1BAY0 | 59MB1BJB-MB0A02S |  |  |  |  |  |  | A6</v>
      </c>
      <c r="AT287" s="63">
        <f>IF(NOT(AR287),IF(TRIM($H287)="","Assembly","Phantom Alt"),VLOOKUP(F287,ZPCS04!B:G,6,0))</f>
        <v>647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1.9999999000000002</v>
      </c>
      <c r="AX287" s="7"/>
      <c r="AY287" s="6" t="b">
        <f>SUMIF(AS:AS,AS287,AP:AP)=100</f>
        <v>1</v>
      </c>
      <c r="AZ287" s="6" t="b">
        <f>SUMIF(AS:AS,AS287,AE:AE)/COUNTIF(AS:AS,AS287)=AE287</f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>C287&amp;" | "&amp;F287</f>
        <v>90MB1BJ0-C1BAY0 | 10G212127114010</v>
      </c>
      <c r="BE287" s="55" t="str">
        <f ca="1">C287&amp;" | "&amp;OFFSET($AF287,0,8-COUNTBLANK($AG287:$AN287))</f>
        <v>90MB1BJ0-C1BAY0 | 59MB1BJB-MB0A02S</v>
      </c>
      <c r="BF287" s="57">
        <f ca="1">IFERROR(VLOOKUP($BE287,$BD$5:$BF286,3,0)*$AE287,VLOOKUP($C287,Demanda!$A:$B,2,0)*$AE287)*IF(AT287="Phantom Alt",$BC287,TRUE)</f>
        <v>2000</v>
      </c>
      <c r="BG287" s="57">
        <f ca="1">BF287*(AP287/100)</f>
        <v>0</v>
      </c>
      <c r="BH287" s="57">
        <f>SUMIF(Invoice!A:A,F287,Invoice!B:B)</f>
        <v>10000</v>
      </c>
      <c r="BI287" s="57">
        <f ca="1">SUMIF(AS:AS,AS287,BG:BG)</f>
        <v>2000</v>
      </c>
      <c r="BJ287" s="57">
        <f ca="1">MIN((BI287-SUMIF($AS$5:AS286,AS287,$BJ$5:BJ286)),MAX(0,BH287-SUMIF($F$5:F286,F287,$BJ$5:BJ286)))</f>
        <v>2000</v>
      </c>
      <c r="BK287" s="57">
        <f ca="1">(-SUMIF(AS:AS,AS287,BG:BG)+SUMIF(AS:AS,AS287,BJ:BJ))*(AP287=100)*AR287</f>
        <v>0</v>
      </c>
      <c r="BL287" s="57">
        <f ca="1">MAX(0,SUMIF(Invoice!A:A,F287,Invoice!B:B)-SUMIF(F:F,F287,BJ:BJ))*(COUNTIF(F:F,F287)=COUNTIF($F$5:F287,F287))</f>
        <v>8000</v>
      </c>
    </row>
    <row r="288" spans="1:64" hidden="1">
      <c r="A288" s="43">
        <v>288</v>
      </c>
      <c r="B288" s="35" t="s">
        <v>147</v>
      </c>
      <c r="C288" s="35" t="s">
        <v>146</v>
      </c>
      <c r="D288" s="35">
        <v>2</v>
      </c>
      <c r="E288" s="35">
        <v>1060</v>
      </c>
      <c r="F288" s="64" t="s">
        <v>743</v>
      </c>
      <c r="G288" s="73" t="s">
        <v>744</v>
      </c>
      <c r="H288" s="35" t="s">
        <v>208</v>
      </c>
      <c r="I288" s="35" t="s">
        <v>54</v>
      </c>
      <c r="J288" s="35">
        <v>100</v>
      </c>
      <c r="K288" s="35" t="s">
        <v>489</v>
      </c>
      <c r="L288" s="35" t="s">
        <v>53</v>
      </c>
      <c r="M288" s="35">
        <v>2</v>
      </c>
      <c r="N288" s="35">
        <v>2</v>
      </c>
      <c r="O288" s="35">
        <v>1</v>
      </c>
      <c r="P288" s="35">
        <v>2</v>
      </c>
      <c r="Q288" s="35">
        <v>1</v>
      </c>
      <c r="R288" s="35" t="s">
        <v>122</v>
      </c>
      <c r="S288" s="35" t="s">
        <v>122</v>
      </c>
      <c r="T288" s="36">
        <v>44901</v>
      </c>
      <c r="U288" s="36">
        <v>2958465</v>
      </c>
      <c r="V288" s="35" t="s">
        <v>282</v>
      </c>
      <c r="W288" s="35" t="s">
        <v>145</v>
      </c>
      <c r="X288" s="35"/>
      <c r="Y288" s="35" t="s">
        <v>143</v>
      </c>
      <c r="Z288" s="35">
        <v>7589154</v>
      </c>
      <c r="AA288" s="35">
        <v>462</v>
      </c>
      <c r="AB288" s="35">
        <v>231</v>
      </c>
      <c r="AC288" s="35"/>
      <c r="AE288" s="51">
        <f>M288/O288</f>
        <v>2</v>
      </c>
      <c r="AG288" s="6" t="str">
        <f>C288</f>
        <v>90MB1BJ0-C1BAY0</v>
      </c>
      <c r="AH288" s="6" t="str">
        <f>IF($D288&lt;=AH$4,"",IF(AND($D287=AH$4,$D288&gt;AH$4),$F287,AH287))</f>
        <v>59MB1BJB-MB0A02S</v>
      </c>
      <c r="AI288" s="6" t="str">
        <f>IF($D288&lt;=AI$4,"",IF(AND($D287=AI$4,$D288&gt;AI$4),$F287,AI287))</f>
        <v/>
      </c>
      <c r="AJ288" s="6" t="str">
        <f>IF($D288&lt;=AJ$4,"",IF(AND($D287=AJ$4,$D288&gt;AJ$4),$F287,AJ287))</f>
        <v/>
      </c>
      <c r="AK288" s="6" t="str">
        <f>IF($D288&lt;=AK$4,"",IF(AND($D287=AK$4,$D288&gt;AK$4),$F287,AK287))</f>
        <v/>
      </c>
      <c r="AL288" s="6" t="str">
        <f>IF($D288&lt;=AL$4,"",IF(AND($D287=AL$4,$D288&gt;AL$4),$F287,AL287))</f>
        <v/>
      </c>
      <c r="AM288" s="6" t="str">
        <f>IF($D288&lt;=AM$4,"",IF(AND($D287=AM$4,$D288&gt;AM$4),$F287,AM287))</f>
        <v/>
      </c>
      <c r="AN288" s="6" t="str">
        <f>IF($D288&lt;=AN$4,"",IF(AND($D287=AN$4,$D288&gt;AN$4),$F287,AN287))</f>
        <v/>
      </c>
      <c r="AO288" s="6" t="str">
        <f>CONCATENATE(AG288," | ",AH288," | ",AI288," | ",AJ288," | ",AK288," | ",AL288," | ",AM288," | ",AN288)</f>
        <v xml:space="preserve">90MB1BJ0-C1BAY0 | 59MB1BJB-MB0A02S |  |  |  |  |  | </v>
      </c>
      <c r="AP288" s="6">
        <f>IF(TRIM(H288)="",100,J288)</f>
        <v>100</v>
      </c>
      <c r="AQ288" s="4"/>
      <c r="AR288" s="6" t="b">
        <f>NOT(TRIM(W288)&lt;&gt;"F")</f>
        <v>1</v>
      </c>
      <c r="AS288" s="6" t="str">
        <f>$B288&amp;" | "&amp;$AO288&amp;" | "&amp;IF(TRIM(H288)="","uniq"&amp;ROW(),TRIM(H288))</f>
        <v>461E | 90MB1BJ0-C1BAY0 | 59MB1BJB-MB0A02S |  |  |  |  |  |  | A6</v>
      </c>
      <c r="AT288" s="63">
        <f>IF(NOT(AR288),IF(TRIM($H288)="","Assembly","Phantom Alt"),VLOOKUP(F288,ZPCS04!B:G,6,0))</f>
        <v>647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>SUMIF(AS:AS,AS288,AP:AP)=100</f>
        <v>1</v>
      </c>
      <c r="AZ288" s="6" t="b">
        <f>SUMIF(AS:AS,AS288,AE:AE)/COUNTIF(AS:AS,AS288)=AE288</f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>C288&amp;" | "&amp;F288</f>
        <v>90MB1BJ0-C1BAY0 | 10G212127114020</v>
      </c>
      <c r="BE288" s="55" t="str">
        <f ca="1">C288&amp;" | "&amp;OFFSET($AF288,0,8-COUNTBLANK($AG288:$AN288))</f>
        <v>90MB1BJ0-C1BAY0 | 59MB1BJB-MB0A02S</v>
      </c>
      <c r="BF288" s="57">
        <f ca="1">IFERROR(VLOOKUP($BE288,$BD$5:$BF287,3,0)*$AE288,VLOOKUP($C288,Demanda!$A:$B,2,0)*$AE288)*IF(AT288="Phantom Alt",$BC288,TRUE)</f>
        <v>2000</v>
      </c>
      <c r="BG288" s="57">
        <f ca="1">BF288*(AP288/100)</f>
        <v>2000</v>
      </c>
      <c r="BH288" s="57">
        <f>SUMIF(Invoice!A:A,F288,Invoice!B:B)</f>
        <v>0</v>
      </c>
      <c r="BI288" s="57">
        <f ca="1">SUMIF(AS:AS,AS288,BG:BG)</f>
        <v>2000</v>
      </c>
      <c r="BJ288" s="57">
        <f ca="1">MIN((BI288-SUMIF($AS$5:AS287,AS288,$BJ$5:BJ287)),MAX(0,BH288-SUMIF($F$5:F287,F288,$BJ$5:BJ287)))</f>
        <v>0</v>
      </c>
      <c r="BK288" s="57">
        <f ca="1">(-SUMIF(AS:AS,AS288,BG:BG)+SUMIF(AS:AS,AS288,BJ:BJ))*(AP288=100)*AR288</f>
        <v>0</v>
      </c>
      <c r="BL288" s="57">
        <f ca="1">MAX(0,SUMIF(Invoice!A:A,F288,Invoice!B:B)-SUMIF(F:F,F288,BJ:BJ))*(COUNTIF(F:F,F288)=COUNTIF($F$5:F288,F288))</f>
        <v>0</v>
      </c>
    </row>
    <row r="289" spans="1:64" hidden="1">
      <c r="A289" s="43">
        <v>289</v>
      </c>
      <c r="B289" s="35" t="s">
        <v>147</v>
      </c>
      <c r="C289" s="35" t="s">
        <v>146</v>
      </c>
      <c r="D289" s="35">
        <v>2</v>
      </c>
      <c r="E289" s="35">
        <v>1060</v>
      </c>
      <c r="F289" s="64" t="s">
        <v>745</v>
      </c>
      <c r="G289" s="73" t="s">
        <v>746</v>
      </c>
      <c r="H289" s="35" t="s">
        <v>208</v>
      </c>
      <c r="I289" s="35" t="s">
        <v>55</v>
      </c>
      <c r="J289" s="35">
        <v>0</v>
      </c>
      <c r="K289" s="35" t="s">
        <v>150</v>
      </c>
      <c r="L289" s="35" t="s">
        <v>53</v>
      </c>
      <c r="M289" s="35">
        <v>2</v>
      </c>
      <c r="N289" s="35"/>
      <c r="O289" s="35">
        <v>1</v>
      </c>
      <c r="P289" s="35">
        <v>2</v>
      </c>
      <c r="Q289" s="35">
        <v>2</v>
      </c>
      <c r="R289" s="35" t="s">
        <v>73</v>
      </c>
      <c r="S289" s="35" t="s">
        <v>73</v>
      </c>
      <c r="T289" s="36">
        <v>44901</v>
      </c>
      <c r="U289" s="36">
        <v>2958465</v>
      </c>
      <c r="V289" s="35" t="s">
        <v>282</v>
      </c>
      <c r="W289" s="35" t="s">
        <v>145</v>
      </c>
      <c r="X289" s="35"/>
      <c r="Y289" s="35" t="s">
        <v>143</v>
      </c>
      <c r="Z289" s="35">
        <v>7589154</v>
      </c>
      <c r="AA289" s="35">
        <v>464</v>
      </c>
      <c r="AB289" s="35">
        <v>232</v>
      </c>
      <c r="AC289" s="35"/>
      <c r="AE289" s="51">
        <f>M289/O289</f>
        <v>2</v>
      </c>
      <c r="AG289" s="6" t="str">
        <f>C289</f>
        <v>90MB1BJ0-C1BAY0</v>
      </c>
      <c r="AH289" s="6" t="str">
        <f>IF($D289&lt;=AH$4,"",IF(AND($D288=AH$4,$D289&gt;AH$4),$F288,AH288))</f>
        <v>59MB1BJB-MB0A02S</v>
      </c>
      <c r="AI289" s="6" t="str">
        <f>IF($D289&lt;=AI$4,"",IF(AND($D288=AI$4,$D289&gt;AI$4),$F288,AI288))</f>
        <v/>
      </c>
      <c r="AJ289" s="6" t="str">
        <f>IF($D289&lt;=AJ$4,"",IF(AND($D288=AJ$4,$D289&gt;AJ$4),$F288,AJ288))</f>
        <v/>
      </c>
      <c r="AK289" s="6" t="str">
        <f>IF($D289&lt;=AK$4,"",IF(AND($D288=AK$4,$D289&gt;AK$4),$F288,AK288))</f>
        <v/>
      </c>
      <c r="AL289" s="6" t="str">
        <f>IF($D289&lt;=AL$4,"",IF(AND($D288=AL$4,$D289&gt;AL$4),$F288,AL288))</f>
        <v/>
      </c>
      <c r="AM289" s="6" t="str">
        <f>IF($D289&lt;=AM$4,"",IF(AND($D288=AM$4,$D289&gt;AM$4),$F288,AM288))</f>
        <v/>
      </c>
      <c r="AN289" s="6" t="str">
        <f>IF($D289&lt;=AN$4,"",IF(AND($D288=AN$4,$D289&gt;AN$4),$F288,AN288))</f>
        <v/>
      </c>
      <c r="AO289" s="6" t="str">
        <f>CONCATENATE(AG289," | ",AH289," | ",AI289," | ",AJ289," | ",AK289," | ",AL289," | ",AM289," | ",AN289)</f>
        <v xml:space="preserve">90MB1BJ0-C1BAY0 | 59MB1BJB-MB0A02S |  |  |  |  |  | </v>
      </c>
      <c r="AP289" s="6">
        <f>IF(TRIM(H289)="",100,J289)</f>
        <v>0</v>
      </c>
      <c r="AQ289" s="4"/>
      <c r="AR289" s="6" t="b">
        <f>NOT(TRIM(W289)&lt;&gt;"F")</f>
        <v>1</v>
      </c>
      <c r="AS289" s="6" t="str">
        <f>$B289&amp;" | "&amp;$AO289&amp;" | "&amp;IF(TRIM(H289)="","uniq"&amp;ROW(),TRIM(H289))</f>
        <v>461E | 90MB1BJ0-C1BAY0 | 59MB1BJB-MB0A02S |  |  |  |  |  |  | A6</v>
      </c>
      <c r="AT289" s="63">
        <f>IF(NOT(AR289),IF(TRIM($H289)="","Assembly","Phantom Alt"),VLOOKUP(F289,ZPCS04!B:G,6,0))</f>
        <v>647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>SUMIF(AS:AS,AS289,AP:AP)=100</f>
        <v>1</v>
      </c>
      <c r="AZ289" s="6" t="b">
        <f>SUMIF(AS:AS,AS289,AE:AE)/COUNTIF(AS:AS,AS289)=AE289</f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>C289&amp;" | "&amp;F289</f>
        <v>90MB1BJ0-C1BAY0 | 10G212127114050</v>
      </c>
      <c r="BE289" s="55" t="str">
        <f ca="1">C289&amp;" | "&amp;OFFSET($AF289,0,8-COUNTBLANK($AG289:$AN289))</f>
        <v>90MB1BJ0-C1BAY0 | 59MB1BJB-MB0A02S</v>
      </c>
      <c r="BF289" s="57">
        <f ca="1">IFERROR(VLOOKUP($BE289,$BD$5:$BF288,3,0)*$AE289,VLOOKUP($C289,Demanda!$A:$B,2,0)*$AE289)*IF(AT289="Phantom Alt",$BC289,TRUE)</f>
        <v>2000</v>
      </c>
      <c r="BG289" s="57">
        <f ca="1">BF289*(AP289/100)</f>
        <v>0</v>
      </c>
      <c r="BH289" s="57">
        <f>SUMIF(Invoice!A:A,F289,Invoice!B:B)</f>
        <v>0</v>
      </c>
      <c r="BI289" s="57">
        <f ca="1">SUMIF(AS:AS,AS289,BG:BG)</f>
        <v>2000</v>
      </c>
      <c r="BJ289" s="57">
        <f ca="1">MIN((BI289-SUMIF($AS$5:AS288,AS289,$BJ$5:BJ288)),MAX(0,BH289-SUMIF($F$5:F288,F289,$BJ$5:BJ288)))</f>
        <v>0</v>
      </c>
      <c r="BK289" s="57">
        <f ca="1">(-SUMIF(AS:AS,AS289,BG:BG)+SUMIF(AS:AS,AS289,BJ:BJ))*(AP289=100)*AR289</f>
        <v>0</v>
      </c>
      <c r="BL289" s="57">
        <f ca="1">MAX(0,SUMIF(Invoice!A:A,F289,Invoice!B:B)-SUMIF(F:F,F289,BJ:BJ))*(COUNTIF(F:F,F289)=COUNTIF($F$5:F289,F289))</f>
        <v>0</v>
      </c>
    </row>
    <row r="290" spans="1:64" hidden="1">
      <c r="A290" s="43">
        <v>290</v>
      </c>
      <c r="B290" s="35" t="s">
        <v>147</v>
      </c>
      <c r="C290" s="35" t="s">
        <v>146</v>
      </c>
      <c r="D290" s="35">
        <v>2</v>
      </c>
      <c r="E290" s="35">
        <v>1070</v>
      </c>
      <c r="F290" s="64" t="s">
        <v>747</v>
      </c>
      <c r="G290" s="73" t="s">
        <v>748</v>
      </c>
      <c r="H290" s="35" t="s">
        <v>213</v>
      </c>
      <c r="I290" s="35" t="s">
        <v>54</v>
      </c>
      <c r="J290" s="35">
        <v>100</v>
      </c>
      <c r="K290" s="35" t="s">
        <v>489</v>
      </c>
      <c r="L290" s="35" t="s">
        <v>53</v>
      </c>
      <c r="M290" s="35">
        <v>1</v>
      </c>
      <c r="N290" s="35">
        <v>1</v>
      </c>
      <c r="O290" s="35">
        <v>1</v>
      </c>
      <c r="P290" s="35">
        <v>2</v>
      </c>
      <c r="Q290" s="35">
        <v>1</v>
      </c>
      <c r="R290" s="35" t="s">
        <v>122</v>
      </c>
      <c r="S290" s="35" t="s">
        <v>122</v>
      </c>
      <c r="T290" s="36">
        <v>44901</v>
      </c>
      <c r="U290" s="36">
        <v>2958465</v>
      </c>
      <c r="V290" s="35" t="s">
        <v>282</v>
      </c>
      <c r="W290" s="35" t="s">
        <v>145</v>
      </c>
      <c r="X290" s="35"/>
      <c r="Y290" s="35" t="s">
        <v>143</v>
      </c>
      <c r="Z290" s="35">
        <v>7589154</v>
      </c>
      <c r="AA290" s="35">
        <v>468</v>
      </c>
      <c r="AB290" s="35">
        <v>234</v>
      </c>
      <c r="AC290" s="35"/>
      <c r="AE290" s="51">
        <f>M290/O290</f>
        <v>1</v>
      </c>
      <c r="AG290" s="6" t="str">
        <f>C290</f>
        <v>90MB1BJ0-C1BAY0</v>
      </c>
      <c r="AH290" s="6" t="str">
        <f>IF($D290&lt;=AH$4,"",IF(AND($D289=AH$4,$D290&gt;AH$4),$F289,AH289))</f>
        <v>59MB1BJB-MB0A02S</v>
      </c>
      <c r="AI290" s="6" t="str">
        <f>IF($D290&lt;=AI$4,"",IF(AND($D289=AI$4,$D290&gt;AI$4),$F289,AI289))</f>
        <v/>
      </c>
      <c r="AJ290" s="6" t="str">
        <f>IF($D290&lt;=AJ$4,"",IF(AND($D289=AJ$4,$D290&gt;AJ$4),$F289,AJ289))</f>
        <v/>
      </c>
      <c r="AK290" s="6" t="str">
        <f>IF($D290&lt;=AK$4,"",IF(AND($D289=AK$4,$D290&gt;AK$4),$F289,AK289))</f>
        <v/>
      </c>
      <c r="AL290" s="6" t="str">
        <f>IF($D290&lt;=AL$4,"",IF(AND($D289=AL$4,$D290&gt;AL$4),$F289,AL289))</f>
        <v/>
      </c>
      <c r="AM290" s="6" t="str">
        <f>IF($D290&lt;=AM$4,"",IF(AND($D289=AM$4,$D290&gt;AM$4),$F289,AM289))</f>
        <v/>
      </c>
      <c r="AN290" s="6" t="str">
        <f>IF($D290&lt;=AN$4,"",IF(AND($D289=AN$4,$D290&gt;AN$4),$F289,AN289))</f>
        <v/>
      </c>
      <c r="AO290" s="6" t="str">
        <f>CONCATENATE(AG290," | ",AH290," | ",AI290," | ",AJ290," | ",AK290," | ",AL290," | ",AM290," | ",AN290)</f>
        <v xml:space="preserve">90MB1BJ0-C1BAY0 | 59MB1BJB-MB0A02S |  |  |  |  |  | </v>
      </c>
      <c r="AP290" s="6">
        <f>IF(TRIM(H290)="",100,J290)</f>
        <v>100</v>
      </c>
      <c r="AQ290" s="4"/>
      <c r="AR290" s="6" t="b">
        <f>NOT(TRIM(W290)&lt;&gt;"F")</f>
        <v>1</v>
      </c>
      <c r="AS290" s="6" t="str">
        <f>$B290&amp;" | "&amp;$AO290&amp;" | "&amp;IF(TRIM(H290)="","uniq"&amp;ROW(),TRIM(H290))</f>
        <v>461E | 90MB1BJ0-C1BAY0 | 59MB1BJB-MB0A02S |  |  |  |  |  |  | A7</v>
      </c>
      <c r="AT290" s="63">
        <f>IF(NOT(AR290),IF(TRIM($H290)="","Assembly","Phantom Alt"),VLOOKUP(F290,ZPCS04!B:G,6,0))</f>
        <v>649</v>
      </c>
      <c r="AU290" s="7"/>
      <c r="AV290" s="38">
        <f ca="1">IF(TRIM($W290)="F",OFFSET($A$5,MATCH($AS290,$AS$5:$AS290,0)-1,0),$A290)</f>
        <v>290</v>
      </c>
      <c r="AW290" s="38">
        <f ca="1">IFERROR(OFFSET(ZPCS04!$A$1,MATCH(F290,ZPCS04!B:B,0)-1,0),100)</f>
        <v>1.9999999000000002</v>
      </c>
      <c r="AX290" s="7"/>
      <c r="AY290" s="6" t="b">
        <f>SUMIF(AS:AS,AS290,AP:AP)=100</f>
        <v>1</v>
      </c>
      <c r="AZ290" s="6" t="b">
        <f>SUMIF(AS:AS,AS290,AE:AE)/COUNTIF(AS:AS,AS290)=AE290</f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>C290&amp;" | "&amp;F290</f>
        <v>90MB1BJ0-C1BAY0 | 10G212130214010</v>
      </c>
      <c r="BE290" s="55" t="str">
        <f ca="1">C290&amp;" | "&amp;OFFSET($AF290,0,8-COUNTBLANK($AG290:$AN290))</f>
        <v>90MB1BJ0-C1BAY0 | 59MB1BJB-MB0A02S</v>
      </c>
      <c r="BF290" s="57">
        <f ca="1">IFERROR(VLOOKUP($BE290,$BD$5:$BF289,3,0)*$AE290,VLOOKUP($C290,Demanda!$A:$B,2,0)*$AE290)*IF(AT290="Phantom Alt",$BC290,TRUE)</f>
        <v>1000</v>
      </c>
      <c r="BG290" s="57">
        <f ca="1">BF290*(AP290/100)</f>
        <v>1000</v>
      </c>
      <c r="BH290" s="57">
        <f>SUMIF(Invoice!A:A,F290,Invoice!B:B)</f>
        <v>10000</v>
      </c>
      <c r="BI290" s="57">
        <f ca="1">SUMIF(AS:AS,AS290,BG:BG)</f>
        <v>1000</v>
      </c>
      <c r="BJ290" s="57">
        <f ca="1">MIN((BI290-SUMIF($AS$5:AS289,AS290,$BJ$5:BJ289)),MAX(0,BH290-SUMIF($F$5:F289,F290,$BJ$5:BJ289)))</f>
        <v>1000</v>
      </c>
      <c r="BK290" s="57">
        <f ca="1">(-SUMIF(AS:AS,AS290,BG:BG)+SUMIF(AS:AS,AS290,BJ:BJ))*(AP290=100)*AR290</f>
        <v>0</v>
      </c>
      <c r="BL290" s="57">
        <f ca="1">MAX(0,SUMIF(Invoice!A:A,F290,Invoice!B:B)-SUMIF(F:F,F290,BJ:BJ))*(COUNTIF(F:F,F290)=COUNTIF($F$5:F290,F290))</f>
        <v>9000</v>
      </c>
    </row>
    <row r="291" spans="1:64" hidden="1">
      <c r="A291" s="43">
        <v>291</v>
      </c>
      <c r="B291" s="35" t="s">
        <v>147</v>
      </c>
      <c r="C291" s="35" t="s">
        <v>146</v>
      </c>
      <c r="D291" s="35">
        <v>2</v>
      </c>
      <c r="E291" s="35">
        <v>1070</v>
      </c>
      <c r="F291" s="64" t="s">
        <v>749</v>
      </c>
      <c r="G291" s="73" t="s">
        <v>750</v>
      </c>
      <c r="H291" s="35" t="s">
        <v>213</v>
      </c>
      <c r="I291" s="35" t="s">
        <v>55</v>
      </c>
      <c r="J291" s="35">
        <v>0</v>
      </c>
      <c r="K291" s="35" t="s">
        <v>489</v>
      </c>
      <c r="L291" s="35" t="s">
        <v>53</v>
      </c>
      <c r="M291" s="35">
        <v>1</v>
      </c>
      <c r="N291" s="35"/>
      <c r="O291" s="35">
        <v>1</v>
      </c>
      <c r="P291" s="35">
        <v>2</v>
      </c>
      <c r="Q291" s="35">
        <v>3</v>
      </c>
      <c r="R291" s="35" t="s">
        <v>122</v>
      </c>
      <c r="S291" s="35" t="s">
        <v>122</v>
      </c>
      <c r="T291" s="36">
        <v>44901</v>
      </c>
      <c r="U291" s="36">
        <v>2958465</v>
      </c>
      <c r="V291" s="35" t="s">
        <v>282</v>
      </c>
      <c r="W291" s="35" t="s">
        <v>145</v>
      </c>
      <c r="X291" s="35"/>
      <c r="Y291" s="35" t="s">
        <v>143</v>
      </c>
      <c r="Z291" s="35">
        <v>7589154</v>
      </c>
      <c r="AA291" s="35">
        <v>472</v>
      </c>
      <c r="AB291" s="35">
        <v>236</v>
      </c>
      <c r="AC291" s="35"/>
      <c r="AE291" s="51">
        <f>M291/O291</f>
        <v>1</v>
      </c>
      <c r="AG291" s="6" t="str">
        <f>C291</f>
        <v>90MB1BJ0-C1BAY0</v>
      </c>
      <c r="AH291" s="6" t="str">
        <f>IF($D291&lt;=AH$4,"",IF(AND($D290=AH$4,$D291&gt;AH$4),$F290,AH290))</f>
        <v>59MB1BJB-MB0A02S</v>
      </c>
      <c r="AI291" s="6" t="str">
        <f>IF($D291&lt;=AI$4,"",IF(AND($D290=AI$4,$D291&gt;AI$4),$F290,AI290))</f>
        <v/>
      </c>
      <c r="AJ291" s="6" t="str">
        <f>IF($D291&lt;=AJ$4,"",IF(AND($D290=AJ$4,$D291&gt;AJ$4),$F290,AJ290))</f>
        <v/>
      </c>
      <c r="AK291" s="6" t="str">
        <f>IF($D291&lt;=AK$4,"",IF(AND($D290=AK$4,$D291&gt;AK$4),$F290,AK290))</f>
        <v/>
      </c>
      <c r="AL291" s="6" t="str">
        <f>IF($D291&lt;=AL$4,"",IF(AND($D290=AL$4,$D291&gt;AL$4),$F290,AL290))</f>
        <v/>
      </c>
      <c r="AM291" s="6" t="str">
        <f>IF($D291&lt;=AM$4,"",IF(AND($D290=AM$4,$D291&gt;AM$4),$F290,AM290))</f>
        <v/>
      </c>
      <c r="AN291" s="6" t="str">
        <f>IF($D291&lt;=AN$4,"",IF(AND($D290=AN$4,$D291&gt;AN$4),$F290,AN290))</f>
        <v/>
      </c>
      <c r="AO291" s="6" t="str">
        <f>CONCATENATE(AG291," | ",AH291," | ",AI291," | ",AJ291," | ",AK291," | ",AL291," | ",AM291," | ",AN291)</f>
        <v xml:space="preserve">90MB1BJ0-C1BAY0 | 59MB1BJB-MB0A02S |  |  |  |  |  | </v>
      </c>
      <c r="AP291" s="6">
        <f>IF(TRIM(H291)="",100,J291)</f>
        <v>0</v>
      </c>
      <c r="AQ291" s="4"/>
      <c r="AR291" s="6" t="b">
        <f>NOT(TRIM(W291)&lt;&gt;"F")</f>
        <v>1</v>
      </c>
      <c r="AS291" s="6" t="str">
        <f>$B291&amp;" | "&amp;$AO291&amp;" | "&amp;IF(TRIM(H291)="","uniq"&amp;ROW(),TRIM(H291))</f>
        <v>461E | 90MB1BJ0-C1BAY0 | 59MB1BJB-MB0A02S |  |  |  |  |  |  | A7</v>
      </c>
      <c r="AT291" s="63">
        <f>IF(NOT(AR291),IF(TRIM($H291)="","Assembly","Phantom Alt"),VLOOKUP(F291,ZPCS04!B:G,6,0))</f>
        <v>649</v>
      </c>
      <c r="AU291" s="7"/>
      <c r="AV291" s="38">
        <f ca="1">IF(TRIM($W291)="F",OFFSET($A$5,MATCH($AS291,$AS$5:$AS291,0)-1,0),$A291)</f>
        <v>290</v>
      </c>
      <c r="AW291" s="38">
        <f ca="1">IFERROR(OFFSET(ZPCS04!$A$1,MATCH(F291,ZPCS04!B:B,0)-1,0),100)</f>
        <v>2</v>
      </c>
      <c r="AX291" s="7"/>
      <c r="AY291" s="6" t="b">
        <f>SUMIF(AS:AS,AS291,AP:AP)=100</f>
        <v>1</v>
      </c>
      <c r="AZ291" s="6" t="b">
        <f>SUMIF(AS:AS,AS291,AE:AE)/COUNTIF(AS:AS,AS291)=AE291</f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>C291&amp;" | "&amp;F291</f>
        <v>90MB1BJ0-C1BAY0 | 10G212130214020</v>
      </c>
      <c r="BE291" s="55" t="str">
        <f ca="1">C291&amp;" | "&amp;OFFSET($AF291,0,8-COUNTBLANK($AG291:$AN291))</f>
        <v>90MB1BJ0-C1BAY0 | 59MB1BJB-MB0A02S</v>
      </c>
      <c r="BF291" s="57">
        <f ca="1">IFERROR(VLOOKUP($BE291,$BD$5:$BF290,3,0)*$AE291,VLOOKUP($C291,Demanda!$A:$B,2,0)*$AE291)*IF(AT291="Phantom Alt",$BC291,TRUE)</f>
        <v>1000</v>
      </c>
      <c r="BG291" s="57">
        <f ca="1">BF291*(AP291/100)</f>
        <v>0</v>
      </c>
      <c r="BH291" s="57">
        <f>SUMIF(Invoice!A:A,F291,Invoice!B:B)</f>
        <v>0</v>
      </c>
      <c r="BI291" s="57">
        <f ca="1">SUMIF(AS:AS,AS291,BG:BG)</f>
        <v>1000</v>
      </c>
      <c r="BJ291" s="57">
        <f ca="1">MIN((BI291-SUMIF($AS$5:AS290,AS291,$BJ$5:BJ290)),MAX(0,BH291-SUMIF($F$5:F290,F291,$BJ$5:BJ290)))</f>
        <v>0</v>
      </c>
      <c r="BK291" s="57">
        <f ca="1">(-SUMIF(AS:AS,AS291,BG:BG)+SUMIF(AS:AS,AS291,BJ:BJ))*(AP291=100)*AR291</f>
        <v>0</v>
      </c>
      <c r="BL291" s="57">
        <f ca="1">MAX(0,SUMIF(Invoice!A:A,F291,Invoice!B:B)-SUMIF(F:F,F291,BJ:BJ))*(COUNTIF(F:F,F291)=COUNTIF($F$5:F291,F291))</f>
        <v>0</v>
      </c>
    </row>
    <row r="292" spans="1:64" hidden="1">
      <c r="A292" s="43">
        <v>292</v>
      </c>
      <c r="B292" s="35" t="s">
        <v>147</v>
      </c>
      <c r="C292" s="35" t="s">
        <v>146</v>
      </c>
      <c r="D292" s="35">
        <v>2</v>
      </c>
      <c r="E292" s="35">
        <v>1070</v>
      </c>
      <c r="F292" s="64" t="s">
        <v>751</v>
      </c>
      <c r="G292" s="73" t="s">
        <v>752</v>
      </c>
      <c r="H292" s="35" t="s">
        <v>213</v>
      </c>
      <c r="I292" s="35" t="s">
        <v>55</v>
      </c>
      <c r="J292" s="35">
        <v>0</v>
      </c>
      <c r="K292" s="35" t="s">
        <v>150</v>
      </c>
      <c r="L292" s="35" t="s">
        <v>53</v>
      </c>
      <c r="M292" s="35">
        <v>1</v>
      </c>
      <c r="N292" s="35"/>
      <c r="O292" s="35">
        <v>1</v>
      </c>
      <c r="P292" s="35">
        <v>2</v>
      </c>
      <c r="Q292" s="35">
        <v>2</v>
      </c>
      <c r="R292" s="35" t="s">
        <v>73</v>
      </c>
      <c r="S292" s="35" t="s">
        <v>73</v>
      </c>
      <c r="T292" s="36">
        <v>44901</v>
      </c>
      <c r="U292" s="36">
        <v>2958465</v>
      </c>
      <c r="V292" s="35" t="s">
        <v>282</v>
      </c>
      <c r="W292" s="35" t="s">
        <v>145</v>
      </c>
      <c r="X292" s="35"/>
      <c r="Y292" s="35" t="s">
        <v>143</v>
      </c>
      <c r="Z292" s="35">
        <v>7589154</v>
      </c>
      <c r="AA292" s="35">
        <v>470</v>
      </c>
      <c r="AB292" s="35">
        <v>235</v>
      </c>
      <c r="AC292" s="35"/>
      <c r="AE292" s="51">
        <f>M292/O292</f>
        <v>1</v>
      </c>
      <c r="AG292" s="6" t="str">
        <f>C292</f>
        <v>90MB1BJ0-C1BAY0</v>
      </c>
      <c r="AH292" s="6" t="str">
        <f>IF($D292&lt;=AH$4,"",IF(AND($D291=AH$4,$D292&gt;AH$4),$F291,AH291))</f>
        <v>59MB1BJB-MB0A02S</v>
      </c>
      <c r="AI292" s="6" t="str">
        <f>IF($D292&lt;=AI$4,"",IF(AND($D291=AI$4,$D292&gt;AI$4),$F291,AI291))</f>
        <v/>
      </c>
      <c r="AJ292" s="6" t="str">
        <f>IF($D292&lt;=AJ$4,"",IF(AND($D291=AJ$4,$D292&gt;AJ$4),$F291,AJ291))</f>
        <v/>
      </c>
      <c r="AK292" s="6" t="str">
        <f>IF($D292&lt;=AK$4,"",IF(AND($D291=AK$4,$D292&gt;AK$4),$F291,AK291))</f>
        <v/>
      </c>
      <c r="AL292" s="6" t="str">
        <f>IF($D292&lt;=AL$4,"",IF(AND($D291=AL$4,$D292&gt;AL$4),$F291,AL291))</f>
        <v/>
      </c>
      <c r="AM292" s="6" t="str">
        <f>IF($D292&lt;=AM$4,"",IF(AND($D291=AM$4,$D292&gt;AM$4),$F291,AM291))</f>
        <v/>
      </c>
      <c r="AN292" s="6" t="str">
        <f>IF($D292&lt;=AN$4,"",IF(AND($D291=AN$4,$D292&gt;AN$4),$F291,AN291))</f>
        <v/>
      </c>
      <c r="AO292" s="6" t="str">
        <f>CONCATENATE(AG292," | ",AH292," | ",AI292," | ",AJ292," | ",AK292," | ",AL292," | ",AM292," | ",AN292)</f>
        <v xml:space="preserve">90MB1BJ0-C1BAY0 | 59MB1BJB-MB0A02S |  |  |  |  |  | </v>
      </c>
      <c r="AP292" s="6">
        <f>IF(TRIM(H292)="",100,J292)</f>
        <v>0</v>
      </c>
      <c r="AQ292" s="4"/>
      <c r="AR292" s="6" t="b">
        <f>NOT(TRIM(W292)&lt;&gt;"F")</f>
        <v>1</v>
      </c>
      <c r="AS292" s="6" t="str">
        <f>$B292&amp;" | "&amp;$AO292&amp;" | "&amp;IF(TRIM(H292)="","uniq"&amp;ROW(),TRIM(H292))</f>
        <v>461E | 90MB1BJ0-C1BAY0 | 59MB1BJB-MB0A02S |  |  |  |  |  |  | A7</v>
      </c>
      <c r="AT292" s="63">
        <f>IF(NOT(AR292),IF(TRIM($H292)="","Assembly","Phantom Alt"),VLOOKUP(F292,ZPCS04!B:G,6,0))</f>
        <v>649</v>
      </c>
      <c r="AU292" s="7"/>
      <c r="AV292" s="38">
        <f ca="1">IF(TRIM($W292)="F",OFFSET($A$5,MATCH($AS292,$AS$5:$AS292,0)-1,0),$A292)</f>
        <v>290</v>
      </c>
      <c r="AW292" s="38">
        <f ca="1">IFERROR(OFFSET(ZPCS04!$A$1,MATCH(F292,ZPCS04!B:B,0)-1,0),100)</f>
        <v>2</v>
      </c>
      <c r="AX292" s="7"/>
      <c r="AY292" s="6" t="b">
        <f>SUMIF(AS:AS,AS292,AP:AP)=100</f>
        <v>1</v>
      </c>
      <c r="AZ292" s="6" t="b">
        <f>SUMIF(AS:AS,AS292,AE:AE)/COUNTIF(AS:AS,AS292)=AE292</f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>C292&amp;" | "&amp;F292</f>
        <v>90MB1BJ0-C1BAY0 | 10G212130214050</v>
      </c>
      <c r="BE292" s="55" t="str">
        <f ca="1">C292&amp;" | "&amp;OFFSET($AF292,0,8-COUNTBLANK($AG292:$AN292))</f>
        <v>90MB1BJ0-C1BAY0 | 59MB1BJB-MB0A02S</v>
      </c>
      <c r="BF292" s="57">
        <f ca="1">IFERROR(VLOOKUP($BE292,$BD$5:$BF291,3,0)*$AE292,VLOOKUP($C292,Demanda!$A:$B,2,0)*$AE292)*IF(AT292="Phantom Alt",$BC292,TRUE)</f>
        <v>1000</v>
      </c>
      <c r="BG292" s="57">
        <f ca="1">BF292*(AP292/100)</f>
        <v>0</v>
      </c>
      <c r="BH292" s="57">
        <f>SUMIF(Invoice!A:A,F292,Invoice!B:B)</f>
        <v>0</v>
      </c>
      <c r="BI292" s="57">
        <f ca="1">SUMIF(AS:AS,AS292,BG:BG)</f>
        <v>1000</v>
      </c>
      <c r="BJ292" s="57">
        <f ca="1">MIN((BI292-SUMIF($AS$5:AS291,AS292,$BJ$5:BJ291)),MAX(0,BH292-SUMIF($F$5:F291,F292,$BJ$5:BJ291)))</f>
        <v>0</v>
      </c>
      <c r="BK292" s="57">
        <f ca="1">(-SUMIF(AS:AS,AS292,BG:BG)+SUMIF(AS:AS,AS292,BJ:BJ))*(AP292=100)*AR292</f>
        <v>0</v>
      </c>
      <c r="BL292" s="57">
        <f ca="1">MAX(0,SUMIF(Invoice!A:A,F292,Invoice!B:B)-SUMIF(F:F,F292,BJ:BJ))*(COUNTIF(F:F,F292)=COUNTIF($F$5:F292,F292))</f>
        <v>0</v>
      </c>
    </row>
    <row r="293" spans="1:64" hidden="1">
      <c r="A293" s="43">
        <v>294</v>
      </c>
      <c r="B293" s="35" t="s">
        <v>147</v>
      </c>
      <c r="C293" s="35" t="s">
        <v>146</v>
      </c>
      <c r="D293" s="35">
        <v>2</v>
      </c>
      <c r="E293" s="35">
        <v>1080</v>
      </c>
      <c r="F293" s="64" t="s">
        <v>755</v>
      </c>
      <c r="G293" s="73" t="s">
        <v>756</v>
      </c>
      <c r="H293" s="35" t="s">
        <v>219</v>
      </c>
      <c r="I293" s="35" t="s">
        <v>55</v>
      </c>
      <c r="J293" s="35">
        <v>0</v>
      </c>
      <c r="K293" s="35" t="s">
        <v>489</v>
      </c>
      <c r="L293" s="35" t="s">
        <v>53</v>
      </c>
      <c r="M293" s="35">
        <v>1</v>
      </c>
      <c r="N293" s="35"/>
      <c r="O293" s="35">
        <v>1</v>
      </c>
      <c r="P293" s="35">
        <v>2</v>
      </c>
      <c r="Q293" s="35">
        <v>3</v>
      </c>
      <c r="R293" s="35" t="s">
        <v>122</v>
      </c>
      <c r="S293" s="35" t="s">
        <v>122</v>
      </c>
      <c r="T293" s="36">
        <v>44901</v>
      </c>
      <c r="U293" s="36">
        <v>2958465</v>
      </c>
      <c r="V293" s="35" t="s">
        <v>282</v>
      </c>
      <c r="W293" s="35" t="s">
        <v>145</v>
      </c>
      <c r="X293" s="35"/>
      <c r="Y293" s="35" t="s">
        <v>143</v>
      </c>
      <c r="Z293" s="35">
        <v>7589154</v>
      </c>
      <c r="AA293" s="35">
        <v>478</v>
      </c>
      <c r="AB293" s="35">
        <v>239</v>
      </c>
      <c r="AC293" s="35"/>
      <c r="AE293" s="51">
        <f>M293/O293</f>
        <v>1</v>
      </c>
      <c r="AG293" s="6" t="str">
        <f>C293</f>
        <v>90MB1BJ0-C1BAY0</v>
      </c>
      <c r="AH293" s="6" t="str">
        <f>IF($D293&lt;=AH$4,"",IF(AND($D292=AH$4,$D293&gt;AH$4),$F292,AH292))</f>
        <v>59MB1BJB-MB0A02S</v>
      </c>
      <c r="AI293" s="6" t="str">
        <f>IF($D293&lt;=AI$4,"",IF(AND($D292=AI$4,$D293&gt;AI$4),$F292,AI292))</f>
        <v/>
      </c>
      <c r="AJ293" s="6" t="str">
        <f>IF($D293&lt;=AJ$4,"",IF(AND($D292=AJ$4,$D293&gt;AJ$4),$F292,AJ292))</f>
        <v/>
      </c>
      <c r="AK293" s="6" t="str">
        <f>IF($D293&lt;=AK$4,"",IF(AND($D292=AK$4,$D293&gt;AK$4),$F292,AK292))</f>
        <v/>
      </c>
      <c r="AL293" s="6" t="str">
        <f>IF($D293&lt;=AL$4,"",IF(AND($D292=AL$4,$D293&gt;AL$4),$F292,AL292))</f>
        <v/>
      </c>
      <c r="AM293" s="6" t="str">
        <f>IF($D293&lt;=AM$4,"",IF(AND($D292=AM$4,$D293&gt;AM$4),$F292,AM292))</f>
        <v/>
      </c>
      <c r="AN293" s="6" t="str">
        <f>IF($D293&lt;=AN$4,"",IF(AND($D292=AN$4,$D293&gt;AN$4),$F292,AN292))</f>
        <v/>
      </c>
      <c r="AO293" s="6" t="str">
        <f>CONCATENATE(AG293," | ",AH293," | ",AI293," | ",AJ293," | ",AK293," | ",AL293," | ",AM293," | ",AN293)</f>
        <v xml:space="preserve">90MB1BJ0-C1BAY0 | 59MB1BJB-MB0A02S |  |  |  |  |  | </v>
      </c>
      <c r="AP293" s="6">
        <f>IF(TRIM(H293)="",100,J293)</f>
        <v>0</v>
      </c>
      <c r="AQ293" s="4"/>
      <c r="AR293" s="6" t="b">
        <f>NOT(TRIM(W293)&lt;&gt;"F")</f>
        <v>1</v>
      </c>
      <c r="AS293" s="6" t="str">
        <f>$B293&amp;" | "&amp;$AO293&amp;" | "&amp;IF(TRIM(H293)="","uniq"&amp;ROW(),TRIM(H293))</f>
        <v>461E | 90MB1BJ0-C1BAY0 | 59MB1BJB-MB0A02S |  |  |  |  |  |  | A8</v>
      </c>
      <c r="AT293" s="63">
        <f>IF(NOT(AR293),IF(TRIM($H293)="","Assembly","Phantom Alt"),VLOOKUP(F293,ZPCS04!B:G,6,0))</f>
        <v>832</v>
      </c>
      <c r="AU293" s="7"/>
      <c r="AV293" s="38">
        <f ca="1">IF(TRIM($W293)="F",OFFSET($A$5,MATCH($AS293,$AS$5:$AS293,0)-1,0),$A293)</f>
        <v>294</v>
      </c>
      <c r="AW293" s="38">
        <f ca="1">IFERROR(OFFSET(ZPCS04!$A$1,MATCH(F293,ZPCS04!B:B,0)-1,0),100)</f>
        <v>1.9999999000000002</v>
      </c>
      <c r="AX293" s="7"/>
      <c r="AY293" s="6" t="b">
        <f>SUMIF(AS:AS,AS293,AP:AP)=100</f>
        <v>1</v>
      </c>
      <c r="AZ293" s="6" t="b">
        <f>SUMIF(AS:AS,AS293,AE:AE)/COUNTIF(AS:AS,AS293)=AE293</f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>C293&amp;" | "&amp;F293</f>
        <v>90MB1BJ0-C1BAY0 | 10G212150214020</v>
      </c>
      <c r="BE293" s="55" t="str">
        <f ca="1">C293&amp;" | "&amp;OFFSET($AF293,0,8-COUNTBLANK($AG293:$AN293))</f>
        <v>90MB1BJ0-C1BAY0 | 59MB1BJB-MB0A02S</v>
      </c>
      <c r="BF293" s="57">
        <f ca="1">IFERROR(VLOOKUP($BE293,$BD$5:$BF292,3,0)*$AE293,VLOOKUP($C293,Demanda!$A:$B,2,0)*$AE293)*IF(AT293="Phantom Alt",$BC293,TRUE)</f>
        <v>1000</v>
      </c>
      <c r="BG293" s="57">
        <f ca="1">BF293*(AP293/100)</f>
        <v>0</v>
      </c>
      <c r="BH293" s="57">
        <f>SUMIF(Invoice!A:A,F293,Invoice!B:B)</f>
        <v>10000</v>
      </c>
      <c r="BI293" s="57">
        <f ca="1">SUMIF(AS:AS,AS293,BG:BG)</f>
        <v>1000</v>
      </c>
      <c r="BJ293" s="57">
        <f ca="1">MIN((BI293-SUMIF($AS$5:AS292,AS293,$BJ$5:BJ292)),MAX(0,BH293-SUMIF($F$5:F292,F293,$BJ$5:BJ292)))</f>
        <v>1000</v>
      </c>
      <c r="BK293" s="57">
        <f ca="1">(-SUMIF(AS:AS,AS293,BG:BG)+SUMIF(AS:AS,AS293,BJ:BJ))*(AP293=100)*AR293</f>
        <v>0</v>
      </c>
      <c r="BL293" s="57">
        <f ca="1">MAX(0,SUMIF(Invoice!A:A,F293,Invoice!B:B)-SUMIF(F:F,F293,BJ:BJ))*(COUNTIF(F:F,F293)=COUNTIF($F$5:F293,F293))</f>
        <v>9000</v>
      </c>
    </row>
    <row r="294" spans="1:64" hidden="1">
      <c r="A294" s="43">
        <v>293</v>
      </c>
      <c r="B294" s="35" t="s">
        <v>147</v>
      </c>
      <c r="C294" s="35" t="s">
        <v>146</v>
      </c>
      <c r="D294" s="35">
        <v>2</v>
      </c>
      <c r="E294" s="35">
        <v>1080</v>
      </c>
      <c r="F294" s="64" t="s">
        <v>753</v>
      </c>
      <c r="G294" s="73" t="s">
        <v>754</v>
      </c>
      <c r="H294" s="35" t="s">
        <v>219</v>
      </c>
      <c r="I294" s="35" t="s">
        <v>55</v>
      </c>
      <c r="J294" s="35">
        <v>0</v>
      </c>
      <c r="K294" s="35" t="s">
        <v>489</v>
      </c>
      <c r="L294" s="35" t="s">
        <v>53</v>
      </c>
      <c r="M294" s="35">
        <v>1</v>
      </c>
      <c r="N294" s="35"/>
      <c r="O294" s="35">
        <v>1</v>
      </c>
      <c r="P294" s="35">
        <v>2</v>
      </c>
      <c r="Q294" s="35">
        <v>2</v>
      </c>
      <c r="R294" s="35" t="s">
        <v>122</v>
      </c>
      <c r="S294" s="35" t="s">
        <v>122</v>
      </c>
      <c r="T294" s="36">
        <v>44901</v>
      </c>
      <c r="U294" s="36">
        <v>2958465</v>
      </c>
      <c r="V294" s="35" t="s">
        <v>282</v>
      </c>
      <c r="W294" s="35" t="s">
        <v>145</v>
      </c>
      <c r="X294" s="35"/>
      <c r="Y294" s="35" t="s">
        <v>143</v>
      </c>
      <c r="Z294" s="35">
        <v>7589154</v>
      </c>
      <c r="AA294" s="35">
        <v>476</v>
      </c>
      <c r="AB294" s="35">
        <v>238</v>
      </c>
      <c r="AC294" s="35"/>
      <c r="AE294" s="51">
        <f>M294/O294</f>
        <v>1</v>
      </c>
      <c r="AG294" s="6" t="str">
        <f>C294</f>
        <v>90MB1BJ0-C1BAY0</v>
      </c>
      <c r="AH294" s="6" t="str">
        <f>IF($D294&lt;=AH$4,"",IF(AND($D293=AH$4,$D294&gt;AH$4),$F293,AH293))</f>
        <v>59MB1BJB-MB0A02S</v>
      </c>
      <c r="AI294" s="6" t="str">
        <f>IF($D294&lt;=AI$4,"",IF(AND($D293=AI$4,$D294&gt;AI$4),$F293,AI293))</f>
        <v/>
      </c>
      <c r="AJ294" s="6" t="str">
        <f>IF($D294&lt;=AJ$4,"",IF(AND($D293=AJ$4,$D294&gt;AJ$4),$F293,AJ293))</f>
        <v/>
      </c>
      <c r="AK294" s="6" t="str">
        <f>IF($D294&lt;=AK$4,"",IF(AND($D293=AK$4,$D294&gt;AK$4),$F293,AK293))</f>
        <v/>
      </c>
      <c r="AL294" s="6" t="str">
        <f>IF($D294&lt;=AL$4,"",IF(AND($D293=AL$4,$D294&gt;AL$4),$F293,AL293))</f>
        <v/>
      </c>
      <c r="AM294" s="6" t="str">
        <f>IF($D294&lt;=AM$4,"",IF(AND($D293=AM$4,$D294&gt;AM$4),$F293,AM293))</f>
        <v/>
      </c>
      <c r="AN294" s="6" t="str">
        <f>IF($D294&lt;=AN$4,"",IF(AND($D293=AN$4,$D294&gt;AN$4),$F293,AN293))</f>
        <v/>
      </c>
      <c r="AO294" s="6" t="str">
        <f>CONCATENATE(AG294," | ",AH294," | ",AI294," | ",AJ294," | ",AK294," | ",AL294," | ",AM294," | ",AN294)</f>
        <v xml:space="preserve">90MB1BJ0-C1BAY0 | 59MB1BJB-MB0A02S |  |  |  |  |  | </v>
      </c>
      <c r="AP294" s="6">
        <f>IF(TRIM(H294)="",100,J294)</f>
        <v>0</v>
      </c>
      <c r="AQ294" s="4"/>
      <c r="AR294" s="6" t="b">
        <f>NOT(TRIM(W294)&lt;&gt;"F")</f>
        <v>1</v>
      </c>
      <c r="AS294" s="6" t="str">
        <f>$B294&amp;" | "&amp;$AO294&amp;" | "&amp;IF(TRIM(H294)="","uniq"&amp;ROW(),TRIM(H294))</f>
        <v>461E | 90MB1BJ0-C1BAY0 | 59MB1BJB-MB0A02S |  |  |  |  |  |  | A8</v>
      </c>
      <c r="AT294" s="63">
        <f>IF(NOT(AR294),IF(TRIM($H294)="","Assembly","Phantom Alt"),VLOOKUP(F294,ZPCS04!B:G,6,0))</f>
        <v>832</v>
      </c>
      <c r="AU294" s="7"/>
      <c r="AV294" s="38">
        <f ca="1">IF(TRIM($W294)="F",OFFSET($A$5,MATCH($AS294,$AS$5:$AS294,0)-1,0),$A294)</f>
        <v>294</v>
      </c>
      <c r="AW294" s="38">
        <f ca="1">IFERROR(OFFSET(ZPCS04!$A$1,MATCH(F294,ZPCS04!B:B,0)-1,0),100)</f>
        <v>2</v>
      </c>
      <c r="AX294" s="7"/>
      <c r="AY294" s="6" t="b">
        <f>SUMIF(AS:AS,AS294,AP:AP)=100</f>
        <v>1</v>
      </c>
      <c r="AZ294" s="6" t="b">
        <f>SUMIF(AS:AS,AS294,AE:AE)/COUNTIF(AS:AS,AS294)=AE294</f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>C294&amp;" | "&amp;F294</f>
        <v>90MB1BJ0-C1BAY0 | 10G212150214010</v>
      </c>
      <c r="BE294" s="55" t="str">
        <f ca="1">C294&amp;" | "&amp;OFFSET($AF294,0,8-COUNTBLANK($AG294:$AN294))</f>
        <v>90MB1BJ0-C1BAY0 | 59MB1BJB-MB0A02S</v>
      </c>
      <c r="BF294" s="57">
        <f ca="1">IFERROR(VLOOKUP($BE294,$BD$5:$BF293,3,0)*$AE294,VLOOKUP($C294,Demanda!$A:$B,2,0)*$AE294)*IF(AT294="Phantom Alt",$BC294,TRUE)</f>
        <v>1000</v>
      </c>
      <c r="BG294" s="57">
        <f ca="1">BF294*(AP294/100)</f>
        <v>0</v>
      </c>
      <c r="BH294" s="57">
        <f>SUMIF(Invoice!A:A,F294,Invoice!B:B)</f>
        <v>0</v>
      </c>
      <c r="BI294" s="57">
        <f ca="1">SUMIF(AS:AS,AS294,BG:BG)</f>
        <v>1000</v>
      </c>
      <c r="BJ294" s="57">
        <f ca="1">MIN((BI294-SUMIF($AS$5:AS293,AS294,$BJ$5:BJ293)),MAX(0,BH294-SUMIF($F$5:F293,F294,$BJ$5:BJ293)))</f>
        <v>0</v>
      </c>
      <c r="BK294" s="57">
        <f ca="1">(-SUMIF(AS:AS,AS294,BG:BG)+SUMIF(AS:AS,AS294,BJ:BJ))*(AP294=100)*AR294</f>
        <v>0</v>
      </c>
      <c r="BL294" s="57">
        <f ca="1">MAX(0,SUMIF(Invoice!A:A,F294,Invoice!B:B)-SUMIF(F:F,F294,BJ:BJ))*(COUNTIF(F:F,F294)=COUNTIF($F$5:F294,F294))</f>
        <v>0</v>
      </c>
    </row>
    <row r="295" spans="1:64" hidden="1">
      <c r="A295" s="43">
        <v>295</v>
      </c>
      <c r="B295" s="35" t="s">
        <v>147</v>
      </c>
      <c r="C295" s="35" t="s">
        <v>146</v>
      </c>
      <c r="D295" s="35">
        <v>2</v>
      </c>
      <c r="E295" s="35">
        <v>1080</v>
      </c>
      <c r="F295" s="64" t="s">
        <v>757</v>
      </c>
      <c r="G295" s="73" t="s">
        <v>758</v>
      </c>
      <c r="H295" s="35" t="s">
        <v>219</v>
      </c>
      <c r="I295" s="35" t="s">
        <v>54</v>
      </c>
      <c r="J295" s="35">
        <v>100</v>
      </c>
      <c r="K295" s="35" t="s">
        <v>150</v>
      </c>
      <c r="L295" s="35" t="s">
        <v>53</v>
      </c>
      <c r="M295" s="35">
        <v>1</v>
      </c>
      <c r="N295" s="35">
        <v>1</v>
      </c>
      <c r="O295" s="35">
        <v>1</v>
      </c>
      <c r="P295" s="35">
        <v>2</v>
      </c>
      <c r="Q295" s="35">
        <v>1</v>
      </c>
      <c r="R295" s="35" t="s">
        <v>73</v>
      </c>
      <c r="S295" s="35" t="s">
        <v>73</v>
      </c>
      <c r="T295" s="36">
        <v>44901</v>
      </c>
      <c r="U295" s="36">
        <v>2958465</v>
      </c>
      <c r="V295" s="35" t="s">
        <v>282</v>
      </c>
      <c r="W295" s="35" t="s">
        <v>145</v>
      </c>
      <c r="X295" s="35"/>
      <c r="Y295" s="35" t="s">
        <v>143</v>
      </c>
      <c r="Z295" s="35">
        <v>7589154</v>
      </c>
      <c r="AA295" s="35">
        <v>474</v>
      </c>
      <c r="AB295" s="35">
        <v>237</v>
      </c>
      <c r="AC295" s="35"/>
      <c r="AE295" s="51">
        <f>M295/O295</f>
        <v>1</v>
      </c>
      <c r="AG295" s="6" t="str">
        <f>C295</f>
        <v>90MB1BJ0-C1BAY0</v>
      </c>
      <c r="AH295" s="6" t="str">
        <f>IF($D295&lt;=AH$4,"",IF(AND($D294=AH$4,$D295&gt;AH$4),$F294,AH294))</f>
        <v>59MB1BJB-MB0A02S</v>
      </c>
      <c r="AI295" s="6" t="str">
        <f>IF($D295&lt;=AI$4,"",IF(AND($D294=AI$4,$D295&gt;AI$4),$F294,AI294))</f>
        <v/>
      </c>
      <c r="AJ295" s="6" t="str">
        <f>IF($D295&lt;=AJ$4,"",IF(AND($D294=AJ$4,$D295&gt;AJ$4),$F294,AJ294))</f>
        <v/>
      </c>
      <c r="AK295" s="6" t="str">
        <f>IF($D295&lt;=AK$4,"",IF(AND($D294=AK$4,$D295&gt;AK$4),$F294,AK294))</f>
        <v/>
      </c>
      <c r="AL295" s="6" t="str">
        <f>IF($D295&lt;=AL$4,"",IF(AND($D294=AL$4,$D295&gt;AL$4),$F294,AL294))</f>
        <v/>
      </c>
      <c r="AM295" s="6" t="str">
        <f>IF($D295&lt;=AM$4,"",IF(AND($D294=AM$4,$D295&gt;AM$4),$F294,AM294))</f>
        <v/>
      </c>
      <c r="AN295" s="6" t="str">
        <f>IF($D295&lt;=AN$4,"",IF(AND($D294=AN$4,$D295&gt;AN$4),$F294,AN294))</f>
        <v/>
      </c>
      <c r="AO295" s="6" t="str">
        <f>CONCATENATE(AG295," | ",AH295," | ",AI295," | ",AJ295," | ",AK295," | ",AL295," | ",AM295," | ",AN295)</f>
        <v xml:space="preserve">90MB1BJ0-C1BAY0 | 59MB1BJB-MB0A02S |  |  |  |  |  | </v>
      </c>
      <c r="AP295" s="6">
        <f>IF(TRIM(H295)="",100,J295)</f>
        <v>100</v>
      </c>
      <c r="AQ295" s="4"/>
      <c r="AR295" s="6" t="b">
        <f>NOT(TRIM(W295)&lt;&gt;"F")</f>
        <v>1</v>
      </c>
      <c r="AS295" s="6" t="str">
        <f>$B295&amp;" | "&amp;$AO295&amp;" | "&amp;IF(TRIM(H295)="","uniq"&amp;ROW(),TRIM(H295))</f>
        <v>461E | 90MB1BJ0-C1BAY0 | 59MB1BJB-MB0A02S |  |  |  |  |  |  | A8</v>
      </c>
      <c r="AT295" s="63">
        <f>IF(NOT(AR295),IF(TRIM($H295)="","Assembly","Phantom Alt"),VLOOKUP(F295,ZPCS04!B:G,6,0))</f>
        <v>832</v>
      </c>
      <c r="AU295" s="7"/>
      <c r="AV295" s="38">
        <f ca="1">IF(TRIM($W295)="F",OFFSET($A$5,MATCH($AS295,$AS$5:$AS295,0)-1,0),$A295)</f>
        <v>294</v>
      </c>
      <c r="AW295" s="38">
        <f ca="1">IFERROR(OFFSET(ZPCS04!$A$1,MATCH(F295,ZPCS04!B:B,0)-1,0),100)</f>
        <v>2</v>
      </c>
      <c r="AX295" s="7"/>
      <c r="AY295" s="6" t="b">
        <f>SUMIF(AS:AS,AS295,AP:AP)=100</f>
        <v>1</v>
      </c>
      <c r="AZ295" s="6" t="b">
        <f>SUMIF(AS:AS,AS295,AE:AE)/COUNTIF(AS:AS,AS295)=AE295</f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>C295&amp;" | "&amp;F295</f>
        <v>90MB1BJ0-C1BAY0 | 10G212150214050</v>
      </c>
      <c r="BE295" s="55" t="str">
        <f ca="1">C295&amp;" | "&amp;OFFSET($AF295,0,8-COUNTBLANK($AG295:$AN295))</f>
        <v>90MB1BJ0-C1BAY0 | 59MB1BJB-MB0A02S</v>
      </c>
      <c r="BF295" s="57">
        <f ca="1">IFERROR(VLOOKUP($BE295,$BD$5:$BF294,3,0)*$AE295,VLOOKUP($C295,Demanda!$A:$B,2,0)*$AE295)*IF(AT295="Phantom Alt",$BC295,TRUE)</f>
        <v>1000</v>
      </c>
      <c r="BG295" s="57">
        <f ca="1">BF295*(AP295/100)</f>
        <v>1000</v>
      </c>
      <c r="BH295" s="57">
        <f>SUMIF(Invoice!A:A,F295,Invoice!B:B)</f>
        <v>0</v>
      </c>
      <c r="BI295" s="57">
        <f ca="1">SUMIF(AS:AS,AS295,BG:BG)</f>
        <v>1000</v>
      </c>
      <c r="BJ295" s="57">
        <f ca="1">MIN((BI295-SUMIF($AS$5:AS294,AS295,$BJ$5:BJ294)),MAX(0,BH295-SUMIF($F$5:F294,F295,$BJ$5:BJ294)))</f>
        <v>0</v>
      </c>
      <c r="BK295" s="57">
        <f ca="1">(-SUMIF(AS:AS,AS295,BG:BG)+SUMIF(AS:AS,AS295,BJ:BJ))*(AP295=100)*AR295</f>
        <v>0</v>
      </c>
      <c r="BL295" s="57">
        <f ca="1">MAX(0,SUMIF(Invoice!A:A,F295,Invoice!B:B)-SUMIF(F:F,F295,BJ:BJ))*(COUNTIF(F:F,F295)=COUNTIF($F$5:F295,F295))</f>
        <v>0</v>
      </c>
    </row>
    <row r="296" spans="1:64" hidden="1">
      <c r="A296" s="43">
        <v>298</v>
      </c>
      <c r="B296" s="35" t="s">
        <v>147</v>
      </c>
      <c r="C296" s="35" t="s">
        <v>146</v>
      </c>
      <c r="D296" s="35">
        <v>2</v>
      </c>
      <c r="E296" s="35">
        <v>1090</v>
      </c>
      <c r="F296" s="64" t="s">
        <v>763</v>
      </c>
      <c r="G296" s="73" t="s">
        <v>764</v>
      </c>
      <c r="H296" s="35" t="s">
        <v>224</v>
      </c>
      <c r="I296" s="35" t="s">
        <v>55</v>
      </c>
      <c r="J296" s="35">
        <v>0</v>
      </c>
      <c r="K296" s="35" t="s">
        <v>150</v>
      </c>
      <c r="L296" s="35" t="s">
        <v>53</v>
      </c>
      <c r="M296" s="35">
        <v>1</v>
      </c>
      <c r="N296" s="35"/>
      <c r="O296" s="35">
        <v>1</v>
      </c>
      <c r="P296" s="35">
        <v>2</v>
      </c>
      <c r="Q296" s="35">
        <v>2</v>
      </c>
      <c r="R296" s="35" t="s">
        <v>73</v>
      </c>
      <c r="S296" s="35" t="s">
        <v>73</v>
      </c>
      <c r="T296" s="36">
        <v>44901</v>
      </c>
      <c r="U296" s="36">
        <v>2958465</v>
      </c>
      <c r="V296" s="35" t="s">
        <v>282</v>
      </c>
      <c r="W296" s="35" t="s">
        <v>145</v>
      </c>
      <c r="X296" s="35"/>
      <c r="Y296" s="35" t="s">
        <v>143</v>
      </c>
      <c r="Z296" s="35">
        <v>7589154</v>
      </c>
      <c r="AA296" s="35">
        <v>482</v>
      </c>
      <c r="AB296" s="35">
        <v>241</v>
      </c>
      <c r="AC296" s="35" t="s">
        <v>144</v>
      </c>
      <c r="AE296" s="51">
        <f>M296/O296</f>
        <v>1</v>
      </c>
      <c r="AG296" s="6" t="str">
        <f>C296</f>
        <v>90MB1BJ0-C1BAY0</v>
      </c>
      <c r="AH296" s="6" t="str">
        <f>IF($D296&lt;=AH$4,"",IF(AND($D295=AH$4,$D296&gt;AH$4),$F295,AH295))</f>
        <v>59MB1BJB-MB0A02S</v>
      </c>
      <c r="AI296" s="6" t="str">
        <f>IF($D296&lt;=AI$4,"",IF(AND($D295=AI$4,$D296&gt;AI$4),$F295,AI295))</f>
        <v/>
      </c>
      <c r="AJ296" s="6" t="str">
        <f>IF($D296&lt;=AJ$4,"",IF(AND($D295=AJ$4,$D296&gt;AJ$4),$F295,AJ295))</f>
        <v/>
      </c>
      <c r="AK296" s="6" t="str">
        <f>IF($D296&lt;=AK$4,"",IF(AND($D295=AK$4,$D296&gt;AK$4),$F295,AK295))</f>
        <v/>
      </c>
      <c r="AL296" s="6" t="str">
        <f>IF($D296&lt;=AL$4,"",IF(AND($D295=AL$4,$D296&gt;AL$4),$F295,AL295))</f>
        <v/>
      </c>
      <c r="AM296" s="6" t="str">
        <f>IF($D296&lt;=AM$4,"",IF(AND($D295=AM$4,$D296&gt;AM$4),$F295,AM295))</f>
        <v/>
      </c>
      <c r="AN296" s="6" t="str">
        <f>IF($D296&lt;=AN$4,"",IF(AND($D295=AN$4,$D296&gt;AN$4),$F295,AN295))</f>
        <v/>
      </c>
      <c r="AO296" s="6" t="str">
        <f>CONCATENATE(AG296," | ",AH296," | ",AI296," | ",AJ296," | ",AK296," | ",AL296," | ",AM296," | ",AN296)</f>
        <v xml:space="preserve">90MB1BJ0-C1BAY0 | 59MB1BJB-MB0A02S |  |  |  |  |  | </v>
      </c>
      <c r="AP296" s="6">
        <f>IF(TRIM(H296)="",100,J296)</f>
        <v>0</v>
      </c>
      <c r="AQ296" s="4"/>
      <c r="AR296" s="6" t="b">
        <f>NOT(TRIM(W296)&lt;&gt;"F")</f>
        <v>1</v>
      </c>
      <c r="AS296" s="6" t="str">
        <f>$B296&amp;" | "&amp;$AO296&amp;" | "&amp;IF(TRIM(H296)="","uniq"&amp;ROW(),TRIM(H296))</f>
        <v>461E | 90MB1BJ0-C1BAY0 | 59MB1BJB-MB0A02S |  |  |  |  |  |  | A9</v>
      </c>
      <c r="AT296" s="63">
        <f>IF(NOT(AR296),IF(TRIM($H296)="","Assembly","Phantom Alt"),VLOOKUP(F296,ZPCS04!B:G,6,0))</f>
        <v>1262</v>
      </c>
      <c r="AU296" s="7"/>
      <c r="AV296" s="38">
        <f ca="1">IF(TRIM($W296)="F",OFFSET($A$5,MATCH($AS296,$AS$5:$AS296,0)-1,0),$A296)</f>
        <v>298</v>
      </c>
      <c r="AW296" s="38">
        <f ca="1">IFERROR(OFFSET(ZPCS04!$A$1,MATCH(F296,ZPCS04!B:B,0)-1,0),100)</f>
        <v>1.9999999000000002</v>
      </c>
      <c r="AX296" s="7"/>
      <c r="AY296" s="6" t="b">
        <f>SUMIF(AS:AS,AS296,AP:AP)=100</f>
        <v>1</v>
      </c>
      <c r="AZ296" s="6" t="b">
        <f>SUMIF(AS:AS,AS296,AE:AE)/COUNTIF(AS:AS,AS296)=AE296</f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>C296&amp;" | "&amp;F296</f>
        <v>90MB1BJ0-C1BAY0 | 10G212154214020</v>
      </c>
      <c r="BE296" s="55" t="str">
        <f ca="1">C296&amp;" | "&amp;OFFSET($AF296,0,8-COUNTBLANK($AG296:$AN296))</f>
        <v>90MB1BJ0-C1BAY0 | 59MB1BJB-MB0A02S</v>
      </c>
      <c r="BF296" s="57">
        <f ca="1">IFERROR(VLOOKUP($BE296,$BD$5:$BF295,3,0)*$AE296,VLOOKUP($C296,Demanda!$A:$B,2,0)*$AE296)*IF(AT296="Phantom Alt",$BC296,TRUE)</f>
        <v>1000</v>
      </c>
      <c r="BG296" s="57">
        <f ca="1">BF296*(AP296/100)</f>
        <v>0</v>
      </c>
      <c r="BH296" s="57">
        <f>SUMIF(Invoice!A:A,F296,Invoice!B:B)</f>
        <v>10000</v>
      </c>
      <c r="BI296" s="57">
        <f ca="1">SUMIF(AS:AS,AS296,BG:BG)</f>
        <v>1000</v>
      </c>
      <c r="BJ296" s="57">
        <f ca="1">MIN((BI296-SUMIF($AS$5:AS295,AS296,$BJ$5:BJ295)),MAX(0,BH296-SUMIF($F$5:F295,F296,$BJ$5:BJ295)))</f>
        <v>1000</v>
      </c>
      <c r="BK296" s="57">
        <f ca="1">(-SUMIF(AS:AS,AS296,BG:BG)+SUMIF(AS:AS,AS296,BJ:BJ))*(AP296=100)*AR296</f>
        <v>0</v>
      </c>
      <c r="BL296" s="57">
        <f ca="1">MAX(0,SUMIF(Invoice!A:A,F296,Invoice!B:B)-SUMIF(F:F,F296,BJ:BJ))*(COUNTIF(F:F,F296)=COUNTIF($F$5:F296,F296))</f>
        <v>9000</v>
      </c>
    </row>
    <row r="297" spans="1:64" hidden="1">
      <c r="A297" s="43">
        <v>296</v>
      </c>
      <c r="B297" s="35" t="s">
        <v>147</v>
      </c>
      <c r="C297" s="35" t="s">
        <v>146</v>
      </c>
      <c r="D297" s="35">
        <v>2</v>
      </c>
      <c r="E297" s="35">
        <v>1090</v>
      </c>
      <c r="F297" s="64" t="s">
        <v>759</v>
      </c>
      <c r="G297" s="73" t="s">
        <v>760</v>
      </c>
      <c r="H297" s="35" t="s">
        <v>224</v>
      </c>
      <c r="I297" s="35" t="s">
        <v>55</v>
      </c>
      <c r="J297" s="35">
        <v>0</v>
      </c>
      <c r="K297" s="35" t="s">
        <v>150</v>
      </c>
      <c r="L297" s="35" t="s">
        <v>53</v>
      </c>
      <c r="M297" s="35">
        <v>1</v>
      </c>
      <c r="N297" s="35"/>
      <c r="O297" s="35">
        <v>1</v>
      </c>
      <c r="P297" s="35">
        <v>2</v>
      </c>
      <c r="Q297" s="35">
        <v>3</v>
      </c>
      <c r="R297" s="35" t="s">
        <v>73</v>
      </c>
      <c r="S297" s="35" t="s">
        <v>73</v>
      </c>
      <c r="T297" s="36">
        <v>44901</v>
      </c>
      <c r="U297" s="36">
        <v>2958465</v>
      </c>
      <c r="V297" s="35" t="s">
        <v>282</v>
      </c>
      <c r="W297" s="35" t="s">
        <v>145</v>
      </c>
      <c r="X297" s="35"/>
      <c r="Y297" s="35" t="s">
        <v>143</v>
      </c>
      <c r="Z297" s="35">
        <v>7589154</v>
      </c>
      <c r="AA297" s="35">
        <v>484</v>
      </c>
      <c r="AB297" s="35">
        <v>242</v>
      </c>
      <c r="AC297" s="35"/>
      <c r="AE297" s="51">
        <f>M297/O297</f>
        <v>1</v>
      </c>
      <c r="AG297" s="6" t="str">
        <f>C297</f>
        <v>90MB1BJ0-C1BAY0</v>
      </c>
      <c r="AH297" s="6" t="str">
        <f>IF($D297&lt;=AH$4,"",IF(AND($D296=AH$4,$D297&gt;AH$4),$F296,AH296))</f>
        <v>59MB1BJB-MB0A02S</v>
      </c>
      <c r="AI297" s="6" t="str">
        <f>IF($D297&lt;=AI$4,"",IF(AND($D296=AI$4,$D297&gt;AI$4),$F296,AI296))</f>
        <v/>
      </c>
      <c r="AJ297" s="6" t="str">
        <f>IF($D297&lt;=AJ$4,"",IF(AND($D296=AJ$4,$D297&gt;AJ$4),$F296,AJ296))</f>
        <v/>
      </c>
      <c r="AK297" s="6" t="str">
        <f>IF($D297&lt;=AK$4,"",IF(AND($D296=AK$4,$D297&gt;AK$4),$F296,AK296))</f>
        <v/>
      </c>
      <c r="AL297" s="6" t="str">
        <f>IF($D297&lt;=AL$4,"",IF(AND($D296=AL$4,$D297&gt;AL$4),$F296,AL296))</f>
        <v/>
      </c>
      <c r="AM297" s="6" t="str">
        <f>IF($D297&lt;=AM$4,"",IF(AND($D296=AM$4,$D297&gt;AM$4),$F296,AM296))</f>
        <v/>
      </c>
      <c r="AN297" s="6" t="str">
        <f>IF($D297&lt;=AN$4,"",IF(AND($D296=AN$4,$D297&gt;AN$4),$F296,AN296))</f>
        <v/>
      </c>
      <c r="AO297" s="6" t="str">
        <f>CONCATENATE(AG297," | ",AH297," | ",AI297," | ",AJ297," | ",AK297," | ",AL297," | ",AM297," | ",AN297)</f>
        <v xml:space="preserve">90MB1BJ0-C1BAY0 | 59MB1BJB-MB0A02S |  |  |  |  |  | </v>
      </c>
      <c r="AP297" s="6">
        <f>IF(TRIM(H297)="",100,J297)</f>
        <v>0</v>
      </c>
      <c r="AQ297" s="4"/>
      <c r="AR297" s="6" t="b">
        <f>NOT(TRIM(W297)&lt;&gt;"F")</f>
        <v>1</v>
      </c>
      <c r="AS297" s="6" t="str">
        <f>$B297&amp;" | "&amp;$AO297&amp;" | "&amp;IF(TRIM(H297)="","uniq"&amp;ROW(),TRIM(H297))</f>
        <v>461E | 90MB1BJ0-C1BAY0 | 59MB1BJB-MB0A02S |  |  |  |  |  |  | A9</v>
      </c>
      <c r="AT297" s="63">
        <f>IF(NOT(AR297),IF(TRIM($H297)="","Assembly","Phantom Alt"),VLOOKUP(F297,ZPCS04!B:G,6,0))</f>
        <v>1262</v>
      </c>
      <c r="AU297" s="7"/>
      <c r="AV297" s="38">
        <f ca="1">IF(TRIM($W297)="F",OFFSET($A$5,MATCH($AS297,$AS$5:$AS297,0)-1,0),$A297)</f>
        <v>298</v>
      </c>
      <c r="AW297" s="38">
        <f ca="1">IFERROR(OFFSET(ZPCS04!$A$1,MATCH(F297,ZPCS04!B:B,0)-1,0),100)</f>
        <v>2</v>
      </c>
      <c r="AX297" s="7"/>
      <c r="AY297" s="6" t="b">
        <f>SUMIF(AS:AS,AS297,AP:AP)=100</f>
        <v>1</v>
      </c>
      <c r="AZ297" s="6" t="b">
        <f>SUMIF(AS:AS,AS297,AE:AE)/COUNTIF(AS:AS,AS297)=AE297</f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>C297&amp;" | "&amp;F297</f>
        <v>90MB1BJ0-C1BAY0 | 10102-04735000</v>
      </c>
      <c r="BE297" s="55" t="str">
        <f ca="1">C297&amp;" | "&amp;OFFSET($AF297,0,8-COUNTBLANK($AG297:$AN297))</f>
        <v>90MB1BJ0-C1BAY0 | 59MB1BJB-MB0A02S</v>
      </c>
      <c r="BF297" s="57">
        <f ca="1">IFERROR(VLOOKUP($BE297,$BD$5:$BF296,3,0)*$AE297,VLOOKUP($C297,Demanda!$A:$B,2,0)*$AE297)*IF(AT297="Phantom Alt",$BC297,TRUE)</f>
        <v>1000</v>
      </c>
      <c r="BG297" s="57">
        <f ca="1">BF297*(AP297/100)</f>
        <v>0</v>
      </c>
      <c r="BH297" s="57">
        <f>SUMIF(Invoice!A:A,F297,Invoice!B:B)</f>
        <v>0</v>
      </c>
      <c r="BI297" s="57">
        <f ca="1">SUMIF(AS:AS,AS297,BG:BG)</f>
        <v>1000</v>
      </c>
      <c r="BJ297" s="57">
        <f ca="1">MIN((BI297-SUMIF($AS$5:AS296,AS297,$BJ$5:BJ296)),MAX(0,BH297-SUMIF($F$5:F296,F297,$BJ$5:BJ296)))</f>
        <v>0</v>
      </c>
      <c r="BK297" s="57">
        <f ca="1">(-SUMIF(AS:AS,AS297,BG:BG)+SUMIF(AS:AS,AS297,BJ:BJ))*(AP297=100)*AR297</f>
        <v>0</v>
      </c>
      <c r="BL297" s="57">
        <f ca="1">MAX(0,SUMIF(Invoice!A:A,F297,Invoice!B:B)-SUMIF(F:F,F297,BJ:BJ))*(COUNTIF(F:F,F297)=COUNTIF($F$5:F297,F297))</f>
        <v>0</v>
      </c>
    </row>
    <row r="298" spans="1:64" hidden="1">
      <c r="A298" s="43">
        <v>297</v>
      </c>
      <c r="B298" s="35" t="s">
        <v>147</v>
      </c>
      <c r="C298" s="35" t="s">
        <v>146</v>
      </c>
      <c r="D298" s="35">
        <v>2</v>
      </c>
      <c r="E298" s="35">
        <v>1090</v>
      </c>
      <c r="F298" s="64" t="s">
        <v>761</v>
      </c>
      <c r="G298" s="73" t="s">
        <v>762</v>
      </c>
      <c r="H298" s="35" t="s">
        <v>224</v>
      </c>
      <c r="I298" s="35" t="s">
        <v>54</v>
      </c>
      <c r="J298" s="35">
        <v>100</v>
      </c>
      <c r="K298" s="35" t="s">
        <v>489</v>
      </c>
      <c r="L298" s="35" t="s">
        <v>53</v>
      </c>
      <c r="M298" s="35">
        <v>1</v>
      </c>
      <c r="N298" s="35">
        <v>1</v>
      </c>
      <c r="O298" s="35">
        <v>1</v>
      </c>
      <c r="P298" s="35">
        <v>2</v>
      </c>
      <c r="Q298" s="35">
        <v>1</v>
      </c>
      <c r="R298" s="35" t="s">
        <v>73</v>
      </c>
      <c r="S298" s="35" t="s">
        <v>73</v>
      </c>
      <c r="T298" s="36">
        <v>44901</v>
      </c>
      <c r="U298" s="36">
        <v>2958465</v>
      </c>
      <c r="V298" s="35" t="s">
        <v>282</v>
      </c>
      <c r="W298" s="35" t="s">
        <v>145</v>
      </c>
      <c r="X298" s="35"/>
      <c r="Y298" s="35" t="s">
        <v>143</v>
      </c>
      <c r="Z298" s="35">
        <v>7589154</v>
      </c>
      <c r="AA298" s="35">
        <v>480</v>
      </c>
      <c r="AB298" s="35">
        <v>240</v>
      </c>
      <c r="AC298" s="35"/>
      <c r="AE298" s="51">
        <f>M298/O298</f>
        <v>1</v>
      </c>
      <c r="AG298" s="6" t="str">
        <f>C298</f>
        <v>90MB1BJ0-C1BAY0</v>
      </c>
      <c r="AH298" s="6" t="str">
        <f>IF($D298&lt;=AH$4,"",IF(AND($D297=AH$4,$D298&gt;AH$4),$F297,AH297))</f>
        <v>59MB1BJB-MB0A02S</v>
      </c>
      <c r="AI298" s="6" t="str">
        <f>IF($D298&lt;=AI$4,"",IF(AND($D297=AI$4,$D298&gt;AI$4),$F297,AI297))</f>
        <v/>
      </c>
      <c r="AJ298" s="6" t="str">
        <f>IF($D298&lt;=AJ$4,"",IF(AND($D297=AJ$4,$D298&gt;AJ$4),$F297,AJ297))</f>
        <v/>
      </c>
      <c r="AK298" s="6" t="str">
        <f>IF($D298&lt;=AK$4,"",IF(AND($D297=AK$4,$D298&gt;AK$4),$F297,AK297))</f>
        <v/>
      </c>
      <c r="AL298" s="6" t="str">
        <f>IF($D298&lt;=AL$4,"",IF(AND($D297=AL$4,$D298&gt;AL$4),$F297,AL297))</f>
        <v/>
      </c>
      <c r="AM298" s="6" t="str">
        <f>IF($D298&lt;=AM$4,"",IF(AND($D297=AM$4,$D298&gt;AM$4),$F297,AM297))</f>
        <v/>
      </c>
      <c r="AN298" s="6" t="str">
        <f>IF($D298&lt;=AN$4,"",IF(AND($D297=AN$4,$D298&gt;AN$4),$F297,AN297))</f>
        <v/>
      </c>
      <c r="AO298" s="6" t="str">
        <f>CONCATENATE(AG298," | ",AH298," | ",AI298," | ",AJ298," | ",AK298," | ",AL298," | ",AM298," | ",AN298)</f>
        <v xml:space="preserve">90MB1BJ0-C1BAY0 | 59MB1BJB-MB0A02S |  |  |  |  |  | </v>
      </c>
      <c r="AP298" s="6">
        <f>IF(TRIM(H298)="",100,J298)</f>
        <v>100</v>
      </c>
      <c r="AQ298" s="4"/>
      <c r="AR298" s="6" t="b">
        <f>NOT(TRIM(W298)&lt;&gt;"F")</f>
        <v>1</v>
      </c>
      <c r="AS298" s="6" t="str">
        <f>$B298&amp;" | "&amp;$AO298&amp;" | "&amp;IF(TRIM(H298)="","uniq"&amp;ROW(),TRIM(H298))</f>
        <v>461E | 90MB1BJ0-C1BAY0 | 59MB1BJB-MB0A02S |  |  |  |  |  |  | A9</v>
      </c>
      <c r="AT298" s="63">
        <f>IF(NOT(AR298),IF(TRIM($H298)="","Assembly","Phantom Alt"),VLOOKUP(F298,ZPCS04!B:G,6,0))</f>
        <v>1262</v>
      </c>
      <c r="AU298" s="7"/>
      <c r="AV298" s="38">
        <f ca="1">IF(TRIM($W298)="F",OFFSET($A$5,MATCH($AS298,$AS$5:$AS298,0)-1,0),$A298)</f>
        <v>298</v>
      </c>
      <c r="AW298" s="38">
        <f ca="1">IFERROR(OFFSET(ZPCS04!$A$1,MATCH(F298,ZPCS04!B:B,0)-1,0),100)</f>
        <v>2</v>
      </c>
      <c r="AX298" s="7"/>
      <c r="AY298" s="6" t="b">
        <f>SUMIF(AS:AS,AS298,AP:AP)=100</f>
        <v>1</v>
      </c>
      <c r="AZ298" s="6" t="b">
        <f>SUMIF(AS:AS,AS298,AE:AE)/COUNTIF(AS:AS,AS298)=AE298</f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>C298&amp;" | "&amp;F298</f>
        <v>90MB1BJ0-C1BAY0 | 10G212154214010</v>
      </c>
      <c r="BE298" s="55" t="str">
        <f ca="1">C298&amp;" | "&amp;OFFSET($AF298,0,8-COUNTBLANK($AG298:$AN298))</f>
        <v>90MB1BJ0-C1BAY0 | 59MB1BJB-MB0A02S</v>
      </c>
      <c r="BF298" s="57">
        <f ca="1">IFERROR(VLOOKUP($BE298,$BD$5:$BF297,3,0)*$AE298,VLOOKUP($C298,Demanda!$A:$B,2,0)*$AE298)*IF(AT298="Phantom Alt",$BC298,TRUE)</f>
        <v>1000</v>
      </c>
      <c r="BG298" s="57">
        <f ca="1">BF298*(AP298/100)</f>
        <v>1000</v>
      </c>
      <c r="BH298" s="57">
        <f>SUMIF(Invoice!A:A,F298,Invoice!B:B)</f>
        <v>0</v>
      </c>
      <c r="BI298" s="57">
        <f ca="1">SUMIF(AS:AS,AS298,BG:BG)</f>
        <v>1000</v>
      </c>
      <c r="BJ298" s="57">
        <f ca="1">MIN((BI298-SUMIF($AS$5:AS297,AS298,$BJ$5:BJ297)),MAX(0,BH298-SUMIF($F$5:F297,F298,$BJ$5:BJ297)))</f>
        <v>0</v>
      </c>
      <c r="BK298" s="57">
        <f ca="1">(-SUMIF(AS:AS,AS298,BG:BG)+SUMIF(AS:AS,AS298,BJ:BJ))*(AP298=100)*AR298</f>
        <v>0</v>
      </c>
      <c r="BL298" s="57">
        <f ca="1">MAX(0,SUMIF(Invoice!A:A,F298,Invoice!B:B)-SUMIF(F:F,F298,BJ:BJ))*(COUNTIF(F:F,F298)=COUNTIF($F$5:F298,F298))</f>
        <v>0</v>
      </c>
    </row>
    <row r="299" spans="1:64" hidden="1">
      <c r="A299" s="43">
        <v>299</v>
      </c>
      <c r="B299" s="35" t="s">
        <v>147</v>
      </c>
      <c r="C299" s="35" t="s">
        <v>146</v>
      </c>
      <c r="D299" s="35">
        <v>2</v>
      </c>
      <c r="E299" s="35">
        <v>1100</v>
      </c>
      <c r="F299" s="64" t="s">
        <v>765</v>
      </c>
      <c r="G299" s="73" t="s">
        <v>766</v>
      </c>
      <c r="H299" s="35" t="s">
        <v>229</v>
      </c>
      <c r="I299" s="35" t="s">
        <v>54</v>
      </c>
      <c r="J299" s="35">
        <v>100</v>
      </c>
      <c r="K299" s="35" t="s">
        <v>489</v>
      </c>
      <c r="L299" s="35" t="s">
        <v>53</v>
      </c>
      <c r="M299" s="35">
        <v>8</v>
      </c>
      <c r="N299" s="35">
        <v>8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44901</v>
      </c>
      <c r="U299" s="36">
        <v>2958465</v>
      </c>
      <c r="V299" s="35" t="s">
        <v>282</v>
      </c>
      <c r="W299" s="35" t="s">
        <v>145</v>
      </c>
      <c r="X299" s="35"/>
      <c r="Y299" s="35" t="s">
        <v>143</v>
      </c>
      <c r="Z299" s="35">
        <v>7589154</v>
      </c>
      <c r="AA299" s="35">
        <v>486</v>
      </c>
      <c r="AB299" s="35">
        <v>243</v>
      </c>
      <c r="AC299" s="35"/>
      <c r="AE299" s="51">
        <f>M299/O299</f>
        <v>8</v>
      </c>
      <c r="AG299" s="6" t="str">
        <f>C299</f>
        <v>90MB1BJ0-C1BAY0</v>
      </c>
      <c r="AH299" s="6" t="str">
        <f>IF($D299&lt;=AH$4,"",IF(AND($D298=AH$4,$D299&gt;AH$4),$F298,AH298))</f>
        <v>59MB1BJB-MB0A02S</v>
      </c>
      <c r="AI299" s="6" t="str">
        <f>IF($D299&lt;=AI$4,"",IF(AND($D298=AI$4,$D299&gt;AI$4),$F298,AI298))</f>
        <v/>
      </c>
      <c r="AJ299" s="6" t="str">
        <f>IF($D299&lt;=AJ$4,"",IF(AND($D298=AJ$4,$D299&gt;AJ$4),$F298,AJ298))</f>
        <v/>
      </c>
      <c r="AK299" s="6" t="str">
        <f>IF($D299&lt;=AK$4,"",IF(AND($D298=AK$4,$D299&gt;AK$4),$F298,AK298))</f>
        <v/>
      </c>
      <c r="AL299" s="6" t="str">
        <f>IF($D299&lt;=AL$4,"",IF(AND($D298=AL$4,$D299&gt;AL$4),$F298,AL298))</f>
        <v/>
      </c>
      <c r="AM299" s="6" t="str">
        <f>IF($D299&lt;=AM$4,"",IF(AND($D298=AM$4,$D299&gt;AM$4),$F298,AM298))</f>
        <v/>
      </c>
      <c r="AN299" s="6" t="str">
        <f>IF($D299&lt;=AN$4,"",IF(AND($D298=AN$4,$D299&gt;AN$4),$F298,AN298))</f>
        <v/>
      </c>
      <c r="AO299" s="6" t="str">
        <f>CONCATENATE(AG299," | ",AH299," | ",AI299," | ",AJ299," | ",AK299," | ",AL299," | ",AM299," | ",AN299)</f>
        <v xml:space="preserve">90MB1BJ0-C1BAY0 | 59MB1BJB-MB0A02S |  |  |  |  |  | </v>
      </c>
      <c r="AP299" s="6">
        <f>IF(TRIM(H299)="",100,J299)</f>
        <v>100</v>
      </c>
      <c r="AQ299" s="4"/>
      <c r="AR299" s="6" t="b">
        <f>NOT(TRIM(W299)&lt;&gt;"F")</f>
        <v>1</v>
      </c>
      <c r="AS299" s="6" t="str">
        <f>$B299&amp;" | "&amp;$AO299&amp;" | "&amp;IF(TRIM(H299)="","uniq"&amp;ROW(),TRIM(H299))</f>
        <v>461E | 90MB1BJ0-C1BAY0 | 59MB1BJB-MB0A02S |  |  |  |  |  |  | B0</v>
      </c>
      <c r="AT299" s="63">
        <f>IF(NOT(AR299),IF(TRIM($H299)="","Assembly","Phantom Alt"),VLOOKUP(F299,ZPCS04!B:G,6,0))</f>
        <v>955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1.9999999000000002</v>
      </c>
      <c r="AX299" s="7"/>
      <c r="AY299" s="6" t="b">
        <f>SUMIF(AS:AS,AS299,AP:AP)=100</f>
        <v>1</v>
      </c>
      <c r="AZ299" s="6" t="b">
        <f>SUMIF(AS:AS,AS299,AE:AE)/COUNTIF(AS:AS,AS299)=AE299</f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>C299&amp;" | "&amp;F299</f>
        <v>90MB1BJ0-C1BAY0 | 10G21215R014010</v>
      </c>
      <c r="BE299" s="55" t="str">
        <f ca="1">C299&amp;" | "&amp;OFFSET($AF299,0,8-COUNTBLANK($AG299:$AN299))</f>
        <v>90MB1BJ0-C1BAY0 | 59MB1BJB-MB0A02S</v>
      </c>
      <c r="BF299" s="57">
        <f ca="1">IFERROR(VLOOKUP($BE299,$BD$5:$BF298,3,0)*$AE299,VLOOKUP($C299,Demanda!$A:$B,2,0)*$AE299)*IF(AT299="Phantom Alt",$BC299,TRUE)</f>
        <v>8000</v>
      </c>
      <c r="BG299" s="57">
        <f ca="1">BF299*(AP299/100)</f>
        <v>8000</v>
      </c>
      <c r="BH299" s="57">
        <f>SUMIF(Invoice!A:A,F299,Invoice!B:B)</f>
        <v>10000</v>
      </c>
      <c r="BI299" s="57">
        <f ca="1">SUMIF(AS:AS,AS299,BG:BG)</f>
        <v>8000</v>
      </c>
      <c r="BJ299" s="57">
        <f ca="1">MIN((BI299-SUMIF($AS$5:AS298,AS299,$BJ$5:BJ298)),MAX(0,BH299-SUMIF($F$5:F298,F299,$BJ$5:BJ298)))</f>
        <v>8000</v>
      </c>
      <c r="BK299" s="57">
        <f ca="1">(-SUMIF(AS:AS,AS299,BG:BG)+SUMIF(AS:AS,AS299,BJ:BJ))*(AP299=100)*AR299</f>
        <v>0</v>
      </c>
      <c r="BL299" s="57">
        <f ca="1">MAX(0,SUMIF(Invoice!A:A,F299,Invoice!B:B)-SUMIF(F:F,F299,BJ:BJ))*(COUNTIF(F:F,F299)=COUNTIF($F$5:F299,F299))</f>
        <v>2000</v>
      </c>
    </row>
    <row r="300" spans="1:64" hidden="1">
      <c r="A300" s="43">
        <v>300</v>
      </c>
      <c r="B300" s="35" t="s">
        <v>147</v>
      </c>
      <c r="C300" s="35" t="s">
        <v>146</v>
      </c>
      <c r="D300" s="35">
        <v>2</v>
      </c>
      <c r="E300" s="35">
        <v>1100</v>
      </c>
      <c r="F300" s="64" t="s">
        <v>767</v>
      </c>
      <c r="G300" s="73" t="s">
        <v>768</v>
      </c>
      <c r="H300" s="35" t="s">
        <v>229</v>
      </c>
      <c r="I300" s="35" t="s">
        <v>55</v>
      </c>
      <c r="J300" s="35">
        <v>0</v>
      </c>
      <c r="K300" s="35" t="s">
        <v>489</v>
      </c>
      <c r="L300" s="35" t="s">
        <v>53</v>
      </c>
      <c r="M300" s="35">
        <v>8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44901</v>
      </c>
      <c r="U300" s="36">
        <v>2958465</v>
      </c>
      <c r="V300" s="35" t="s">
        <v>282</v>
      </c>
      <c r="W300" s="35" t="s">
        <v>145</v>
      </c>
      <c r="X300" s="35"/>
      <c r="Y300" s="35" t="s">
        <v>143</v>
      </c>
      <c r="Z300" s="35">
        <v>7589154</v>
      </c>
      <c r="AA300" s="35">
        <v>488</v>
      </c>
      <c r="AB300" s="35">
        <v>244</v>
      </c>
      <c r="AC300" s="35"/>
      <c r="AE300" s="51">
        <f>M300/O300</f>
        <v>8</v>
      </c>
      <c r="AG300" s="6" t="str">
        <f>C300</f>
        <v>90MB1BJ0-C1BAY0</v>
      </c>
      <c r="AH300" s="6" t="str">
        <f>IF($D300&lt;=AH$4,"",IF(AND($D299=AH$4,$D300&gt;AH$4),$F299,AH299))</f>
        <v>59MB1BJB-MB0A02S</v>
      </c>
      <c r="AI300" s="6" t="str">
        <f>IF($D300&lt;=AI$4,"",IF(AND($D299=AI$4,$D300&gt;AI$4),$F299,AI299))</f>
        <v/>
      </c>
      <c r="AJ300" s="6" t="str">
        <f>IF($D300&lt;=AJ$4,"",IF(AND($D299=AJ$4,$D300&gt;AJ$4),$F299,AJ299))</f>
        <v/>
      </c>
      <c r="AK300" s="6" t="str">
        <f>IF($D300&lt;=AK$4,"",IF(AND($D299=AK$4,$D300&gt;AK$4),$F299,AK299))</f>
        <v/>
      </c>
      <c r="AL300" s="6" t="str">
        <f>IF($D300&lt;=AL$4,"",IF(AND($D299=AL$4,$D300&gt;AL$4),$F299,AL299))</f>
        <v/>
      </c>
      <c r="AM300" s="6" t="str">
        <f>IF($D300&lt;=AM$4,"",IF(AND($D299=AM$4,$D300&gt;AM$4),$F299,AM299))</f>
        <v/>
      </c>
      <c r="AN300" s="6" t="str">
        <f>IF($D300&lt;=AN$4,"",IF(AND($D299=AN$4,$D300&gt;AN$4),$F299,AN299))</f>
        <v/>
      </c>
      <c r="AO300" s="6" t="str">
        <f>CONCATENATE(AG300," | ",AH300," | ",AI300," | ",AJ300," | ",AK300," | ",AL300," | ",AM300," | ",AN300)</f>
        <v xml:space="preserve">90MB1BJ0-C1BAY0 | 59MB1BJB-MB0A02S |  |  |  |  |  | </v>
      </c>
      <c r="AP300" s="6">
        <f>IF(TRIM(H300)="",100,J300)</f>
        <v>0</v>
      </c>
      <c r="AQ300" s="4"/>
      <c r="AR300" s="6" t="b">
        <f>NOT(TRIM(W300)&lt;&gt;"F")</f>
        <v>1</v>
      </c>
      <c r="AS300" s="6" t="str">
        <f>$B300&amp;" | "&amp;$AO300&amp;" | "&amp;IF(TRIM(H300)="","uniq"&amp;ROW(),TRIM(H300))</f>
        <v>461E | 90MB1BJ0-C1BAY0 | 59MB1BJB-MB0A02S |  |  |  |  |  |  | B0</v>
      </c>
      <c r="AT300" s="63">
        <f>IF(NOT(AR300),IF(TRIM($H300)="","Assembly","Phantom Alt"),VLOOKUP(F300,ZPCS04!B:G,6,0))</f>
        <v>955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2</v>
      </c>
      <c r="AX300" s="7"/>
      <c r="AY300" s="6" t="b">
        <f>SUMIF(AS:AS,AS300,AP:AP)=100</f>
        <v>1</v>
      </c>
      <c r="AZ300" s="6" t="b">
        <f>SUMIF(AS:AS,AS300,AE:AE)/COUNTIF(AS:AS,AS300)=AE300</f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>C300&amp;" | "&amp;F300</f>
        <v>90MB1BJ0-C1BAY0 | 10G21215R014020</v>
      </c>
      <c r="BE300" s="55" t="str">
        <f ca="1">C300&amp;" | "&amp;OFFSET($AF300,0,8-COUNTBLANK($AG300:$AN300))</f>
        <v>90MB1BJ0-C1BAY0 | 59MB1BJB-MB0A02S</v>
      </c>
      <c r="BF300" s="57">
        <f ca="1">IFERROR(VLOOKUP($BE300,$BD$5:$BF299,3,0)*$AE300,VLOOKUP($C300,Demanda!$A:$B,2,0)*$AE300)*IF(AT300="Phantom Alt",$BC300,TRUE)</f>
        <v>8000</v>
      </c>
      <c r="BG300" s="57">
        <f ca="1">BF300*(AP300/100)</f>
        <v>0</v>
      </c>
      <c r="BH300" s="57">
        <f>SUMIF(Invoice!A:A,F300,Invoice!B:B)</f>
        <v>0</v>
      </c>
      <c r="BI300" s="57">
        <f ca="1">SUMIF(AS:AS,AS300,BG:BG)</f>
        <v>8000</v>
      </c>
      <c r="BJ300" s="57">
        <f ca="1">MIN((BI300-SUMIF($AS$5:AS299,AS300,$BJ$5:BJ299)),MAX(0,BH300-SUMIF($F$5:F299,F300,$BJ$5:BJ299)))</f>
        <v>0</v>
      </c>
      <c r="BK300" s="57">
        <f ca="1">(-SUMIF(AS:AS,AS300,BG:BG)+SUMIF(AS:AS,AS300,BJ:BJ))*(AP300=100)*AR300</f>
        <v>0</v>
      </c>
      <c r="BL300" s="57">
        <f ca="1">MAX(0,SUMIF(Invoice!A:A,F300,Invoice!B:B)-SUMIF(F:F,F300,BJ:BJ))*(COUNTIF(F:F,F300)=COUNTIF($F$5:F300,F300))</f>
        <v>0</v>
      </c>
    </row>
    <row r="301" spans="1:64" hidden="1">
      <c r="A301" s="43">
        <v>301</v>
      </c>
      <c r="B301" s="35" t="s">
        <v>147</v>
      </c>
      <c r="C301" s="35" t="s">
        <v>146</v>
      </c>
      <c r="D301" s="35">
        <v>2</v>
      </c>
      <c r="E301" s="35">
        <v>1100</v>
      </c>
      <c r="F301" s="64" t="s">
        <v>769</v>
      </c>
      <c r="G301" s="73" t="s">
        <v>770</v>
      </c>
      <c r="H301" s="35" t="s">
        <v>229</v>
      </c>
      <c r="I301" s="35" t="s">
        <v>55</v>
      </c>
      <c r="J301" s="35">
        <v>0</v>
      </c>
      <c r="K301" s="35" t="s">
        <v>150</v>
      </c>
      <c r="L301" s="35" t="s">
        <v>53</v>
      </c>
      <c r="M301" s="35">
        <v>8</v>
      </c>
      <c r="N301" s="35"/>
      <c r="O301" s="35">
        <v>1</v>
      </c>
      <c r="P301" s="35">
        <v>2</v>
      </c>
      <c r="Q301" s="35">
        <v>3</v>
      </c>
      <c r="R301" s="35" t="s">
        <v>73</v>
      </c>
      <c r="S301" s="35" t="s">
        <v>73</v>
      </c>
      <c r="T301" s="36">
        <v>44901</v>
      </c>
      <c r="U301" s="36">
        <v>2958465</v>
      </c>
      <c r="V301" s="35" t="s">
        <v>282</v>
      </c>
      <c r="W301" s="35" t="s">
        <v>145</v>
      </c>
      <c r="X301" s="35"/>
      <c r="Y301" s="35" t="s">
        <v>143</v>
      </c>
      <c r="Z301" s="35">
        <v>7589154</v>
      </c>
      <c r="AA301" s="35">
        <v>490</v>
      </c>
      <c r="AB301" s="35">
        <v>245</v>
      </c>
      <c r="AC301" s="35"/>
      <c r="AE301" s="51">
        <f>M301/O301</f>
        <v>8</v>
      </c>
      <c r="AG301" s="6" t="str">
        <f>C301</f>
        <v>90MB1BJ0-C1BAY0</v>
      </c>
      <c r="AH301" s="6" t="str">
        <f>IF($D301&lt;=AH$4,"",IF(AND($D300=AH$4,$D301&gt;AH$4),$F300,AH300))</f>
        <v>59MB1BJB-MB0A02S</v>
      </c>
      <c r="AI301" s="6" t="str">
        <f>IF($D301&lt;=AI$4,"",IF(AND($D300=AI$4,$D301&gt;AI$4),$F300,AI300))</f>
        <v/>
      </c>
      <c r="AJ301" s="6" t="str">
        <f>IF($D301&lt;=AJ$4,"",IF(AND($D300=AJ$4,$D301&gt;AJ$4),$F300,AJ300))</f>
        <v/>
      </c>
      <c r="AK301" s="6" t="str">
        <f>IF($D301&lt;=AK$4,"",IF(AND($D300=AK$4,$D301&gt;AK$4),$F300,AK300))</f>
        <v/>
      </c>
      <c r="AL301" s="6" t="str">
        <f>IF($D301&lt;=AL$4,"",IF(AND($D300=AL$4,$D301&gt;AL$4),$F300,AL300))</f>
        <v/>
      </c>
      <c r="AM301" s="6" t="str">
        <f>IF($D301&lt;=AM$4,"",IF(AND($D300=AM$4,$D301&gt;AM$4),$F300,AM300))</f>
        <v/>
      </c>
      <c r="AN301" s="6" t="str">
        <f>IF($D301&lt;=AN$4,"",IF(AND($D300=AN$4,$D301&gt;AN$4),$F300,AN300))</f>
        <v/>
      </c>
      <c r="AO301" s="6" t="str">
        <f>CONCATENATE(AG301," | ",AH301," | ",AI301," | ",AJ301," | ",AK301," | ",AL301," | ",AM301," | ",AN301)</f>
        <v xml:space="preserve">90MB1BJ0-C1BAY0 | 59MB1BJB-MB0A02S |  |  |  |  |  | </v>
      </c>
      <c r="AP301" s="6">
        <f>IF(TRIM(H301)="",100,J301)</f>
        <v>0</v>
      </c>
      <c r="AQ301" s="4"/>
      <c r="AR301" s="6" t="b">
        <f>NOT(TRIM(W301)&lt;&gt;"F")</f>
        <v>1</v>
      </c>
      <c r="AS301" s="6" t="str">
        <f>$B301&amp;" | "&amp;$AO301&amp;" | "&amp;IF(TRIM(H301)="","uniq"&amp;ROW(),TRIM(H301))</f>
        <v>461E | 90MB1BJ0-C1BAY0 | 59MB1BJB-MB0A02S |  |  |  |  |  |  | B0</v>
      </c>
      <c r="AT301" s="63">
        <f>IF(NOT(AR301),IF(TRIM($H301)="","Assembly","Phantom Alt"),VLOOKUP(F301,ZPCS04!B:G,6,0))</f>
        <v>955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>SUMIF(AS:AS,AS301,AP:AP)=100</f>
        <v>1</v>
      </c>
      <c r="AZ301" s="6" t="b">
        <f>SUMIF(AS:AS,AS301,AE:AE)/COUNTIF(AS:AS,AS301)=AE301</f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>C301&amp;" | "&amp;F301</f>
        <v>90MB1BJ0-C1BAY0 | 10G21215R014050</v>
      </c>
      <c r="BE301" s="55" t="str">
        <f ca="1">C301&amp;" | "&amp;OFFSET($AF301,0,8-COUNTBLANK($AG301:$AN301))</f>
        <v>90MB1BJ0-C1BAY0 | 59MB1BJB-MB0A02S</v>
      </c>
      <c r="BF301" s="57">
        <f ca="1">IFERROR(VLOOKUP($BE301,$BD$5:$BF300,3,0)*$AE301,VLOOKUP($C301,Demanda!$A:$B,2,0)*$AE301)*IF(AT301="Phantom Alt",$BC301,TRUE)</f>
        <v>8000</v>
      </c>
      <c r="BG301" s="57">
        <f ca="1">BF301*(AP301/100)</f>
        <v>0</v>
      </c>
      <c r="BH301" s="57">
        <f>SUMIF(Invoice!A:A,F301,Invoice!B:B)</f>
        <v>0</v>
      </c>
      <c r="BI301" s="57">
        <f ca="1">SUMIF(AS:AS,AS301,BG:BG)</f>
        <v>8000</v>
      </c>
      <c r="BJ301" s="57">
        <f ca="1">MIN((BI301-SUMIF($AS$5:AS300,AS301,$BJ$5:BJ300)),MAX(0,BH301-SUMIF($F$5:F300,F301,$BJ$5:BJ300)))</f>
        <v>0</v>
      </c>
      <c r="BK301" s="57">
        <f ca="1">(-SUMIF(AS:AS,AS301,BG:BG)+SUMIF(AS:AS,AS301,BJ:BJ))*(AP301=100)*AR301</f>
        <v>0</v>
      </c>
      <c r="BL301" s="57">
        <f ca="1">MAX(0,SUMIF(Invoice!A:A,F301,Invoice!B:B)-SUMIF(F:F,F301,BJ:BJ))*(COUNTIF(F:F,F301)=COUNTIF($F$5:F301,F301))</f>
        <v>0</v>
      </c>
    </row>
    <row r="302" spans="1:64" hidden="1">
      <c r="A302" s="43">
        <v>304</v>
      </c>
      <c r="B302" s="35" t="s">
        <v>147</v>
      </c>
      <c r="C302" s="35" t="s">
        <v>146</v>
      </c>
      <c r="D302" s="35">
        <v>2</v>
      </c>
      <c r="E302" s="35">
        <v>1110</v>
      </c>
      <c r="F302" s="64" t="s">
        <v>775</v>
      </c>
      <c r="G302" s="73" t="s">
        <v>776</v>
      </c>
      <c r="H302" s="35" t="s">
        <v>234</v>
      </c>
      <c r="I302" s="35" t="s">
        <v>54</v>
      </c>
      <c r="J302" s="35">
        <v>100</v>
      </c>
      <c r="K302" s="35" t="s">
        <v>150</v>
      </c>
      <c r="L302" s="35" t="s">
        <v>53</v>
      </c>
      <c r="M302" s="35">
        <v>2</v>
      </c>
      <c r="N302" s="35">
        <v>2</v>
      </c>
      <c r="O302" s="35">
        <v>1</v>
      </c>
      <c r="P302" s="35">
        <v>2</v>
      </c>
      <c r="Q302" s="35">
        <v>1</v>
      </c>
      <c r="R302" s="35" t="s">
        <v>73</v>
      </c>
      <c r="S302" s="35" t="s">
        <v>73</v>
      </c>
      <c r="T302" s="36">
        <v>44901</v>
      </c>
      <c r="U302" s="36">
        <v>2958465</v>
      </c>
      <c r="V302" s="35" t="s">
        <v>282</v>
      </c>
      <c r="W302" s="35" t="s">
        <v>145</v>
      </c>
      <c r="X302" s="35"/>
      <c r="Y302" s="35" t="s">
        <v>143</v>
      </c>
      <c r="Z302" s="35">
        <v>7589154</v>
      </c>
      <c r="AA302" s="35">
        <v>492</v>
      </c>
      <c r="AB302" s="35">
        <v>246</v>
      </c>
      <c r="AC302" s="35"/>
      <c r="AE302" s="51">
        <f>M302/O302</f>
        <v>2</v>
      </c>
      <c r="AG302" s="6" t="str">
        <f>C302</f>
        <v>90MB1BJ0-C1BAY0</v>
      </c>
      <c r="AH302" s="6" t="str">
        <f>IF($D302&lt;=AH$4,"",IF(AND($D301=AH$4,$D302&gt;AH$4),$F301,AH301))</f>
        <v>59MB1BJB-MB0A02S</v>
      </c>
      <c r="AI302" s="6" t="str">
        <f>IF($D302&lt;=AI$4,"",IF(AND($D301=AI$4,$D302&gt;AI$4),$F301,AI301))</f>
        <v/>
      </c>
      <c r="AJ302" s="6" t="str">
        <f>IF($D302&lt;=AJ$4,"",IF(AND($D301=AJ$4,$D302&gt;AJ$4),$F301,AJ301))</f>
        <v/>
      </c>
      <c r="AK302" s="6" t="str">
        <f>IF($D302&lt;=AK$4,"",IF(AND($D301=AK$4,$D302&gt;AK$4),$F301,AK301))</f>
        <v/>
      </c>
      <c r="AL302" s="6" t="str">
        <f>IF($D302&lt;=AL$4,"",IF(AND($D301=AL$4,$D302&gt;AL$4),$F301,AL301))</f>
        <v/>
      </c>
      <c r="AM302" s="6" t="str">
        <f>IF($D302&lt;=AM$4,"",IF(AND($D301=AM$4,$D302&gt;AM$4),$F301,AM301))</f>
        <v/>
      </c>
      <c r="AN302" s="6" t="str">
        <f>IF($D302&lt;=AN$4,"",IF(AND($D301=AN$4,$D302&gt;AN$4),$F301,AN301))</f>
        <v/>
      </c>
      <c r="AO302" s="6" t="str">
        <f>CONCATENATE(AG302," | ",AH302," | ",AI302," | ",AJ302," | ",AK302," | ",AL302," | ",AM302," | ",AN302)</f>
        <v xml:space="preserve">90MB1BJ0-C1BAY0 | 59MB1BJB-MB0A02S |  |  |  |  |  | </v>
      </c>
      <c r="AP302" s="6">
        <f>IF(TRIM(H302)="",100,J302)</f>
        <v>100</v>
      </c>
      <c r="AQ302" s="4"/>
      <c r="AR302" s="6" t="b">
        <f>NOT(TRIM(W302)&lt;&gt;"F")</f>
        <v>1</v>
      </c>
      <c r="AS302" s="6" t="str">
        <f>$B302&amp;" | "&amp;$AO302&amp;" | "&amp;IF(TRIM(H302)="","uniq"&amp;ROW(),TRIM(H302))</f>
        <v>461E | 90MB1BJ0-C1BAY0 | 59MB1BJB-MB0A02S |  |  |  |  |  |  | B1</v>
      </c>
      <c r="AT302" s="63">
        <f>IF(NOT(AR302),IF(TRIM($H302)="","Assembly","Phantom Alt"),VLOOKUP(F302,ZPCS04!B:G,6,0))</f>
        <v>956</v>
      </c>
      <c r="AU302" s="7"/>
      <c r="AV302" s="38">
        <f ca="1">IF(TRIM($W302)="F",OFFSET($A$5,MATCH($AS302,$AS$5:$AS302,0)-1,0),$A302)</f>
        <v>304</v>
      </c>
      <c r="AW302" s="38">
        <f ca="1">IFERROR(OFFSET(ZPCS04!$A$1,MATCH(F302,ZPCS04!B:B,0)-1,0),100)</f>
        <v>1.9999999000000002</v>
      </c>
      <c r="AX302" s="7"/>
      <c r="AY302" s="6" t="b">
        <f>SUMIF(AS:AS,AS302,AP:AP)=100</f>
        <v>1</v>
      </c>
      <c r="AZ302" s="6" t="b">
        <f>SUMIF(AS:AS,AS302,AE:AE)/COUNTIF(AS:AS,AS302)=AE302</f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>C302&amp;" | "&amp;F302</f>
        <v>90MB1BJ0-C1BAY0 | 10G212180114050</v>
      </c>
      <c r="BE302" s="55" t="str">
        <f ca="1">C302&amp;" | "&amp;OFFSET($AF302,0,8-COUNTBLANK($AG302:$AN302))</f>
        <v>90MB1BJ0-C1BAY0 | 59MB1BJB-MB0A02S</v>
      </c>
      <c r="BF302" s="57">
        <f ca="1">IFERROR(VLOOKUP($BE302,$BD$5:$BF301,3,0)*$AE302,VLOOKUP($C302,Demanda!$A:$B,2,0)*$AE302)*IF(AT302="Phantom Alt",$BC302,TRUE)</f>
        <v>2000</v>
      </c>
      <c r="BG302" s="57">
        <f ca="1">BF302*(AP302/100)</f>
        <v>2000</v>
      </c>
      <c r="BH302" s="57">
        <f>SUMIF(Invoice!A:A,F302,Invoice!B:B)</f>
        <v>10000</v>
      </c>
      <c r="BI302" s="57">
        <f ca="1">SUMIF(AS:AS,AS302,BG:BG)</f>
        <v>2000</v>
      </c>
      <c r="BJ302" s="57">
        <f ca="1">MIN((BI302-SUMIF($AS$5:AS301,AS302,$BJ$5:BJ301)),MAX(0,BH302-SUMIF($F$5:F301,F302,$BJ$5:BJ301)))</f>
        <v>2000</v>
      </c>
      <c r="BK302" s="57">
        <f ca="1">(-SUMIF(AS:AS,AS302,BG:BG)+SUMIF(AS:AS,AS302,BJ:BJ))*(AP302=100)*AR302</f>
        <v>0</v>
      </c>
      <c r="BL302" s="57">
        <f ca="1">MAX(0,SUMIF(Invoice!A:A,F302,Invoice!B:B)-SUMIF(F:F,F302,BJ:BJ))*(COUNTIF(F:F,F302)=COUNTIF($F$5:F302,F302))</f>
        <v>8000</v>
      </c>
    </row>
    <row r="303" spans="1:64" hidden="1">
      <c r="A303" s="43">
        <v>302</v>
      </c>
      <c r="B303" s="35" t="s">
        <v>147</v>
      </c>
      <c r="C303" s="35" t="s">
        <v>146</v>
      </c>
      <c r="D303" s="35">
        <v>2</v>
      </c>
      <c r="E303" s="35">
        <v>1110</v>
      </c>
      <c r="F303" s="64" t="s">
        <v>771</v>
      </c>
      <c r="G303" s="73" t="s">
        <v>772</v>
      </c>
      <c r="H303" s="35" t="s">
        <v>234</v>
      </c>
      <c r="I303" s="35" t="s">
        <v>55</v>
      </c>
      <c r="J303" s="35">
        <v>0</v>
      </c>
      <c r="K303" s="35" t="s">
        <v>489</v>
      </c>
      <c r="L303" s="35" t="s">
        <v>53</v>
      </c>
      <c r="M303" s="35">
        <v>2</v>
      </c>
      <c r="N303" s="35"/>
      <c r="O303" s="35">
        <v>1</v>
      </c>
      <c r="P303" s="35">
        <v>2</v>
      </c>
      <c r="Q303" s="35">
        <v>2</v>
      </c>
      <c r="R303" s="35" t="s">
        <v>122</v>
      </c>
      <c r="S303" s="35" t="s">
        <v>122</v>
      </c>
      <c r="T303" s="36">
        <v>44901</v>
      </c>
      <c r="U303" s="36">
        <v>2958465</v>
      </c>
      <c r="V303" s="35" t="s">
        <v>282</v>
      </c>
      <c r="W303" s="35" t="s">
        <v>145</v>
      </c>
      <c r="X303" s="35"/>
      <c r="Y303" s="35" t="s">
        <v>143</v>
      </c>
      <c r="Z303" s="35">
        <v>7589154</v>
      </c>
      <c r="AA303" s="35">
        <v>494</v>
      </c>
      <c r="AB303" s="35">
        <v>247</v>
      </c>
      <c r="AC303" s="35"/>
      <c r="AE303" s="51">
        <f>M303/O303</f>
        <v>2</v>
      </c>
      <c r="AG303" s="6" t="str">
        <f>C303</f>
        <v>90MB1BJ0-C1BAY0</v>
      </c>
      <c r="AH303" s="6" t="str">
        <f>IF($D303&lt;=AH$4,"",IF(AND($D302=AH$4,$D303&gt;AH$4),$F302,AH302))</f>
        <v>59MB1BJB-MB0A02S</v>
      </c>
      <c r="AI303" s="6" t="str">
        <f>IF($D303&lt;=AI$4,"",IF(AND($D302=AI$4,$D303&gt;AI$4),$F302,AI302))</f>
        <v/>
      </c>
      <c r="AJ303" s="6" t="str">
        <f>IF($D303&lt;=AJ$4,"",IF(AND($D302=AJ$4,$D303&gt;AJ$4),$F302,AJ302))</f>
        <v/>
      </c>
      <c r="AK303" s="6" t="str">
        <f>IF($D303&lt;=AK$4,"",IF(AND($D302=AK$4,$D303&gt;AK$4),$F302,AK302))</f>
        <v/>
      </c>
      <c r="AL303" s="6" t="str">
        <f>IF($D303&lt;=AL$4,"",IF(AND($D302=AL$4,$D303&gt;AL$4),$F302,AL302))</f>
        <v/>
      </c>
      <c r="AM303" s="6" t="str">
        <f>IF($D303&lt;=AM$4,"",IF(AND($D302=AM$4,$D303&gt;AM$4),$F302,AM302))</f>
        <v/>
      </c>
      <c r="AN303" s="6" t="str">
        <f>IF($D303&lt;=AN$4,"",IF(AND($D302=AN$4,$D303&gt;AN$4),$F302,AN302))</f>
        <v/>
      </c>
      <c r="AO303" s="6" t="str">
        <f>CONCATENATE(AG303," | ",AH303," | ",AI303," | ",AJ303," | ",AK303," | ",AL303," | ",AM303," | ",AN303)</f>
        <v xml:space="preserve">90MB1BJ0-C1BAY0 | 59MB1BJB-MB0A02S |  |  |  |  |  | </v>
      </c>
      <c r="AP303" s="6">
        <f>IF(TRIM(H303)="",100,J303)</f>
        <v>0</v>
      </c>
      <c r="AQ303" s="4"/>
      <c r="AR303" s="6" t="b">
        <f>NOT(TRIM(W303)&lt;&gt;"F")</f>
        <v>1</v>
      </c>
      <c r="AS303" s="6" t="str">
        <f>$B303&amp;" | "&amp;$AO303&amp;" | "&amp;IF(TRIM(H303)="","uniq"&amp;ROW(),TRIM(H303))</f>
        <v>461E | 90MB1BJ0-C1BAY0 | 59MB1BJB-MB0A02S |  |  |  |  |  |  | B1</v>
      </c>
      <c r="AT303" s="63">
        <f>IF(NOT(AR303),IF(TRIM($H303)="","Assembly","Phantom Alt"),VLOOKUP(F303,ZPCS04!B:G,6,0))</f>
        <v>956</v>
      </c>
      <c r="AU303" s="7"/>
      <c r="AV303" s="38">
        <f ca="1">IF(TRIM($W303)="F",OFFSET($A$5,MATCH($AS303,$AS$5:$AS303,0)-1,0),$A303)</f>
        <v>304</v>
      </c>
      <c r="AW303" s="38">
        <f ca="1">IFERROR(OFFSET(ZPCS04!$A$1,MATCH(F303,ZPCS04!B:B,0)-1,0),100)</f>
        <v>2</v>
      </c>
      <c r="AX303" s="7"/>
      <c r="AY303" s="6" t="b">
        <f>SUMIF(AS:AS,AS303,AP:AP)=100</f>
        <v>1</v>
      </c>
      <c r="AZ303" s="6" t="b">
        <f>SUMIF(AS:AS,AS303,AE:AE)/COUNTIF(AS:AS,AS303)=AE303</f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>C303&amp;" | "&amp;F303</f>
        <v>90MB1BJ0-C1BAY0 | 10G212180114010</v>
      </c>
      <c r="BE303" s="55" t="str">
        <f ca="1">C303&amp;" | "&amp;OFFSET($AF303,0,8-COUNTBLANK($AG303:$AN303))</f>
        <v>90MB1BJ0-C1BAY0 | 59MB1BJB-MB0A02S</v>
      </c>
      <c r="BF303" s="57">
        <f ca="1">IFERROR(VLOOKUP($BE303,$BD$5:$BF302,3,0)*$AE303,VLOOKUP($C303,Demanda!$A:$B,2,0)*$AE303)*IF(AT303="Phantom Alt",$BC303,TRUE)</f>
        <v>2000</v>
      </c>
      <c r="BG303" s="57">
        <f ca="1">BF303*(AP303/100)</f>
        <v>0</v>
      </c>
      <c r="BH303" s="57">
        <f>SUMIF(Invoice!A:A,F303,Invoice!B:B)</f>
        <v>0</v>
      </c>
      <c r="BI303" s="57">
        <f ca="1">SUMIF(AS:AS,AS303,BG:BG)</f>
        <v>2000</v>
      </c>
      <c r="BJ303" s="57">
        <f ca="1">MIN((BI303-SUMIF($AS$5:AS302,AS303,$BJ$5:BJ302)),MAX(0,BH303-SUMIF($F$5:F302,F303,$BJ$5:BJ302)))</f>
        <v>0</v>
      </c>
      <c r="BK303" s="57">
        <f ca="1">(-SUMIF(AS:AS,AS303,BG:BG)+SUMIF(AS:AS,AS303,BJ:BJ))*(AP303=100)*AR303</f>
        <v>0</v>
      </c>
      <c r="BL303" s="57">
        <f ca="1">MAX(0,SUMIF(Invoice!A:A,F303,Invoice!B:B)-SUMIF(F:F,F303,BJ:BJ))*(COUNTIF(F:F,F303)=COUNTIF($F$5:F303,F303))</f>
        <v>0</v>
      </c>
    </row>
    <row r="304" spans="1:64" hidden="1">
      <c r="A304" s="43">
        <v>303</v>
      </c>
      <c r="B304" s="35" t="s">
        <v>147</v>
      </c>
      <c r="C304" s="35" t="s">
        <v>146</v>
      </c>
      <c r="D304" s="35">
        <v>2</v>
      </c>
      <c r="E304" s="35">
        <v>1110</v>
      </c>
      <c r="F304" s="64" t="s">
        <v>773</v>
      </c>
      <c r="G304" s="73" t="s">
        <v>774</v>
      </c>
      <c r="H304" s="35" t="s">
        <v>234</v>
      </c>
      <c r="I304" s="35" t="s">
        <v>55</v>
      </c>
      <c r="J304" s="35">
        <v>0</v>
      </c>
      <c r="K304" s="35" t="s">
        <v>489</v>
      </c>
      <c r="L304" s="35" t="s">
        <v>53</v>
      </c>
      <c r="M304" s="35">
        <v>2</v>
      </c>
      <c r="N304" s="35"/>
      <c r="O304" s="35">
        <v>1</v>
      </c>
      <c r="P304" s="35">
        <v>2</v>
      </c>
      <c r="Q304" s="35">
        <v>3</v>
      </c>
      <c r="R304" s="35" t="s">
        <v>122</v>
      </c>
      <c r="S304" s="35" t="s">
        <v>122</v>
      </c>
      <c r="T304" s="36">
        <v>44901</v>
      </c>
      <c r="U304" s="36">
        <v>2958465</v>
      </c>
      <c r="V304" s="35" t="s">
        <v>282</v>
      </c>
      <c r="W304" s="35" t="s">
        <v>145</v>
      </c>
      <c r="X304" s="35"/>
      <c r="Y304" s="35" t="s">
        <v>143</v>
      </c>
      <c r="Z304" s="35">
        <v>7589154</v>
      </c>
      <c r="AA304" s="35">
        <v>496</v>
      </c>
      <c r="AB304" s="35">
        <v>248</v>
      </c>
      <c r="AC304" s="35"/>
      <c r="AE304" s="51">
        <f>M304/O304</f>
        <v>2</v>
      </c>
      <c r="AG304" s="6" t="str">
        <f>C304</f>
        <v>90MB1BJ0-C1BAY0</v>
      </c>
      <c r="AH304" s="6" t="str">
        <f>IF($D304&lt;=AH$4,"",IF(AND($D303=AH$4,$D304&gt;AH$4),$F303,AH303))</f>
        <v>59MB1BJB-MB0A02S</v>
      </c>
      <c r="AI304" s="6" t="str">
        <f>IF($D304&lt;=AI$4,"",IF(AND($D303=AI$4,$D304&gt;AI$4),$F303,AI303))</f>
        <v/>
      </c>
      <c r="AJ304" s="6" t="str">
        <f>IF($D304&lt;=AJ$4,"",IF(AND($D303=AJ$4,$D304&gt;AJ$4),$F303,AJ303))</f>
        <v/>
      </c>
      <c r="AK304" s="6" t="str">
        <f>IF($D304&lt;=AK$4,"",IF(AND($D303=AK$4,$D304&gt;AK$4),$F303,AK303))</f>
        <v/>
      </c>
      <c r="AL304" s="6" t="str">
        <f>IF($D304&lt;=AL$4,"",IF(AND($D303=AL$4,$D304&gt;AL$4),$F303,AL303))</f>
        <v/>
      </c>
      <c r="AM304" s="6" t="str">
        <f>IF($D304&lt;=AM$4,"",IF(AND($D303=AM$4,$D304&gt;AM$4),$F303,AM303))</f>
        <v/>
      </c>
      <c r="AN304" s="6" t="str">
        <f>IF($D304&lt;=AN$4,"",IF(AND($D303=AN$4,$D304&gt;AN$4),$F303,AN303))</f>
        <v/>
      </c>
      <c r="AO304" s="6" t="str">
        <f>CONCATENATE(AG304," | ",AH304," | ",AI304," | ",AJ304," | ",AK304," | ",AL304," | ",AM304," | ",AN304)</f>
        <v xml:space="preserve">90MB1BJ0-C1BAY0 | 59MB1BJB-MB0A02S |  |  |  |  |  | </v>
      </c>
      <c r="AP304" s="6">
        <f>IF(TRIM(H304)="",100,J304)</f>
        <v>0</v>
      </c>
      <c r="AQ304" s="4"/>
      <c r="AR304" s="6" t="b">
        <f>NOT(TRIM(W304)&lt;&gt;"F")</f>
        <v>1</v>
      </c>
      <c r="AS304" s="6" t="str">
        <f>$B304&amp;" | "&amp;$AO304&amp;" | "&amp;IF(TRIM(H304)="","uniq"&amp;ROW(),TRIM(H304))</f>
        <v>461E | 90MB1BJ0-C1BAY0 | 59MB1BJB-MB0A02S |  |  |  |  |  |  | B1</v>
      </c>
      <c r="AT304" s="63">
        <f>IF(NOT(AR304),IF(TRIM($H304)="","Assembly","Phantom Alt"),VLOOKUP(F304,ZPCS04!B:G,6,0))</f>
        <v>956</v>
      </c>
      <c r="AU304" s="7"/>
      <c r="AV304" s="38">
        <f ca="1">IF(TRIM($W304)="F",OFFSET($A$5,MATCH($AS304,$AS$5:$AS304,0)-1,0),$A304)</f>
        <v>304</v>
      </c>
      <c r="AW304" s="38">
        <f ca="1">IFERROR(OFFSET(ZPCS04!$A$1,MATCH(F304,ZPCS04!B:B,0)-1,0),100)</f>
        <v>2</v>
      </c>
      <c r="AX304" s="7"/>
      <c r="AY304" s="6" t="b">
        <f>SUMIF(AS:AS,AS304,AP:AP)=100</f>
        <v>1</v>
      </c>
      <c r="AZ304" s="6" t="b">
        <f>SUMIF(AS:AS,AS304,AE:AE)/COUNTIF(AS:AS,AS304)=AE304</f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>C304&amp;" | "&amp;F304</f>
        <v>90MB1BJ0-C1BAY0 | 10G212180114020</v>
      </c>
      <c r="BE304" s="55" t="str">
        <f ca="1">C304&amp;" | "&amp;OFFSET($AF304,0,8-COUNTBLANK($AG304:$AN304))</f>
        <v>90MB1BJ0-C1BAY0 | 59MB1BJB-MB0A02S</v>
      </c>
      <c r="BF304" s="57">
        <f ca="1">IFERROR(VLOOKUP($BE304,$BD$5:$BF303,3,0)*$AE304,VLOOKUP($C304,Demanda!$A:$B,2,0)*$AE304)*IF(AT304="Phantom Alt",$BC304,TRUE)</f>
        <v>2000</v>
      </c>
      <c r="BG304" s="57">
        <f ca="1">BF304*(AP304/100)</f>
        <v>0</v>
      </c>
      <c r="BH304" s="57">
        <f>SUMIF(Invoice!A:A,F304,Invoice!B:B)</f>
        <v>0</v>
      </c>
      <c r="BI304" s="57">
        <f ca="1">SUMIF(AS:AS,AS304,BG:BG)</f>
        <v>2000</v>
      </c>
      <c r="BJ304" s="57">
        <f ca="1">MIN((BI304-SUMIF($AS$5:AS303,AS304,$BJ$5:BJ303)),MAX(0,BH304-SUMIF($F$5:F303,F304,$BJ$5:BJ303)))</f>
        <v>0</v>
      </c>
      <c r="BK304" s="57">
        <f ca="1">(-SUMIF(AS:AS,AS304,BG:BG)+SUMIF(AS:AS,AS304,BJ:BJ))*(AP304=100)*AR304</f>
        <v>0</v>
      </c>
      <c r="BL304" s="57">
        <f ca="1">MAX(0,SUMIF(Invoice!A:A,F304,Invoice!B:B)-SUMIF(F:F,F304,BJ:BJ))*(COUNTIF(F:F,F304)=COUNTIF($F$5:F304,F304))</f>
        <v>0</v>
      </c>
    </row>
    <row r="305" spans="1:64" hidden="1">
      <c r="A305" s="43">
        <v>305</v>
      </c>
      <c r="B305" s="35" t="s">
        <v>147</v>
      </c>
      <c r="C305" s="35" t="s">
        <v>146</v>
      </c>
      <c r="D305" s="35">
        <v>2</v>
      </c>
      <c r="E305" s="35">
        <v>1120</v>
      </c>
      <c r="F305" s="64" t="s">
        <v>777</v>
      </c>
      <c r="G305" s="73" t="s">
        <v>778</v>
      </c>
      <c r="H305" s="35" t="s">
        <v>239</v>
      </c>
      <c r="I305" s="35" t="s">
        <v>55</v>
      </c>
      <c r="J305" s="35">
        <v>0</v>
      </c>
      <c r="K305" s="35" t="s">
        <v>489</v>
      </c>
      <c r="L305" s="35" t="s">
        <v>53</v>
      </c>
      <c r="M305" s="35">
        <v>1</v>
      </c>
      <c r="N305" s="35"/>
      <c r="O305" s="35">
        <v>1</v>
      </c>
      <c r="P305" s="35">
        <v>2</v>
      </c>
      <c r="Q305" s="35">
        <v>2</v>
      </c>
      <c r="R305" s="35" t="s">
        <v>122</v>
      </c>
      <c r="S305" s="35" t="s">
        <v>122</v>
      </c>
      <c r="T305" s="36">
        <v>44901</v>
      </c>
      <c r="U305" s="36">
        <v>2958465</v>
      </c>
      <c r="V305" s="35" t="s">
        <v>282</v>
      </c>
      <c r="W305" s="35" t="s">
        <v>145</v>
      </c>
      <c r="X305" s="35"/>
      <c r="Y305" s="35" t="s">
        <v>143</v>
      </c>
      <c r="Z305" s="35">
        <v>7589154</v>
      </c>
      <c r="AA305" s="35">
        <v>500</v>
      </c>
      <c r="AB305" s="35">
        <v>250</v>
      </c>
      <c r="AC305" s="35" t="s">
        <v>144</v>
      </c>
      <c r="AE305" s="51">
        <f>M305/O305</f>
        <v>1</v>
      </c>
      <c r="AG305" s="6" t="str">
        <f>C305</f>
        <v>90MB1BJ0-C1BAY0</v>
      </c>
      <c r="AH305" s="6" t="str">
        <f>IF($D305&lt;=AH$4,"",IF(AND($D304=AH$4,$D305&gt;AH$4),$F304,AH304))</f>
        <v>59MB1BJB-MB0A02S</v>
      </c>
      <c r="AI305" s="6" t="str">
        <f>IF($D305&lt;=AI$4,"",IF(AND($D304=AI$4,$D305&gt;AI$4),$F304,AI304))</f>
        <v/>
      </c>
      <c r="AJ305" s="6" t="str">
        <f>IF($D305&lt;=AJ$4,"",IF(AND($D304=AJ$4,$D305&gt;AJ$4),$F304,AJ304))</f>
        <v/>
      </c>
      <c r="AK305" s="6" t="str">
        <f>IF($D305&lt;=AK$4,"",IF(AND($D304=AK$4,$D305&gt;AK$4),$F304,AK304))</f>
        <v/>
      </c>
      <c r="AL305" s="6" t="str">
        <f>IF($D305&lt;=AL$4,"",IF(AND($D304=AL$4,$D305&gt;AL$4),$F304,AL304))</f>
        <v/>
      </c>
      <c r="AM305" s="6" t="str">
        <f>IF($D305&lt;=AM$4,"",IF(AND($D304=AM$4,$D305&gt;AM$4),$F304,AM304))</f>
        <v/>
      </c>
      <c r="AN305" s="6" t="str">
        <f>IF($D305&lt;=AN$4,"",IF(AND($D304=AN$4,$D305&gt;AN$4),$F304,AN304))</f>
        <v/>
      </c>
      <c r="AO305" s="6" t="str">
        <f>CONCATENATE(AG305," | ",AH305," | ",AI305," | ",AJ305," | ",AK305," | ",AL305," | ",AM305," | ",AN305)</f>
        <v xml:space="preserve">90MB1BJ0-C1BAY0 | 59MB1BJB-MB0A02S |  |  |  |  |  | </v>
      </c>
      <c r="AP305" s="6">
        <f>IF(TRIM(H305)="",100,J305)</f>
        <v>0</v>
      </c>
      <c r="AQ305" s="4"/>
      <c r="AR305" s="6" t="b">
        <f>NOT(TRIM(W305)&lt;&gt;"F")</f>
        <v>1</v>
      </c>
      <c r="AS305" s="6" t="str">
        <f>$B305&amp;" | "&amp;$AO305&amp;" | "&amp;IF(TRIM(H305)="","uniq"&amp;ROW(),TRIM(H305))</f>
        <v>461E | 90MB1BJ0-C1BAY0 | 59MB1BJB-MB0A02S |  |  |  |  |  |  | B2</v>
      </c>
      <c r="AT305" s="63">
        <f>IF(NOT(AR305),IF(TRIM($H305)="","Assembly","Phantom Alt"),VLOOKUP(F305,ZPCS04!B:G,6,0))</f>
        <v>838</v>
      </c>
      <c r="AU305" s="7"/>
      <c r="AV305" s="38">
        <f ca="1">IF(TRIM($W305)="F",OFFSET($A$5,MATCH($AS305,$AS$5:$AS305,0)-1,0),$A305)</f>
        <v>305</v>
      </c>
      <c r="AW305" s="38">
        <f ca="1">IFERROR(OFFSET(ZPCS04!$A$1,MATCH(F305,ZPCS04!B:B,0)-1,0),100)</f>
        <v>1.9999999000000002</v>
      </c>
      <c r="AX305" s="7"/>
      <c r="AY305" s="6" t="b">
        <f>SUMIF(AS:AS,AS305,AP:AP)=100</f>
        <v>1</v>
      </c>
      <c r="AZ305" s="6" t="b">
        <f>SUMIF(AS:AS,AS305,AE:AE)/COUNTIF(AS:AS,AS305)=AE305</f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>C305&amp;" | "&amp;F305</f>
        <v>90MB1BJ0-C1BAY0 | 10G212180214010</v>
      </c>
      <c r="BE305" s="55" t="str">
        <f ca="1">C305&amp;" | "&amp;OFFSET($AF305,0,8-COUNTBLANK($AG305:$AN305))</f>
        <v>90MB1BJ0-C1BAY0 | 59MB1BJB-MB0A02S</v>
      </c>
      <c r="BF305" s="57">
        <f ca="1">IFERROR(VLOOKUP($BE305,$BD$5:$BF304,3,0)*$AE305,VLOOKUP($C305,Demanda!$A:$B,2,0)*$AE305)*IF(AT305="Phantom Alt",$BC305,TRUE)</f>
        <v>1000</v>
      </c>
      <c r="BG305" s="57">
        <f ca="1">BF305*(AP305/100)</f>
        <v>0</v>
      </c>
      <c r="BH305" s="57">
        <f>SUMIF(Invoice!A:A,F305,Invoice!B:B)</f>
        <v>10000</v>
      </c>
      <c r="BI305" s="57">
        <f ca="1">SUMIF(AS:AS,AS305,BG:BG)</f>
        <v>1000</v>
      </c>
      <c r="BJ305" s="57">
        <f ca="1">MIN((BI305-SUMIF($AS$5:AS304,AS305,$BJ$5:BJ304)),MAX(0,BH305-SUMIF($F$5:F304,F305,$BJ$5:BJ304)))</f>
        <v>1000</v>
      </c>
      <c r="BK305" s="57">
        <f ca="1">(-SUMIF(AS:AS,AS305,BG:BG)+SUMIF(AS:AS,AS305,BJ:BJ))*(AP305=100)*AR305</f>
        <v>0</v>
      </c>
      <c r="BL305" s="57">
        <f ca="1">MAX(0,SUMIF(Invoice!A:A,F305,Invoice!B:B)-SUMIF(F:F,F305,BJ:BJ))*(COUNTIF(F:F,F305)=COUNTIF($F$5:F305,F305))</f>
        <v>9000</v>
      </c>
    </row>
    <row r="306" spans="1:64" hidden="1">
      <c r="A306" s="43">
        <v>306</v>
      </c>
      <c r="B306" s="35" t="s">
        <v>147</v>
      </c>
      <c r="C306" s="35" t="s">
        <v>146</v>
      </c>
      <c r="D306" s="35">
        <v>2</v>
      </c>
      <c r="E306" s="35">
        <v>1120</v>
      </c>
      <c r="F306" s="64" t="s">
        <v>779</v>
      </c>
      <c r="G306" s="73" t="s">
        <v>780</v>
      </c>
      <c r="H306" s="35" t="s">
        <v>239</v>
      </c>
      <c r="I306" s="35" t="s">
        <v>55</v>
      </c>
      <c r="J306" s="35">
        <v>0</v>
      </c>
      <c r="K306" s="35" t="s">
        <v>489</v>
      </c>
      <c r="L306" s="35" t="s">
        <v>53</v>
      </c>
      <c r="M306" s="35">
        <v>1</v>
      </c>
      <c r="N306" s="35"/>
      <c r="O306" s="35">
        <v>1</v>
      </c>
      <c r="P306" s="35">
        <v>2</v>
      </c>
      <c r="Q306" s="35">
        <v>3</v>
      </c>
      <c r="R306" s="35" t="s">
        <v>122</v>
      </c>
      <c r="S306" s="35" t="s">
        <v>122</v>
      </c>
      <c r="T306" s="36">
        <v>44901</v>
      </c>
      <c r="U306" s="36">
        <v>2958465</v>
      </c>
      <c r="V306" s="35" t="s">
        <v>282</v>
      </c>
      <c r="W306" s="35" t="s">
        <v>145</v>
      </c>
      <c r="X306" s="35"/>
      <c r="Y306" s="35" t="s">
        <v>143</v>
      </c>
      <c r="Z306" s="35">
        <v>7589154</v>
      </c>
      <c r="AA306" s="35">
        <v>502</v>
      </c>
      <c r="AB306" s="35">
        <v>251</v>
      </c>
      <c r="AC306" s="35"/>
      <c r="AE306" s="51">
        <f>M306/O306</f>
        <v>1</v>
      </c>
      <c r="AG306" s="6" t="str">
        <f>C306</f>
        <v>90MB1BJ0-C1BAY0</v>
      </c>
      <c r="AH306" s="6" t="str">
        <f>IF($D306&lt;=AH$4,"",IF(AND($D305=AH$4,$D306&gt;AH$4),$F305,AH305))</f>
        <v>59MB1BJB-MB0A02S</v>
      </c>
      <c r="AI306" s="6" t="str">
        <f>IF($D306&lt;=AI$4,"",IF(AND($D305=AI$4,$D306&gt;AI$4),$F305,AI305))</f>
        <v/>
      </c>
      <c r="AJ306" s="6" t="str">
        <f>IF($D306&lt;=AJ$4,"",IF(AND($D305=AJ$4,$D306&gt;AJ$4),$F305,AJ305))</f>
        <v/>
      </c>
      <c r="AK306" s="6" t="str">
        <f>IF($D306&lt;=AK$4,"",IF(AND($D305=AK$4,$D306&gt;AK$4),$F305,AK305))</f>
        <v/>
      </c>
      <c r="AL306" s="6" t="str">
        <f>IF($D306&lt;=AL$4,"",IF(AND($D305=AL$4,$D306&gt;AL$4),$F305,AL305))</f>
        <v/>
      </c>
      <c r="AM306" s="6" t="str">
        <f>IF($D306&lt;=AM$4,"",IF(AND($D305=AM$4,$D306&gt;AM$4),$F305,AM305))</f>
        <v/>
      </c>
      <c r="AN306" s="6" t="str">
        <f>IF($D306&lt;=AN$4,"",IF(AND($D305=AN$4,$D306&gt;AN$4),$F305,AN305))</f>
        <v/>
      </c>
      <c r="AO306" s="6" t="str">
        <f>CONCATENATE(AG306," | ",AH306," | ",AI306," | ",AJ306," | ",AK306," | ",AL306," | ",AM306," | ",AN306)</f>
        <v xml:space="preserve">90MB1BJ0-C1BAY0 | 59MB1BJB-MB0A02S |  |  |  |  |  | </v>
      </c>
      <c r="AP306" s="6">
        <f>IF(TRIM(H306)="",100,J306)</f>
        <v>0</v>
      </c>
      <c r="AQ306" s="4"/>
      <c r="AR306" s="6" t="b">
        <f>NOT(TRIM(W306)&lt;&gt;"F")</f>
        <v>1</v>
      </c>
      <c r="AS306" s="6" t="str">
        <f>$B306&amp;" | "&amp;$AO306&amp;" | "&amp;IF(TRIM(H306)="","uniq"&amp;ROW(),TRIM(H306))</f>
        <v>461E | 90MB1BJ0-C1BAY0 | 59MB1BJB-MB0A02S |  |  |  |  |  |  | B2</v>
      </c>
      <c r="AT306" s="63">
        <f>IF(NOT(AR306),IF(TRIM($H306)="","Assembly","Phantom Alt"),VLOOKUP(F306,ZPCS04!B:G,6,0))</f>
        <v>838</v>
      </c>
      <c r="AU306" s="7"/>
      <c r="AV306" s="38">
        <f ca="1">IF(TRIM($W306)="F",OFFSET($A$5,MATCH($AS306,$AS$5:$AS306,0)-1,0),$A306)</f>
        <v>305</v>
      </c>
      <c r="AW306" s="38">
        <f ca="1">IFERROR(OFFSET(ZPCS04!$A$1,MATCH(F306,ZPCS04!B:B,0)-1,0),100)</f>
        <v>2</v>
      </c>
      <c r="AX306" s="7"/>
      <c r="AY306" s="6" t="b">
        <f>SUMIF(AS:AS,AS306,AP:AP)=100</f>
        <v>1</v>
      </c>
      <c r="AZ306" s="6" t="b">
        <f>SUMIF(AS:AS,AS306,AE:AE)/COUNTIF(AS:AS,AS306)=AE306</f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>C306&amp;" | "&amp;F306</f>
        <v>90MB1BJ0-C1BAY0 | 10G212180214020</v>
      </c>
      <c r="BE306" s="55" t="str">
        <f ca="1">C306&amp;" | "&amp;OFFSET($AF306,0,8-COUNTBLANK($AG306:$AN306))</f>
        <v>90MB1BJ0-C1BAY0 | 59MB1BJB-MB0A02S</v>
      </c>
      <c r="BF306" s="57">
        <f ca="1">IFERROR(VLOOKUP($BE306,$BD$5:$BF305,3,0)*$AE306,VLOOKUP($C306,Demanda!$A:$B,2,0)*$AE306)*IF(AT306="Phantom Alt",$BC306,TRUE)</f>
        <v>1000</v>
      </c>
      <c r="BG306" s="57">
        <f ca="1">BF306*(AP306/100)</f>
        <v>0</v>
      </c>
      <c r="BH306" s="57">
        <f>SUMIF(Invoice!A:A,F306,Invoice!B:B)</f>
        <v>0</v>
      </c>
      <c r="BI306" s="57">
        <f ca="1">SUMIF(AS:AS,AS306,BG:BG)</f>
        <v>1000</v>
      </c>
      <c r="BJ306" s="57">
        <f ca="1">MIN((BI306-SUMIF($AS$5:AS305,AS306,$BJ$5:BJ305)),MAX(0,BH306-SUMIF($F$5:F305,F306,$BJ$5:BJ305)))</f>
        <v>0</v>
      </c>
      <c r="BK306" s="57">
        <f ca="1">(-SUMIF(AS:AS,AS306,BG:BG)+SUMIF(AS:AS,AS306,BJ:BJ))*(AP306=100)*AR306</f>
        <v>0</v>
      </c>
      <c r="BL306" s="57">
        <f ca="1">MAX(0,SUMIF(Invoice!A:A,F306,Invoice!B:B)-SUMIF(F:F,F306,BJ:BJ))*(COUNTIF(F:F,F306)=COUNTIF($F$5:F306,F306))</f>
        <v>0</v>
      </c>
    </row>
    <row r="307" spans="1:64" hidden="1">
      <c r="A307" s="43">
        <v>307</v>
      </c>
      <c r="B307" s="35" t="s">
        <v>147</v>
      </c>
      <c r="C307" s="35" t="s">
        <v>146</v>
      </c>
      <c r="D307" s="35">
        <v>2</v>
      </c>
      <c r="E307" s="35">
        <v>1120</v>
      </c>
      <c r="F307" s="64" t="s">
        <v>781</v>
      </c>
      <c r="G307" s="73" t="s">
        <v>782</v>
      </c>
      <c r="H307" s="35" t="s">
        <v>239</v>
      </c>
      <c r="I307" s="35" t="s">
        <v>54</v>
      </c>
      <c r="J307" s="35">
        <v>100</v>
      </c>
      <c r="K307" s="35" t="s">
        <v>150</v>
      </c>
      <c r="L307" s="35" t="s">
        <v>53</v>
      </c>
      <c r="M307" s="35">
        <v>1</v>
      </c>
      <c r="N307" s="35">
        <v>1</v>
      </c>
      <c r="O307" s="35">
        <v>1</v>
      </c>
      <c r="P307" s="35">
        <v>2</v>
      </c>
      <c r="Q307" s="35">
        <v>1</v>
      </c>
      <c r="R307" s="35" t="s">
        <v>73</v>
      </c>
      <c r="S307" s="35" t="s">
        <v>73</v>
      </c>
      <c r="T307" s="36">
        <v>44901</v>
      </c>
      <c r="U307" s="36">
        <v>2958465</v>
      </c>
      <c r="V307" s="35" t="s">
        <v>282</v>
      </c>
      <c r="W307" s="35" t="s">
        <v>145</v>
      </c>
      <c r="X307" s="35"/>
      <c r="Y307" s="35" t="s">
        <v>143</v>
      </c>
      <c r="Z307" s="35">
        <v>7589154</v>
      </c>
      <c r="AA307" s="35">
        <v>498</v>
      </c>
      <c r="AB307" s="35">
        <v>249</v>
      </c>
      <c r="AC307" s="35"/>
      <c r="AE307" s="51">
        <f>M307/O307</f>
        <v>1</v>
      </c>
      <c r="AG307" s="6" t="str">
        <f>C307</f>
        <v>90MB1BJ0-C1BAY0</v>
      </c>
      <c r="AH307" s="6" t="str">
        <f>IF($D307&lt;=AH$4,"",IF(AND($D306=AH$4,$D307&gt;AH$4),$F306,AH306))</f>
        <v>59MB1BJB-MB0A02S</v>
      </c>
      <c r="AI307" s="6" t="str">
        <f>IF($D307&lt;=AI$4,"",IF(AND($D306=AI$4,$D307&gt;AI$4),$F306,AI306))</f>
        <v/>
      </c>
      <c r="AJ307" s="6" t="str">
        <f>IF($D307&lt;=AJ$4,"",IF(AND($D306=AJ$4,$D307&gt;AJ$4),$F306,AJ306))</f>
        <v/>
      </c>
      <c r="AK307" s="6" t="str">
        <f>IF($D307&lt;=AK$4,"",IF(AND($D306=AK$4,$D307&gt;AK$4),$F306,AK306))</f>
        <v/>
      </c>
      <c r="AL307" s="6" t="str">
        <f>IF($D307&lt;=AL$4,"",IF(AND($D306=AL$4,$D307&gt;AL$4),$F306,AL306))</f>
        <v/>
      </c>
      <c r="AM307" s="6" t="str">
        <f>IF($D307&lt;=AM$4,"",IF(AND($D306=AM$4,$D307&gt;AM$4),$F306,AM306))</f>
        <v/>
      </c>
      <c r="AN307" s="6" t="str">
        <f>IF($D307&lt;=AN$4,"",IF(AND($D306=AN$4,$D307&gt;AN$4),$F306,AN306))</f>
        <v/>
      </c>
      <c r="AO307" s="6" t="str">
        <f>CONCATENATE(AG307," | ",AH307," | ",AI307," | ",AJ307," | ",AK307," | ",AL307," | ",AM307," | ",AN307)</f>
        <v xml:space="preserve">90MB1BJ0-C1BAY0 | 59MB1BJB-MB0A02S |  |  |  |  |  | </v>
      </c>
      <c r="AP307" s="6">
        <f>IF(TRIM(H307)="",100,J307)</f>
        <v>100</v>
      </c>
      <c r="AQ307" s="4"/>
      <c r="AR307" s="6" t="b">
        <f>NOT(TRIM(W307)&lt;&gt;"F")</f>
        <v>1</v>
      </c>
      <c r="AS307" s="6" t="str">
        <f>$B307&amp;" | "&amp;$AO307&amp;" | "&amp;IF(TRIM(H307)="","uniq"&amp;ROW(),TRIM(H307))</f>
        <v>461E | 90MB1BJ0-C1BAY0 | 59MB1BJB-MB0A02S |  |  |  |  |  |  | B2</v>
      </c>
      <c r="AT307" s="63">
        <f>IF(NOT(AR307),IF(TRIM($H307)="","Assembly","Phantom Alt"),VLOOKUP(F307,ZPCS04!B:G,6,0))</f>
        <v>838</v>
      </c>
      <c r="AU307" s="7"/>
      <c r="AV307" s="38">
        <f ca="1">IF(TRIM($W307)="F",OFFSET($A$5,MATCH($AS307,$AS$5:$AS307,0)-1,0),$A307)</f>
        <v>305</v>
      </c>
      <c r="AW307" s="38">
        <f ca="1">IFERROR(OFFSET(ZPCS04!$A$1,MATCH(F307,ZPCS04!B:B,0)-1,0),100)</f>
        <v>2</v>
      </c>
      <c r="AX307" s="7"/>
      <c r="AY307" s="6" t="b">
        <f>SUMIF(AS:AS,AS307,AP:AP)=100</f>
        <v>1</v>
      </c>
      <c r="AZ307" s="6" t="b">
        <f>SUMIF(AS:AS,AS307,AE:AE)/COUNTIF(AS:AS,AS307)=AE307</f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>C307&amp;" | "&amp;F307</f>
        <v>90MB1BJ0-C1BAY0 | 10G212180214050</v>
      </c>
      <c r="BE307" s="55" t="str">
        <f ca="1">C307&amp;" | "&amp;OFFSET($AF307,0,8-COUNTBLANK($AG307:$AN307))</f>
        <v>90MB1BJ0-C1BAY0 | 59MB1BJB-MB0A02S</v>
      </c>
      <c r="BF307" s="57">
        <f ca="1">IFERROR(VLOOKUP($BE307,$BD$5:$BF306,3,0)*$AE307,VLOOKUP($C307,Demanda!$A:$B,2,0)*$AE307)*IF(AT307="Phantom Alt",$BC307,TRUE)</f>
        <v>1000</v>
      </c>
      <c r="BG307" s="57">
        <f ca="1">BF307*(AP307/100)</f>
        <v>1000</v>
      </c>
      <c r="BH307" s="57">
        <f>SUMIF(Invoice!A:A,F307,Invoice!B:B)</f>
        <v>0</v>
      </c>
      <c r="BI307" s="57">
        <f ca="1">SUMIF(AS:AS,AS307,BG:BG)</f>
        <v>1000</v>
      </c>
      <c r="BJ307" s="57">
        <f ca="1">MIN((BI307-SUMIF($AS$5:AS306,AS307,$BJ$5:BJ306)),MAX(0,BH307-SUMIF($F$5:F306,F307,$BJ$5:BJ306)))</f>
        <v>0</v>
      </c>
      <c r="BK307" s="57">
        <f ca="1">(-SUMIF(AS:AS,AS307,BG:BG)+SUMIF(AS:AS,AS307,BJ:BJ))*(AP307=100)*AR307</f>
        <v>0</v>
      </c>
      <c r="BL307" s="57">
        <f ca="1">MAX(0,SUMIF(Invoice!A:A,F307,Invoice!B:B)-SUMIF(F:F,F307,BJ:BJ))*(COUNTIF(F:F,F307)=COUNTIF($F$5:F307,F307))</f>
        <v>0</v>
      </c>
    </row>
    <row r="308" spans="1:64" hidden="1">
      <c r="A308" s="43">
        <v>309</v>
      </c>
      <c r="B308" s="35" t="s">
        <v>147</v>
      </c>
      <c r="C308" s="35" t="s">
        <v>146</v>
      </c>
      <c r="D308" s="35">
        <v>2</v>
      </c>
      <c r="E308" s="35">
        <v>1130</v>
      </c>
      <c r="F308" s="64" t="s">
        <v>785</v>
      </c>
      <c r="G308" s="73" t="s">
        <v>786</v>
      </c>
      <c r="H308" s="35" t="s">
        <v>244</v>
      </c>
      <c r="I308" s="35" t="s">
        <v>55</v>
      </c>
      <c r="J308" s="35">
        <v>0</v>
      </c>
      <c r="K308" s="35" t="s">
        <v>489</v>
      </c>
      <c r="L308" s="35" t="s">
        <v>53</v>
      </c>
      <c r="M308" s="35">
        <v>4</v>
      </c>
      <c r="N308" s="35"/>
      <c r="O308" s="35">
        <v>1</v>
      </c>
      <c r="P308" s="35">
        <v>2</v>
      </c>
      <c r="Q308" s="35">
        <v>2</v>
      </c>
      <c r="R308" s="35" t="s">
        <v>122</v>
      </c>
      <c r="S308" s="35" t="s">
        <v>122</v>
      </c>
      <c r="T308" s="36">
        <v>44901</v>
      </c>
      <c r="U308" s="36">
        <v>2958465</v>
      </c>
      <c r="V308" s="35" t="s">
        <v>282</v>
      </c>
      <c r="W308" s="35" t="s">
        <v>145</v>
      </c>
      <c r="X308" s="35"/>
      <c r="Y308" s="35" t="s">
        <v>143</v>
      </c>
      <c r="Z308" s="35">
        <v>7589154</v>
      </c>
      <c r="AA308" s="35">
        <v>506</v>
      </c>
      <c r="AB308" s="35">
        <v>253</v>
      </c>
      <c r="AC308" s="35" t="s">
        <v>144</v>
      </c>
      <c r="AE308" s="51">
        <f>M308/O308</f>
        <v>4</v>
      </c>
      <c r="AG308" s="6" t="str">
        <f>C308</f>
        <v>90MB1BJ0-C1BAY0</v>
      </c>
      <c r="AH308" s="6" t="str">
        <f>IF($D308&lt;=AH$4,"",IF(AND($D307=AH$4,$D308&gt;AH$4),$F307,AH307))</f>
        <v>59MB1BJB-MB0A02S</v>
      </c>
      <c r="AI308" s="6" t="str">
        <f>IF($D308&lt;=AI$4,"",IF(AND($D307=AI$4,$D308&gt;AI$4),$F307,AI307))</f>
        <v/>
      </c>
      <c r="AJ308" s="6" t="str">
        <f>IF($D308&lt;=AJ$4,"",IF(AND($D307=AJ$4,$D308&gt;AJ$4),$F307,AJ307))</f>
        <v/>
      </c>
      <c r="AK308" s="6" t="str">
        <f>IF($D308&lt;=AK$4,"",IF(AND($D307=AK$4,$D308&gt;AK$4),$F307,AK307))</f>
        <v/>
      </c>
      <c r="AL308" s="6" t="str">
        <f>IF($D308&lt;=AL$4,"",IF(AND($D307=AL$4,$D308&gt;AL$4),$F307,AL307))</f>
        <v/>
      </c>
      <c r="AM308" s="6" t="str">
        <f>IF($D308&lt;=AM$4,"",IF(AND($D307=AM$4,$D308&gt;AM$4),$F307,AM307))</f>
        <v/>
      </c>
      <c r="AN308" s="6" t="str">
        <f>IF($D308&lt;=AN$4,"",IF(AND($D307=AN$4,$D308&gt;AN$4),$F307,AN307))</f>
        <v/>
      </c>
      <c r="AO308" s="6" t="str">
        <f>CONCATENATE(AG308," | ",AH308," | ",AI308," | ",AJ308," | ",AK308," | ",AL308," | ",AM308," | ",AN308)</f>
        <v xml:space="preserve">90MB1BJ0-C1BAY0 | 59MB1BJB-MB0A02S |  |  |  |  |  | </v>
      </c>
      <c r="AP308" s="6">
        <f>IF(TRIM(H308)="",100,J308)</f>
        <v>0</v>
      </c>
      <c r="AQ308" s="4"/>
      <c r="AR308" s="6" t="b">
        <f>NOT(TRIM(W308)&lt;&gt;"F")</f>
        <v>1</v>
      </c>
      <c r="AS308" s="6" t="str">
        <f>$B308&amp;" | "&amp;$AO308&amp;" | "&amp;IF(TRIM(H308)="","uniq"&amp;ROW(),TRIM(H308))</f>
        <v>461E | 90MB1BJ0-C1BAY0 | 59MB1BJB-MB0A02S |  |  |  |  |  |  | B3</v>
      </c>
      <c r="AT308" s="63">
        <f>IF(NOT(AR308),IF(TRIM($H308)="","Assembly","Phantom Alt"),VLOOKUP(F308,ZPCS04!B:G,6,0))</f>
        <v>656</v>
      </c>
      <c r="AU308" s="7"/>
      <c r="AV308" s="38">
        <f ca="1">IF(TRIM($W308)="F",OFFSET($A$5,MATCH($AS308,$AS$5:$AS308,0)-1,0),$A308)</f>
        <v>309</v>
      </c>
      <c r="AW308" s="38">
        <f ca="1">IFERROR(OFFSET(ZPCS04!$A$1,MATCH(F308,ZPCS04!B:B,0)-1,0),100)</f>
        <v>1.9999999000000002</v>
      </c>
      <c r="AX308" s="7"/>
      <c r="AY308" s="6" t="b">
        <f>SUMIF(AS:AS,AS308,AP:AP)=100</f>
        <v>1</v>
      </c>
      <c r="AZ308" s="6" t="b">
        <f>SUMIF(AS:AS,AS308,AE:AE)/COUNTIF(AS:AS,AS308)=AE308</f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>C308&amp;" | "&amp;F308</f>
        <v>90MB1BJ0-C1BAY0 | 10G212200114020</v>
      </c>
      <c r="BE308" s="55" t="str">
        <f ca="1">C308&amp;" | "&amp;OFFSET($AF308,0,8-COUNTBLANK($AG308:$AN308))</f>
        <v>90MB1BJ0-C1BAY0 | 59MB1BJB-MB0A02S</v>
      </c>
      <c r="BF308" s="57">
        <f ca="1">IFERROR(VLOOKUP($BE308,$BD$5:$BF307,3,0)*$AE308,VLOOKUP($C308,Demanda!$A:$B,2,0)*$AE308)*IF(AT308="Phantom Alt",$BC308,TRUE)</f>
        <v>4000</v>
      </c>
      <c r="BG308" s="57">
        <f ca="1">BF308*(AP308/100)</f>
        <v>0</v>
      </c>
      <c r="BH308" s="57">
        <f>SUMIF(Invoice!A:A,F308,Invoice!B:B)</f>
        <v>10000</v>
      </c>
      <c r="BI308" s="57">
        <f ca="1">SUMIF(AS:AS,AS308,BG:BG)</f>
        <v>4000</v>
      </c>
      <c r="BJ308" s="57">
        <f ca="1">MIN((BI308-SUMIF($AS$5:AS307,AS308,$BJ$5:BJ307)),MAX(0,BH308-SUMIF($F$5:F307,F308,$BJ$5:BJ307)))</f>
        <v>4000</v>
      </c>
      <c r="BK308" s="57">
        <f ca="1">(-SUMIF(AS:AS,AS308,BG:BG)+SUMIF(AS:AS,AS308,BJ:BJ))*(AP308=100)*AR308</f>
        <v>0</v>
      </c>
      <c r="BL308" s="57">
        <f ca="1">MAX(0,SUMIF(Invoice!A:A,F308,Invoice!B:B)-SUMIF(F:F,F308,BJ:BJ))*(COUNTIF(F:F,F308)=COUNTIF($F$5:F308,F308))</f>
        <v>6000</v>
      </c>
    </row>
    <row r="309" spans="1:64" hidden="1">
      <c r="A309" s="43">
        <v>308</v>
      </c>
      <c r="B309" s="35" t="s">
        <v>147</v>
      </c>
      <c r="C309" s="35" t="s">
        <v>146</v>
      </c>
      <c r="D309" s="35">
        <v>2</v>
      </c>
      <c r="E309" s="35">
        <v>1130</v>
      </c>
      <c r="F309" s="64" t="s">
        <v>783</v>
      </c>
      <c r="G309" s="73" t="s">
        <v>784</v>
      </c>
      <c r="H309" s="35" t="s">
        <v>244</v>
      </c>
      <c r="I309" s="35" t="s">
        <v>54</v>
      </c>
      <c r="J309" s="35">
        <v>100</v>
      </c>
      <c r="K309" s="35" t="s">
        <v>489</v>
      </c>
      <c r="L309" s="35" t="s">
        <v>53</v>
      </c>
      <c r="M309" s="35">
        <v>4</v>
      </c>
      <c r="N309" s="35">
        <v>4</v>
      </c>
      <c r="O309" s="35">
        <v>1</v>
      </c>
      <c r="P309" s="35">
        <v>2</v>
      </c>
      <c r="Q309" s="35">
        <v>1</v>
      </c>
      <c r="R309" s="35" t="s">
        <v>122</v>
      </c>
      <c r="S309" s="35" t="s">
        <v>122</v>
      </c>
      <c r="T309" s="36">
        <v>44901</v>
      </c>
      <c r="U309" s="36">
        <v>2958465</v>
      </c>
      <c r="V309" s="35" t="s">
        <v>282</v>
      </c>
      <c r="W309" s="35" t="s">
        <v>145</v>
      </c>
      <c r="X309" s="35"/>
      <c r="Y309" s="35" t="s">
        <v>143</v>
      </c>
      <c r="Z309" s="35">
        <v>7589154</v>
      </c>
      <c r="AA309" s="35">
        <v>504</v>
      </c>
      <c r="AB309" s="35">
        <v>252</v>
      </c>
      <c r="AC309" s="35"/>
      <c r="AE309" s="51">
        <f>M309/O309</f>
        <v>4</v>
      </c>
      <c r="AG309" s="6" t="str">
        <f>C309</f>
        <v>90MB1BJ0-C1BAY0</v>
      </c>
      <c r="AH309" s="6" t="str">
        <f>IF($D309&lt;=AH$4,"",IF(AND($D308=AH$4,$D309&gt;AH$4),$F308,AH308))</f>
        <v>59MB1BJB-MB0A02S</v>
      </c>
      <c r="AI309" s="6" t="str">
        <f>IF($D309&lt;=AI$4,"",IF(AND($D308=AI$4,$D309&gt;AI$4),$F308,AI308))</f>
        <v/>
      </c>
      <c r="AJ309" s="6" t="str">
        <f>IF($D309&lt;=AJ$4,"",IF(AND($D308=AJ$4,$D309&gt;AJ$4),$F308,AJ308))</f>
        <v/>
      </c>
      <c r="AK309" s="6" t="str">
        <f>IF($D309&lt;=AK$4,"",IF(AND($D308=AK$4,$D309&gt;AK$4),$F308,AK308))</f>
        <v/>
      </c>
      <c r="AL309" s="6" t="str">
        <f>IF($D309&lt;=AL$4,"",IF(AND($D308=AL$4,$D309&gt;AL$4),$F308,AL308))</f>
        <v/>
      </c>
      <c r="AM309" s="6" t="str">
        <f>IF($D309&lt;=AM$4,"",IF(AND($D308=AM$4,$D309&gt;AM$4),$F308,AM308))</f>
        <v/>
      </c>
      <c r="AN309" s="6" t="str">
        <f>IF($D309&lt;=AN$4,"",IF(AND($D308=AN$4,$D309&gt;AN$4),$F308,AN308))</f>
        <v/>
      </c>
      <c r="AO309" s="6" t="str">
        <f>CONCATENATE(AG309," | ",AH309," | ",AI309," | ",AJ309," | ",AK309," | ",AL309," | ",AM309," | ",AN309)</f>
        <v xml:space="preserve">90MB1BJ0-C1BAY0 | 59MB1BJB-MB0A02S |  |  |  |  |  | </v>
      </c>
      <c r="AP309" s="6">
        <f>IF(TRIM(H309)="",100,J309)</f>
        <v>100</v>
      </c>
      <c r="AQ309" s="4"/>
      <c r="AR309" s="6" t="b">
        <f>NOT(TRIM(W309)&lt;&gt;"F")</f>
        <v>1</v>
      </c>
      <c r="AS309" s="6" t="str">
        <f>$B309&amp;" | "&amp;$AO309&amp;" | "&amp;IF(TRIM(H309)="","uniq"&amp;ROW(),TRIM(H309))</f>
        <v>461E | 90MB1BJ0-C1BAY0 | 59MB1BJB-MB0A02S |  |  |  |  |  |  | B3</v>
      </c>
      <c r="AT309" s="63">
        <f>IF(NOT(AR309),IF(TRIM($H309)="","Assembly","Phantom Alt"),VLOOKUP(F309,ZPCS04!B:G,6,0))</f>
        <v>656</v>
      </c>
      <c r="AU309" s="7"/>
      <c r="AV309" s="38">
        <f ca="1">IF(TRIM($W309)="F",OFFSET($A$5,MATCH($AS309,$AS$5:$AS309,0)-1,0),$A309)</f>
        <v>309</v>
      </c>
      <c r="AW309" s="38">
        <f ca="1">IFERROR(OFFSET(ZPCS04!$A$1,MATCH(F309,ZPCS04!B:B,0)-1,0),100)</f>
        <v>2</v>
      </c>
      <c r="AX309" s="7"/>
      <c r="AY309" s="6" t="b">
        <f>SUMIF(AS:AS,AS309,AP:AP)=100</f>
        <v>1</v>
      </c>
      <c r="AZ309" s="6" t="b">
        <f>SUMIF(AS:AS,AS309,AE:AE)/COUNTIF(AS:AS,AS309)=AE309</f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>C309&amp;" | "&amp;F309</f>
        <v>90MB1BJ0-C1BAY0 | 10G212200114010</v>
      </c>
      <c r="BE309" s="55" t="str">
        <f ca="1">C309&amp;" | "&amp;OFFSET($AF309,0,8-COUNTBLANK($AG309:$AN309))</f>
        <v>90MB1BJ0-C1BAY0 | 59MB1BJB-MB0A02S</v>
      </c>
      <c r="BF309" s="57">
        <f ca="1">IFERROR(VLOOKUP($BE309,$BD$5:$BF308,3,0)*$AE309,VLOOKUP($C309,Demanda!$A:$B,2,0)*$AE309)*IF(AT309="Phantom Alt",$BC309,TRUE)</f>
        <v>4000</v>
      </c>
      <c r="BG309" s="57">
        <f ca="1">BF309*(AP309/100)</f>
        <v>4000</v>
      </c>
      <c r="BH309" s="57">
        <f>SUMIF(Invoice!A:A,F309,Invoice!B:B)</f>
        <v>0</v>
      </c>
      <c r="BI309" s="57">
        <f ca="1">SUMIF(AS:AS,AS309,BG:BG)</f>
        <v>4000</v>
      </c>
      <c r="BJ309" s="57">
        <f ca="1">MIN((BI309-SUMIF($AS$5:AS308,AS309,$BJ$5:BJ308)),MAX(0,BH309-SUMIF($F$5:F308,F309,$BJ$5:BJ308)))</f>
        <v>0</v>
      </c>
      <c r="BK309" s="57">
        <f ca="1">(-SUMIF(AS:AS,AS309,BG:BG)+SUMIF(AS:AS,AS309,BJ:BJ))*(AP309=100)*AR309</f>
        <v>0</v>
      </c>
      <c r="BL309" s="57">
        <f ca="1">MAX(0,SUMIF(Invoice!A:A,F309,Invoice!B:B)-SUMIF(F:F,F309,BJ:BJ))*(COUNTIF(F:F,F309)=COUNTIF($F$5:F309,F309))</f>
        <v>0</v>
      </c>
    </row>
    <row r="310" spans="1:64" hidden="1">
      <c r="A310" s="43">
        <v>310</v>
      </c>
      <c r="B310" s="35" t="s">
        <v>147</v>
      </c>
      <c r="C310" s="35" t="s">
        <v>146</v>
      </c>
      <c r="D310" s="35">
        <v>2</v>
      </c>
      <c r="E310" s="35">
        <v>1130</v>
      </c>
      <c r="F310" s="64" t="s">
        <v>787</v>
      </c>
      <c r="G310" s="73" t="s">
        <v>788</v>
      </c>
      <c r="H310" s="35" t="s">
        <v>244</v>
      </c>
      <c r="I310" s="35" t="s">
        <v>55</v>
      </c>
      <c r="J310" s="35">
        <v>0</v>
      </c>
      <c r="K310" s="35" t="s">
        <v>489</v>
      </c>
      <c r="L310" s="35" t="s">
        <v>53</v>
      </c>
      <c r="M310" s="35">
        <v>4</v>
      </c>
      <c r="N310" s="35"/>
      <c r="O310" s="35">
        <v>1</v>
      </c>
      <c r="P310" s="35">
        <v>2</v>
      </c>
      <c r="Q310" s="35">
        <v>3</v>
      </c>
      <c r="R310" s="35" t="s">
        <v>122</v>
      </c>
      <c r="S310" s="35" t="s">
        <v>122</v>
      </c>
      <c r="T310" s="36">
        <v>44901</v>
      </c>
      <c r="U310" s="36">
        <v>2958465</v>
      </c>
      <c r="V310" s="35" t="s">
        <v>282</v>
      </c>
      <c r="W310" s="35" t="s">
        <v>145</v>
      </c>
      <c r="X310" s="35"/>
      <c r="Y310" s="35" t="s">
        <v>143</v>
      </c>
      <c r="Z310" s="35">
        <v>7589154</v>
      </c>
      <c r="AA310" s="35">
        <v>508</v>
      </c>
      <c r="AB310" s="35">
        <v>254</v>
      </c>
      <c r="AC310" s="35"/>
      <c r="AE310" s="51">
        <f>M310/O310</f>
        <v>4</v>
      </c>
      <c r="AG310" s="6" t="str">
        <f>C310</f>
        <v>90MB1BJ0-C1BAY0</v>
      </c>
      <c r="AH310" s="6" t="str">
        <f>IF($D310&lt;=AH$4,"",IF(AND($D309=AH$4,$D310&gt;AH$4),$F309,AH309))</f>
        <v>59MB1BJB-MB0A02S</v>
      </c>
      <c r="AI310" s="6" t="str">
        <f>IF($D310&lt;=AI$4,"",IF(AND($D309=AI$4,$D310&gt;AI$4),$F309,AI309))</f>
        <v/>
      </c>
      <c r="AJ310" s="6" t="str">
        <f>IF($D310&lt;=AJ$4,"",IF(AND($D309=AJ$4,$D310&gt;AJ$4),$F309,AJ309))</f>
        <v/>
      </c>
      <c r="AK310" s="6" t="str">
        <f>IF($D310&lt;=AK$4,"",IF(AND($D309=AK$4,$D310&gt;AK$4),$F309,AK309))</f>
        <v/>
      </c>
      <c r="AL310" s="6" t="str">
        <f>IF($D310&lt;=AL$4,"",IF(AND($D309=AL$4,$D310&gt;AL$4),$F309,AL309))</f>
        <v/>
      </c>
      <c r="AM310" s="6" t="str">
        <f>IF($D310&lt;=AM$4,"",IF(AND($D309=AM$4,$D310&gt;AM$4),$F309,AM309))</f>
        <v/>
      </c>
      <c r="AN310" s="6" t="str">
        <f>IF($D310&lt;=AN$4,"",IF(AND($D309=AN$4,$D310&gt;AN$4),$F309,AN309))</f>
        <v/>
      </c>
      <c r="AO310" s="6" t="str">
        <f>CONCATENATE(AG310," | ",AH310," | ",AI310," | ",AJ310," | ",AK310," | ",AL310," | ",AM310," | ",AN310)</f>
        <v xml:space="preserve">90MB1BJ0-C1BAY0 | 59MB1BJB-MB0A02S |  |  |  |  |  | </v>
      </c>
      <c r="AP310" s="6">
        <f>IF(TRIM(H310)="",100,J310)</f>
        <v>0</v>
      </c>
      <c r="AQ310" s="4"/>
      <c r="AR310" s="6" t="b">
        <f>NOT(TRIM(W310)&lt;&gt;"F")</f>
        <v>1</v>
      </c>
      <c r="AS310" s="6" t="str">
        <f>$B310&amp;" | "&amp;$AO310&amp;" | "&amp;IF(TRIM(H310)="","uniq"&amp;ROW(),TRIM(H310))</f>
        <v>461E | 90MB1BJ0-C1BAY0 | 59MB1BJB-MB0A02S |  |  |  |  |  |  | B3</v>
      </c>
      <c r="AT310" s="63">
        <f>IF(NOT(AR310),IF(TRIM($H310)="","Assembly","Phantom Alt"),VLOOKUP(F310,ZPCS04!B:G,6,0))</f>
        <v>656</v>
      </c>
      <c r="AU310" s="7"/>
      <c r="AV310" s="38">
        <f ca="1">IF(TRIM($W310)="F",OFFSET($A$5,MATCH($AS310,$AS$5:$AS310,0)-1,0),$A310)</f>
        <v>309</v>
      </c>
      <c r="AW310" s="38">
        <f ca="1">IFERROR(OFFSET(ZPCS04!$A$1,MATCH(F310,ZPCS04!B:B,0)-1,0),100)</f>
        <v>2</v>
      </c>
      <c r="AX310" s="7"/>
      <c r="AY310" s="6" t="b">
        <f>SUMIF(AS:AS,AS310,AP:AP)=100</f>
        <v>1</v>
      </c>
      <c r="AZ310" s="6" t="b">
        <f>SUMIF(AS:AS,AS310,AE:AE)/COUNTIF(AS:AS,AS310)=AE310</f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>C310&amp;" | "&amp;F310</f>
        <v>90MB1BJ0-C1BAY0 | 10G212200114050</v>
      </c>
      <c r="BE310" s="55" t="str">
        <f ca="1">C310&amp;" | "&amp;OFFSET($AF310,0,8-COUNTBLANK($AG310:$AN310))</f>
        <v>90MB1BJ0-C1BAY0 | 59MB1BJB-MB0A02S</v>
      </c>
      <c r="BF310" s="57">
        <f ca="1">IFERROR(VLOOKUP($BE310,$BD$5:$BF309,3,0)*$AE310,VLOOKUP($C310,Demanda!$A:$B,2,0)*$AE310)*IF(AT310="Phantom Alt",$BC310,TRUE)</f>
        <v>4000</v>
      </c>
      <c r="BG310" s="57">
        <f ca="1">BF310*(AP310/100)</f>
        <v>0</v>
      </c>
      <c r="BH310" s="57">
        <f>SUMIF(Invoice!A:A,F310,Invoice!B:B)</f>
        <v>0</v>
      </c>
      <c r="BI310" s="57">
        <f ca="1">SUMIF(AS:AS,AS310,BG:BG)</f>
        <v>4000</v>
      </c>
      <c r="BJ310" s="57">
        <f ca="1">MIN((BI310-SUMIF($AS$5:AS309,AS310,$BJ$5:BJ309)),MAX(0,BH310-SUMIF($F$5:F309,F310,$BJ$5:BJ309)))</f>
        <v>0</v>
      </c>
      <c r="BK310" s="57">
        <f ca="1">(-SUMIF(AS:AS,AS310,BG:BG)+SUMIF(AS:AS,AS310,BJ:BJ))*(AP310=100)*AR310</f>
        <v>0</v>
      </c>
      <c r="BL310" s="57">
        <f ca="1">MAX(0,SUMIF(Invoice!A:A,F310,Invoice!B:B)-SUMIF(F:F,F310,BJ:BJ))*(COUNTIF(F:F,F310)=COUNTIF($F$5:F310,F310))</f>
        <v>0</v>
      </c>
    </row>
    <row r="311" spans="1:64" hidden="1">
      <c r="A311" s="43">
        <v>311</v>
      </c>
      <c r="B311" s="35" t="s">
        <v>147</v>
      </c>
      <c r="C311" s="35" t="s">
        <v>146</v>
      </c>
      <c r="D311" s="35">
        <v>2</v>
      </c>
      <c r="E311" s="35">
        <v>1140</v>
      </c>
      <c r="F311" s="64" t="s">
        <v>789</v>
      </c>
      <c r="G311" s="73" t="s">
        <v>790</v>
      </c>
      <c r="H311" s="35" t="s">
        <v>249</v>
      </c>
      <c r="I311" s="35" t="s">
        <v>55</v>
      </c>
      <c r="J311" s="35">
        <v>0</v>
      </c>
      <c r="K311" s="35" t="s">
        <v>489</v>
      </c>
      <c r="L311" s="35" t="s">
        <v>53</v>
      </c>
      <c r="M311" s="35">
        <v>4</v>
      </c>
      <c r="N311" s="35"/>
      <c r="O311" s="35">
        <v>1</v>
      </c>
      <c r="P311" s="35">
        <v>2</v>
      </c>
      <c r="Q311" s="35">
        <v>2</v>
      </c>
      <c r="R311" s="35" t="s">
        <v>122</v>
      </c>
      <c r="S311" s="35" t="s">
        <v>122</v>
      </c>
      <c r="T311" s="36">
        <v>44901</v>
      </c>
      <c r="U311" s="36">
        <v>2958465</v>
      </c>
      <c r="V311" s="35" t="s">
        <v>282</v>
      </c>
      <c r="W311" s="35" t="s">
        <v>145</v>
      </c>
      <c r="X311" s="35"/>
      <c r="Y311" s="35" t="s">
        <v>143</v>
      </c>
      <c r="Z311" s="35">
        <v>7589154</v>
      </c>
      <c r="AA311" s="35">
        <v>512</v>
      </c>
      <c r="AB311" s="35">
        <v>256</v>
      </c>
      <c r="AC311" s="35"/>
      <c r="AE311" s="51">
        <f>M311/O311</f>
        <v>4</v>
      </c>
      <c r="AG311" s="6" t="str">
        <f>C311</f>
        <v>90MB1BJ0-C1BAY0</v>
      </c>
      <c r="AH311" s="6" t="str">
        <f>IF($D311&lt;=AH$4,"",IF(AND($D310=AH$4,$D311&gt;AH$4),$F310,AH310))</f>
        <v>59MB1BJB-MB0A02S</v>
      </c>
      <c r="AI311" s="6" t="str">
        <f>IF($D311&lt;=AI$4,"",IF(AND($D310=AI$4,$D311&gt;AI$4),$F310,AI310))</f>
        <v/>
      </c>
      <c r="AJ311" s="6" t="str">
        <f>IF($D311&lt;=AJ$4,"",IF(AND($D310=AJ$4,$D311&gt;AJ$4),$F310,AJ310))</f>
        <v/>
      </c>
      <c r="AK311" s="6" t="str">
        <f>IF($D311&lt;=AK$4,"",IF(AND($D310=AK$4,$D311&gt;AK$4),$F310,AK310))</f>
        <v/>
      </c>
      <c r="AL311" s="6" t="str">
        <f>IF($D311&lt;=AL$4,"",IF(AND($D310=AL$4,$D311&gt;AL$4),$F310,AL310))</f>
        <v/>
      </c>
      <c r="AM311" s="6" t="str">
        <f>IF($D311&lt;=AM$4,"",IF(AND($D310=AM$4,$D311&gt;AM$4),$F310,AM310))</f>
        <v/>
      </c>
      <c r="AN311" s="6" t="str">
        <f>IF($D311&lt;=AN$4,"",IF(AND($D310=AN$4,$D311&gt;AN$4),$F310,AN310))</f>
        <v/>
      </c>
      <c r="AO311" s="6" t="str">
        <f>CONCATENATE(AG311," | ",AH311," | ",AI311," | ",AJ311," | ",AK311," | ",AL311," | ",AM311," | ",AN311)</f>
        <v xml:space="preserve">90MB1BJ0-C1BAY0 | 59MB1BJB-MB0A02S |  |  |  |  |  | </v>
      </c>
      <c r="AP311" s="6">
        <f>IF(TRIM(H311)="",100,J311)</f>
        <v>0</v>
      </c>
      <c r="AQ311" s="4"/>
      <c r="AR311" s="6" t="b">
        <f>NOT(TRIM(W311)&lt;&gt;"F")</f>
        <v>1</v>
      </c>
      <c r="AS311" s="6" t="str">
        <f>$B311&amp;" | "&amp;$AO311&amp;" | "&amp;IF(TRIM(H311)="","uniq"&amp;ROW(),TRIM(H311))</f>
        <v>461E | 90MB1BJ0-C1BAY0 | 59MB1BJB-MB0A02S |  |  |  |  |  |  | B4</v>
      </c>
      <c r="AT311" s="63">
        <f>IF(NOT(AR311),IF(TRIM($H311)="","Assembly","Phantom Alt"),VLOOKUP(F311,ZPCS04!B:G,6,0))</f>
        <v>657</v>
      </c>
      <c r="AU311" s="7"/>
      <c r="AV311" s="38">
        <f ca="1">IF(TRIM($W311)="F",OFFSET($A$5,MATCH($AS311,$AS$5:$AS311,0)-1,0),$A311)</f>
        <v>311</v>
      </c>
      <c r="AW311" s="38">
        <f ca="1">IFERROR(OFFSET(ZPCS04!$A$1,MATCH(F311,ZPCS04!B:B,0)-1,0),100)</f>
        <v>1.9999999000000002</v>
      </c>
      <c r="AX311" s="7"/>
      <c r="AY311" s="6" t="b">
        <f>SUMIF(AS:AS,AS311,AP:AP)=100</f>
        <v>1</v>
      </c>
      <c r="AZ311" s="6" t="b">
        <f>SUMIF(AS:AS,AS311,AE:AE)/COUNTIF(AS:AS,AS311)=AE311</f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>C311&amp;" | "&amp;F311</f>
        <v>90MB1BJ0-C1BAY0 | 10G212200214010</v>
      </c>
      <c r="BE311" s="55" t="str">
        <f ca="1">C311&amp;" | "&amp;OFFSET($AF311,0,8-COUNTBLANK($AG311:$AN311))</f>
        <v>90MB1BJ0-C1BAY0 | 59MB1BJB-MB0A02S</v>
      </c>
      <c r="BF311" s="57">
        <f ca="1">IFERROR(VLOOKUP($BE311,$BD$5:$BF310,3,0)*$AE311,VLOOKUP($C311,Demanda!$A:$B,2,0)*$AE311)*IF(AT311="Phantom Alt",$BC311,TRUE)</f>
        <v>4000</v>
      </c>
      <c r="BG311" s="57">
        <f ca="1">BF311*(AP311/100)</f>
        <v>0</v>
      </c>
      <c r="BH311" s="57">
        <f>SUMIF(Invoice!A:A,F311,Invoice!B:B)</f>
        <v>10000</v>
      </c>
      <c r="BI311" s="57">
        <f ca="1">SUMIF(AS:AS,AS311,BG:BG)</f>
        <v>4000</v>
      </c>
      <c r="BJ311" s="57">
        <f ca="1">MIN((BI311-SUMIF($AS$5:AS310,AS311,$BJ$5:BJ310)),MAX(0,BH311-SUMIF($F$5:F310,F311,$BJ$5:BJ310)))</f>
        <v>4000</v>
      </c>
      <c r="BK311" s="57">
        <f ca="1">(-SUMIF(AS:AS,AS311,BG:BG)+SUMIF(AS:AS,AS311,BJ:BJ))*(AP311=100)*AR311</f>
        <v>0</v>
      </c>
      <c r="BL311" s="57">
        <f ca="1">MAX(0,SUMIF(Invoice!A:A,F311,Invoice!B:B)-SUMIF(F:F,F311,BJ:BJ))*(COUNTIF(F:F,F311)=COUNTIF($F$5:F311,F311))</f>
        <v>6000</v>
      </c>
    </row>
    <row r="312" spans="1:64" hidden="1">
      <c r="A312" s="43">
        <v>312</v>
      </c>
      <c r="B312" s="35" t="s">
        <v>147</v>
      </c>
      <c r="C312" s="35" t="s">
        <v>146</v>
      </c>
      <c r="D312" s="35">
        <v>2</v>
      </c>
      <c r="E312" s="35">
        <v>1140</v>
      </c>
      <c r="F312" s="64" t="s">
        <v>791</v>
      </c>
      <c r="G312" s="73" t="s">
        <v>792</v>
      </c>
      <c r="H312" s="35" t="s">
        <v>249</v>
      </c>
      <c r="I312" s="35" t="s">
        <v>54</v>
      </c>
      <c r="J312" s="35">
        <v>100</v>
      </c>
      <c r="K312" s="35" t="s">
        <v>489</v>
      </c>
      <c r="L312" s="35" t="s">
        <v>53</v>
      </c>
      <c r="M312" s="35">
        <v>4</v>
      </c>
      <c r="N312" s="35">
        <v>4</v>
      </c>
      <c r="O312" s="35">
        <v>1</v>
      </c>
      <c r="P312" s="35">
        <v>2</v>
      </c>
      <c r="Q312" s="35">
        <v>1</v>
      </c>
      <c r="R312" s="35" t="s">
        <v>122</v>
      </c>
      <c r="S312" s="35" t="s">
        <v>122</v>
      </c>
      <c r="T312" s="36">
        <v>44901</v>
      </c>
      <c r="U312" s="36">
        <v>2958465</v>
      </c>
      <c r="V312" s="35" t="s">
        <v>282</v>
      </c>
      <c r="W312" s="35" t="s">
        <v>145</v>
      </c>
      <c r="X312" s="35"/>
      <c r="Y312" s="35" t="s">
        <v>143</v>
      </c>
      <c r="Z312" s="35">
        <v>7589154</v>
      </c>
      <c r="AA312" s="35">
        <v>510</v>
      </c>
      <c r="AB312" s="35">
        <v>255</v>
      </c>
      <c r="AC312" s="35"/>
      <c r="AE312" s="51">
        <f>M312/O312</f>
        <v>4</v>
      </c>
      <c r="AG312" s="6" t="str">
        <f>C312</f>
        <v>90MB1BJ0-C1BAY0</v>
      </c>
      <c r="AH312" s="6" t="str">
        <f>IF($D312&lt;=AH$4,"",IF(AND($D311=AH$4,$D312&gt;AH$4),$F311,AH311))</f>
        <v>59MB1BJB-MB0A02S</v>
      </c>
      <c r="AI312" s="6" t="str">
        <f>IF($D312&lt;=AI$4,"",IF(AND($D311=AI$4,$D312&gt;AI$4),$F311,AI311))</f>
        <v/>
      </c>
      <c r="AJ312" s="6" t="str">
        <f>IF($D312&lt;=AJ$4,"",IF(AND($D311=AJ$4,$D312&gt;AJ$4),$F311,AJ311))</f>
        <v/>
      </c>
      <c r="AK312" s="6" t="str">
        <f>IF($D312&lt;=AK$4,"",IF(AND($D311=AK$4,$D312&gt;AK$4),$F311,AK311))</f>
        <v/>
      </c>
      <c r="AL312" s="6" t="str">
        <f>IF($D312&lt;=AL$4,"",IF(AND($D311=AL$4,$D312&gt;AL$4),$F311,AL311))</f>
        <v/>
      </c>
      <c r="AM312" s="6" t="str">
        <f>IF($D312&lt;=AM$4,"",IF(AND($D311=AM$4,$D312&gt;AM$4),$F311,AM311))</f>
        <v/>
      </c>
      <c r="AN312" s="6" t="str">
        <f>IF($D312&lt;=AN$4,"",IF(AND($D311=AN$4,$D312&gt;AN$4),$F311,AN311))</f>
        <v/>
      </c>
      <c r="AO312" s="6" t="str">
        <f>CONCATENATE(AG312," | ",AH312," | ",AI312," | ",AJ312," | ",AK312," | ",AL312," | ",AM312," | ",AN312)</f>
        <v xml:space="preserve">90MB1BJ0-C1BAY0 | 59MB1BJB-MB0A02S |  |  |  |  |  | </v>
      </c>
      <c r="AP312" s="6">
        <f>IF(TRIM(H312)="",100,J312)</f>
        <v>100</v>
      </c>
      <c r="AQ312" s="4"/>
      <c r="AR312" s="6" t="b">
        <f>NOT(TRIM(W312)&lt;&gt;"F")</f>
        <v>1</v>
      </c>
      <c r="AS312" s="6" t="str">
        <f>$B312&amp;" | "&amp;$AO312&amp;" | "&amp;IF(TRIM(H312)="","uniq"&amp;ROW(),TRIM(H312))</f>
        <v>461E | 90MB1BJ0-C1BAY0 | 59MB1BJB-MB0A02S |  |  |  |  |  |  | B4</v>
      </c>
      <c r="AT312" s="63">
        <f>IF(NOT(AR312),IF(TRIM($H312)="","Assembly","Phantom Alt"),VLOOKUP(F312,ZPCS04!B:G,6,0))</f>
        <v>657</v>
      </c>
      <c r="AU312" s="7"/>
      <c r="AV312" s="38">
        <f ca="1">IF(TRIM($W312)="F",OFFSET($A$5,MATCH($AS312,$AS$5:$AS312,0)-1,0),$A312)</f>
        <v>311</v>
      </c>
      <c r="AW312" s="38">
        <f ca="1">IFERROR(OFFSET(ZPCS04!$A$1,MATCH(F312,ZPCS04!B:B,0)-1,0),100)</f>
        <v>2</v>
      </c>
      <c r="AX312" s="7"/>
      <c r="AY312" s="6" t="b">
        <f>SUMIF(AS:AS,AS312,AP:AP)=100</f>
        <v>1</v>
      </c>
      <c r="AZ312" s="6" t="b">
        <f>SUMIF(AS:AS,AS312,AE:AE)/COUNTIF(AS:AS,AS312)=AE312</f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>C312&amp;" | "&amp;F312</f>
        <v>90MB1BJ0-C1BAY0 | 10G212200214020</v>
      </c>
      <c r="BE312" s="55" t="str">
        <f ca="1">C312&amp;" | "&amp;OFFSET($AF312,0,8-COUNTBLANK($AG312:$AN312))</f>
        <v>90MB1BJ0-C1BAY0 | 59MB1BJB-MB0A02S</v>
      </c>
      <c r="BF312" s="57">
        <f ca="1">IFERROR(VLOOKUP($BE312,$BD$5:$BF311,3,0)*$AE312,VLOOKUP($C312,Demanda!$A:$B,2,0)*$AE312)*IF(AT312="Phantom Alt",$BC312,TRUE)</f>
        <v>4000</v>
      </c>
      <c r="BG312" s="57">
        <f ca="1">BF312*(AP312/100)</f>
        <v>4000</v>
      </c>
      <c r="BH312" s="57">
        <f>SUMIF(Invoice!A:A,F312,Invoice!B:B)</f>
        <v>0</v>
      </c>
      <c r="BI312" s="57">
        <f ca="1">SUMIF(AS:AS,AS312,BG:BG)</f>
        <v>4000</v>
      </c>
      <c r="BJ312" s="57">
        <f ca="1">MIN((BI312-SUMIF($AS$5:AS311,AS312,$BJ$5:BJ311)),MAX(0,BH312-SUMIF($F$5:F311,F312,$BJ$5:BJ311)))</f>
        <v>0</v>
      </c>
      <c r="BK312" s="57">
        <f ca="1">(-SUMIF(AS:AS,AS312,BG:BG)+SUMIF(AS:AS,AS312,BJ:BJ))*(AP312=100)*AR312</f>
        <v>0</v>
      </c>
      <c r="BL312" s="57">
        <f ca="1">MAX(0,SUMIF(Invoice!A:A,F312,Invoice!B:B)-SUMIF(F:F,F312,BJ:BJ))*(COUNTIF(F:F,F312)=COUNTIF($F$5:F312,F312))</f>
        <v>0</v>
      </c>
    </row>
    <row r="313" spans="1:64" hidden="1">
      <c r="A313" s="43">
        <v>313</v>
      </c>
      <c r="B313" s="35" t="s">
        <v>147</v>
      </c>
      <c r="C313" s="35" t="s">
        <v>146</v>
      </c>
      <c r="D313" s="35">
        <v>2</v>
      </c>
      <c r="E313" s="35">
        <v>1140</v>
      </c>
      <c r="F313" s="64" t="s">
        <v>793</v>
      </c>
      <c r="G313" s="73" t="s">
        <v>794</v>
      </c>
      <c r="H313" s="35" t="s">
        <v>249</v>
      </c>
      <c r="I313" s="35" t="s">
        <v>55</v>
      </c>
      <c r="J313" s="35">
        <v>0</v>
      </c>
      <c r="K313" s="35" t="s">
        <v>150</v>
      </c>
      <c r="L313" s="35" t="s">
        <v>53</v>
      </c>
      <c r="M313" s="35">
        <v>4</v>
      </c>
      <c r="N313" s="35"/>
      <c r="O313" s="35">
        <v>1</v>
      </c>
      <c r="P313" s="35">
        <v>2</v>
      </c>
      <c r="Q313" s="35">
        <v>3</v>
      </c>
      <c r="R313" s="35" t="s">
        <v>73</v>
      </c>
      <c r="S313" s="35" t="s">
        <v>73</v>
      </c>
      <c r="T313" s="36">
        <v>44901</v>
      </c>
      <c r="U313" s="36">
        <v>2958465</v>
      </c>
      <c r="V313" s="35" t="s">
        <v>282</v>
      </c>
      <c r="W313" s="35" t="s">
        <v>145</v>
      </c>
      <c r="X313" s="35"/>
      <c r="Y313" s="35" t="s">
        <v>143</v>
      </c>
      <c r="Z313" s="35">
        <v>7589154</v>
      </c>
      <c r="AA313" s="35">
        <v>514</v>
      </c>
      <c r="AB313" s="35">
        <v>257</v>
      </c>
      <c r="AC313" s="35"/>
      <c r="AE313" s="51">
        <f>M313/O313</f>
        <v>4</v>
      </c>
      <c r="AG313" s="6" t="str">
        <f>C313</f>
        <v>90MB1BJ0-C1BAY0</v>
      </c>
      <c r="AH313" s="6" t="str">
        <f>IF($D313&lt;=AH$4,"",IF(AND($D312=AH$4,$D313&gt;AH$4),$F312,AH312))</f>
        <v>59MB1BJB-MB0A02S</v>
      </c>
      <c r="AI313" s="6" t="str">
        <f>IF($D313&lt;=AI$4,"",IF(AND($D312=AI$4,$D313&gt;AI$4),$F312,AI312))</f>
        <v/>
      </c>
      <c r="AJ313" s="6" t="str">
        <f>IF($D313&lt;=AJ$4,"",IF(AND($D312=AJ$4,$D313&gt;AJ$4),$F312,AJ312))</f>
        <v/>
      </c>
      <c r="AK313" s="6" t="str">
        <f>IF($D313&lt;=AK$4,"",IF(AND($D312=AK$4,$D313&gt;AK$4),$F312,AK312))</f>
        <v/>
      </c>
      <c r="AL313" s="6" t="str">
        <f>IF($D313&lt;=AL$4,"",IF(AND($D312=AL$4,$D313&gt;AL$4),$F312,AL312))</f>
        <v/>
      </c>
      <c r="AM313" s="6" t="str">
        <f>IF($D313&lt;=AM$4,"",IF(AND($D312=AM$4,$D313&gt;AM$4),$F312,AM312))</f>
        <v/>
      </c>
      <c r="AN313" s="6" t="str">
        <f>IF($D313&lt;=AN$4,"",IF(AND($D312=AN$4,$D313&gt;AN$4),$F312,AN312))</f>
        <v/>
      </c>
      <c r="AO313" s="6" t="str">
        <f>CONCATENATE(AG313," | ",AH313," | ",AI313," | ",AJ313," | ",AK313," | ",AL313," | ",AM313," | ",AN313)</f>
        <v xml:space="preserve">90MB1BJ0-C1BAY0 | 59MB1BJB-MB0A02S |  |  |  |  |  | </v>
      </c>
      <c r="AP313" s="6">
        <f>IF(TRIM(H313)="",100,J313)</f>
        <v>0</v>
      </c>
      <c r="AQ313" s="4"/>
      <c r="AR313" s="6" t="b">
        <f>NOT(TRIM(W313)&lt;&gt;"F")</f>
        <v>1</v>
      </c>
      <c r="AS313" s="6" t="str">
        <f>$B313&amp;" | "&amp;$AO313&amp;" | "&amp;IF(TRIM(H313)="","uniq"&amp;ROW(),TRIM(H313))</f>
        <v>461E | 90MB1BJ0-C1BAY0 | 59MB1BJB-MB0A02S |  |  |  |  |  |  | B4</v>
      </c>
      <c r="AT313" s="63">
        <f>IF(NOT(AR313),IF(TRIM($H313)="","Assembly","Phantom Alt"),VLOOKUP(F313,ZPCS04!B:G,6,0))</f>
        <v>657</v>
      </c>
      <c r="AU313" s="7"/>
      <c r="AV313" s="38">
        <f ca="1">IF(TRIM($W313)="F",OFFSET($A$5,MATCH($AS313,$AS$5:$AS313,0)-1,0),$A313)</f>
        <v>311</v>
      </c>
      <c r="AW313" s="38">
        <f ca="1">IFERROR(OFFSET(ZPCS04!$A$1,MATCH(F313,ZPCS04!B:B,0)-1,0),100)</f>
        <v>2</v>
      </c>
      <c r="AX313" s="7"/>
      <c r="AY313" s="6" t="b">
        <f>SUMIF(AS:AS,AS313,AP:AP)=100</f>
        <v>1</v>
      </c>
      <c r="AZ313" s="6" t="b">
        <f>SUMIF(AS:AS,AS313,AE:AE)/COUNTIF(AS:AS,AS313)=AE313</f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>C313&amp;" | "&amp;F313</f>
        <v>90MB1BJ0-C1BAY0 | 10G212200214050</v>
      </c>
      <c r="BE313" s="55" t="str">
        <f ca="1">C313&amp;" | "&amp;OFFSET($AF313,0,8-COUNTBLANK($AG313:$AN313))</f>
        <v>90MB1BJ0-C1BAY0 | 59MB1BJB-MB0A02S</v>
      </c>
      <c r="BF313" s="57">
        <f ca="1">IFERROR(VLOOKUP($BE313,$BD$5:$BF312,3,0)*$AE313,VLOOKUP($C313,Demanda!$A:$B,2,0)*$AE313)*IF(AT313="Phantom Alt",$BC313,TRUE)</f>
        <v>4000</v>
      </c>
      <c r="BG313" s="57">
        <f ca="1">BF313*(AP313/100)</f>
        <v>0</v>
      </c>
      <c r="BH313" s="57">
        <f>SUMIF(Invoice!A:A,F313,Invoice!B:B)</f>
        <v>0</v>
      </c>
      <c r="BI313" s="57">
        <f ca="1">SUMIF(AS:AS,AS313,BG:BG)</f>
        <v>4000</v>
      </c>
      <c r="BJ313" s="57">
        <f ca="1">MIN((BI313-SUMIF($AS$5:AS312,AS313,$BJ$5:BJ312)),MAX(0,BH313-SUMIF($F$5:F312,F313,$BJ$5:BJ312)))</f>
        <v>0</v>
      </c>
      <c r="BK313" s="57">
        <f ca="1">(-SUMIF(AS:AS,AS313,BG:BG)+SUMIF(AS:AS,AS313,BJ:BJ))*(AP313=100)*AR313</f>
        <v>0</v>
      </c>
      <c r="BL313" s="57">
        <f ca="1">MAX(0,SUMIF(Invoice!A:A,F313,Invoice!B:B)-SUMIF(F:F,F313,BJ:BJ))*(COUNTIF(F:F,F313)=COUNTIF($F$5:F313,F313))</f>
        <v>0</v>
      </c>
    </row>
    <row r="314" spans="1:64" hidden="1">
      <c r="A314" s="43">
        <v>314</v>
      </c>
      <c r="B314" s="35" t="s">
        <v>147</v>
      </c>
      <c r="C314" s="35" t="s">
        <v>146</v>
      </c>
      <c r="D314" s="35">
        <v>2</v>
      </c>
      <c r="E314" s="35">
        <v>1150</v>
      </c>
      <c r="F314" s="64" t="s">
        <v>795</v>
      </c>
      <c r="G314" s="73" t="s">
        <v>796</v>
      </c>
      <c r="H314" s="35" t="s">
        <v>256</v>
      </c>
      <c r="I314" s="35" t="s">
        <v>55</v>
      </c>
      <c r="J314" s="35">
        <v>0</v>
      </c>
      <c r="K314" s="35" t="s">
        <v>489</v>
      </c>
      <c r="L314" s="35" t="s">
        <v>53</v>
      </c>
      <c r="M314" s="35">
        <v>28</v>
      </c>
      <c r="N314" s="35"/>
      <c r="O314" s="35">
        <v>1</v>
      </c>
      <c r="P314" s="35">
        <v>2</v>
      </c>
      <c r="Q314" s="35">
        <v>3</v>
      </c>
      <c r="R314" s="35" t="s">
        <v>122</v>
      </c>
      <c r="S314" s="35" t="s">
        <v>122</v>
      </c>
      <c r="T314" s="36">
        <v>44901</v>
      </c>
      <c r="U314" s="36">
        <v>2958465</v>
      </c>
      <c r="V314" s="35" t="s">
        <v>282</v>
      </c>
      <c r="W314" s="35" t="s">
        <v>145</v>
      </c>
      <c r="X314" s="35"/>
      <c r="Y314" s="35" t="s">
        <v>143</v>
      </c>
      <c r="Z314" s="35">
        <v>7589154</v>
      </c>
      <c r="AA314" s="35">
        <v>520</v>
      </c>
      <c r="AB314" s="35">
        <v>260</v>
      </c>
      <c r="AC314" s="35"/>
      <c r="AE314" s="51">
        <f>M314/O314</f>
        <v>28</v>
      </c>
      <c r="AG314" s="6" t="str">
        <f>C314</f>
        <v>90MB1BJ0-C1BAY0</v>
      </c>
      <c r="AH314" s="6" t="str">
        <f>IF($D314&lt;=AH$4,"",IF(AND($D313=AH$4,$D314&gt;AH$4),$F313,AH313))</f>
        <v>59MB1BJB-MB0A02S</v>
      </c>
      <c r="AI314" s="6" t="str">
        <f>IF($D314&lt;=AI$4,"",IF(AND($D313=AI$4,$D314&gt;AI$4),$F313,AI313))</f>
        <v/>
      </c>
      <c r="AJ314" s="6" t="str">
        <f>IF($D314&lt;=AJ$4,"",IF(AND($D313=AJ$4,$D314&gt;AJ$4),$F313,AJ313))</f>
        <v/>
      </c>
      <c r="AK314" s="6" t="str">
        <f>IF($D314&lt;=AK$4,"",IF(AND($D313=AK$4,$D314&gt;AK$4),$F313,AK313))</f>
        <v/>
      </c>
      <c r="AL314" s="6" t="str">
        <f>IF($D314&lt;=AL$4,"",IF(AND($D313=AL$4,$D314&gt;AL$4),$F313,AL313))</f>
        <v/>
      </c>
      <c r="AM314" s="6" t="str">
        <f>IF($D314&lt;=AM$4,"",IF(AND($D313=AM$4,$D314&gt;AM$4),$F313,AM313))</f>
        <v/>
      </c>
      <c r="AN314" s="6" t="str">
        <f>IF($D314&lt;=AN$4,"",IF(AND($D313=AN$4,$D314&gt;AN$4),$F313,AN313))</f>
        <v/>
      </c>
      <c r="AO314" s="6" t="str">
        <f>CONCATENATE(AG314," | ",AH314," | ",AI314," | ",AJ314," | ",AK314," | ",AL314," | ",AM314," | ",AN314)</f>
        <v xml:space="preserve">90MB1BJ0-C1BAY0 | 59MB1BJB-MB0A02S |  |  |  |  |  | </v>
      </c>
      <c r="AP314" s="6">
        <f>IF(TRIM(H314)="",100,J314)</f>
        <v>0</v>
      </c>
      <c r="AQ314" s="4"/>
      <c r="AR314" s="6" t="b">
        <f>NOT(TRIM(W314)&lt;&gt;"F")</f>
        <v>1</v>
      </c>
      <c r="AS314" s="6" t="str">
        <f>$B314&amp;" | "&amp;$AO314&amp;" | "&amp;IF(TRIM(H314)="","uniq"&amp;ROW(),TRIM(H314))</f>
        <v>461E | 90MB1BJ0-C1BAY0 | 59MB1BJB-MB0A02S |  |  |  |  |  |  | B5</v>
      </c>
      <c r="AT314" s="63">
        <f>IF(NOT(AR314),IF(TRIM($H314)="","Assembly","Phantom Alt"),VLOOKUP(F314,ZPCS04!B:G,6,0))</f>
        <v>658</v>
      </c>
      <c r="AU314" s="7"/>
      <c r="AV314" s="38">
        <f ca="1">IF(TRIM($W314)="F",OFFSET($A$5,MATCH($AS314,$AS$5:$AS314,0)-1,0),$A314)</f>
        <v>314</v>
      </c>
      <c r="AW314" s="38">
        <f ca="1">IFERROR(OFFSET(ZPCS04!$A$1,MATCH(F314,ZPCS04!B:B,0)-1,0),100)</f>
        <v>1.9999997</v>
      </c>
      <c r="AX314" s="7"/>
      <c r="AY314" s="6" t="b">
        <f>SUMIF(AS:AS,AS314,AP:AP)=100</f>
        <v>1</v>
      </c>
      <c r="AZ314" s="6" t="b">
        <f>SUMIF(AS:AS,AS314,AE:AE)/COUNTIF(AS:AS,AS314)=AE314</f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>C314&amp;" | "&amp;F314</f>
        <v>90MB1BJ0-C1BAY0 | 10G212200314010</v>
      </c>
      <c r="BE314" s="55" t="str">
        <f ca="1">C314&amp;" | "&amp;OFFSET($AF314,0,8-COUNTBLANK($AG314:$AN314))</f>
        <v>90MB1BJ0-C1BAY0 | 59MB1BJB-MB0A02S</v>
      </c>
      <c r="BF314" s="57">
        <f ca="1">IFERROR(VLOOKUP($BE314,$BD$5:$BF313,3,0)*$AE314,VLOOKUP($C314,Demanda!$A:$B,2,0)*$AE314)*IF(AT314="Phantom Alt",$BC314,TRUE)</f>
        <v>28000</v>
      </c>
      <c r="BG314" s="57">
        <f ca="1">BF314*(AP314/100)</f>
        <v>0</v>
      </c>
      <c r="BH314" s="57">
        <f>SUMIF(Invoice!A:A,F314,Invoice!B:B)</f>
        <v>30000</v>
      </c>
      <c r="BI314" s="57">
        <f ca="1">SUMIF(AS:AS,AS314,BG:BG)</f>
        <v>28000</v>
      </c>
      <c r="BJ314" s="57">
        <f ca="1">MIN((BI314-SUMIF($AS$5:AS313,AS314,$BJ$5:BJ313)),MAX(0,BH314-SUMIF($F$5:F313,F314,$BJ$5:BJ313)))</f>
        <v>28000</v>
      </c>
      <c r="BK314" s="57">
        <f ca="1">(-SUMIF(AS:AS,AS314,BG:BG)+SUMIF(AS:AS,AS314,BJ:BJ))*(AP314=100)*AR314</f>
        <v>0</v>
      </c>
      <c r="BL314" s="57">
        <f ca="1">MAX(0,SUMIF(Invoice!A:A,F314,Invoice!B:B)-SUMIF(F:F,F314,BJ:BJ))*(COUNTIF(F:F,F314)=COUNTIF($F$5:F314,F314))</f>
        <v>2000</v>
      </c>
    </row>
    <row r="315" spans="1:64" hidden="1">
      <c r="A315" s="43">
        <v>315</v>
      </c>
      <c r="B315" s="35" t="s">
        <v>147</v>
      </c>
      <c r="C315" s="35" t="s">
        <v>146</v>
      </c>
      <c r="D315" s="35">
        <v>2</v>
      </c>
      <c r="E315" s="35">
        <v>1150</v>
      </c>
      <c r="F315" s="64" t="s">
        <v>797</v>
      </c>
      <c r="G315" s="73" t="s">
        <v>798</v>
      </c>
      <c r="H315" s="35" t="s">
        <v>256</v>
      </c>
      <c r="I315" s="35" t="s">
        <v>54</v>
      </c>
      <c r="J315" s="35">
        <v>100</v>
      </c>
      <c r="K315" s="35" t="s">
        <v>489</v>
      </c>
      <c r="L315" s="35" t="s">
        <v>53</v>
      </c>
      <c r="M315" s="35">
        <v>28</v>
      </c>
      <c r="N315" s="35">
        <v>28</v>
      </c>
      <c r="O315" s="35">
        <v>1</v>
      </c>
      <c r="P315" s="35">
        <v>2</v>
      </c>
      <c r="Q315" s="35">
        <v>1</v>
      </c>
      <c r="R315" s="35" t="s">
        <v>122</v>
      </c>
      <c r="S315" s="35" t="s">
        <v>122</v>
      </c>
      <c r="T315" s="36">
        <v>44901</v>
      </c>
      <c r="U315" s="36">
        <v>2958465</v>
      </c>
      <c r="V315" s="35" t="s">
        <v>282</v>
      </c>
      <c r="W315" s="35" t="s">
        <v>145</v>
      </c>
      <c r="X315" s="35"/>
      <c r="Y315" s="35" t="s">
        <v>143</v>
      </c>
      <c r="Z315" s="35">
        <v>7589154</v>
      </c>
      <c r="AA315" s="35">
        <v>516</v>
      </c>
      <c r="AB315" s="35">
        <v>258</v>
      </c>
      <c r="AC315" s="35"/>
      <c r="AE315" s="51">
        <f>M315/O315</f>
        <v>28</v>
      </c>
      <c r="AG315" s="6" t="str">
        <f>C315</f>
        <v>90MB1BJ0-C1BAY0</v>
      </c>
      <c r="AH315" s="6" t="str">
        <f>IF($D315&lt;=AH$4,"",IF(AND($D314=AH$4,$D315&gt;AH$4),$F314,AH314))</f>
        <v>59MB1BJB-MB0A02S</v>
      </c>
      <c r="AI315" s="6" t="str">
        <f>IF($D315&lt;=AI$4,"",IF(AND($D314=AI$4,$D315&gt;AI$4),$F314,AI314))</f>
        <v/>
      </c>
      <c r="AJ315" s="6" t="str">
        <f>IF($D315&lt;=AJ$4,"",IF(AND($D314=AJ$4,$D315&gt;AJ$4),$F314,AJ314))</f>
        <v/>
      </c>
      <c r="AK315" s="6" t="str">
        <f>IF($D315&lt;=AK$4,"",IF(AND($D314=AK$4,$D315&gt;AK$4),$F314,AK314))</f>
        <v/>
      </c>
      <c r="AL315" s="6" t="str">
        <f>IF($D315&lt;=AL$4,"",IF(AND($D314=AL$4,$D315&gt;AL$4),$F314,AL314))</f>
        <v/>
      </c>
      <c r="AM315" s="6" t="str">
        <f>IF($D315&lt;=AM$4,"",IF(AND($D314=AM$4,$D315&gt;AM$4),$F314,AM314))</f>
        <v/>
      </c>
      <c r="AN315" s="6" t="str">
        <f>IF($D315&lt;=AN$4,"",IF(AND($D314=AN$4,$D315&gt;AN$4),$F314,AN314))</f>
        <v/>
      </c>
      <c r="AO315" s="6" t="str">
        <f>CONCATENATE(AG315," | ",AH315," | ",AI315," | ",AJ315," | ",AK315," | ",AL315," | ",AM315," | ",AN315)</f>
        <v xml:space="preserve">90MB1BJ0-C1BAY0 | 59MB1BJB-MB0A02S |  |  |  |  |  | </v>
      </c>
      <c r="AP315" s="6">
        <f>IF(TRIM(H315)="",100,J315)</f>
        <v>100</v>
      </c>
      <c r="AQ315" s="4"/>
      <c r="AR315" s="6" t="b">
        <f>NOT(TRIM(W315)&lt;&gt;"F")</f>
        <v>1</v>
      </c>
      <c r="AS315" s="6" t="str">
        <f>$B315&amp;" | "&amp;$AO315&amp;" | "&amp;IF(TRIM(H315)="","uniq"&amp;ROW(),TRIM(H315))</f>
        <v>461E | 90MB1BJ0-C1BAY0 | 59MB1BJB-MB0A02S |  |  |  |  |  |  | B5</v>
      </c>
      <c r="AT315" s="63">
        <f>IF(NOT(AR315),IF(TRIM($H315)="","Assembly","Phantom Alt"),VLOOKUP(F315,ZPCS04!B:G,6,0))</f>
        <v>658</v>
      </c>
      <c r="AU315" s="7"/>
      <c r="AV315" s="38">
        <f ca="1">IF(TRIM($W315)="F",OFFSET($A$5,MATCH($AS315,$AS$5:$AS315,0)-1,0),$A315)</f>
        <v>314</v>
      </c>
      <c r="AW315" s="38">
        <f ca="1">IFERROR(OFFSET(ZPCS04!$A$1,MATCH(F315,ZPCS04!B:B,0)-1,0),100)</f>
        <v>2</v>
      </c>
      <c r="AX315" s="7"/>
      <c r="AY315" s="6" t="b">
        <f>SUMIF(AS:AS,AS315,AP:AP)=100</f>
        <v>1</v>
      </c>
      <c r="AZ315" s="6" t="b">
        <f>SUMIF(AS:AS,AS315,AE:AE)/COUNTIF(AS:AS,AS315)=AE315</f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>C315&amp;" | "&amp;F315</f>
        <v>90MB1BJ0-C1BAY0 | 10G212200314020</v>
      </c>
      <c r="BE315" s="55" t="str">
        <f ca="1">C315&amp;" | "&amp;OFFSET($AF315,0,8-COUNTBLANK($AG315:$AN315))</f>
        <v>90MB1BJ0-C1BAY0 | 59MB1BJB-MB0A02S</v>
      </c>
      <c r="BF315" s="57">
        <f ca="1">IFERROR(VLOOKUP($BE315,$BD$5:$BF314,3,0)*$AE315,VLOOKUP($C315,Demanda!$A:$B,2,0)*$AE315)*IF(AT315="Phantom Alt",$BC315,TRUE)</f>
        <v>28000</v>
      </c>
      <c r="BG315" s="57">
        <f ca="1">BF315*(AP315/100)</f>
        <v>28000</v>
      </c>
      <c r="BH315" s="57">
        <f>SUMIF(Invoice!A:A,F315,Invoice!B:B)</f>
        <v>0</v>
      </c>
      <c r="BI315" s="57">
        <f ca="1">SUMIF(AS:AS,AS315,BG:BG)</f>
        <v>28000</v>
      </c>
      <c r="BJ315" s="57">
        <f ca="1">MIN((BI315-SUMIF($AS$5:AS314,AS315,$BJ$5:BJ314)),MAX(0,BH315-SUMIF($F$5:F314,F315,$BJ$5:BJ314)))</f>
        <v>0</v>
      </c>
      <c r="BK315" s="57">
        <f ca="1">(-SUMIF(AS:AS,AS315,BG:BG)+SUMIF(AS:AS,AS315,BJ:BJ))*(AP315=100)*AR315</f>
        <v>0</v>
      </c>
      <c r="BL315" s="57">
        <f ca="1">MAX(0,SUMIF(Invoice!A:A,F315,Invoice!B:B)-SUMIF(F:F,F315,BJ:BJ))*(COUNTIF(F:F,F315)=COUNTIF($F$5:F315,F315))</f>
        <v>0</v>
      </c>
    </row>
    <row r="316" spans="1:64" hidden="1">
      <c r="A316" s="43">
        <v>316</v>
      </c>
      <c r="B316" s="35" t="s">
        <v>147</v>
      </c>
      <c r="C316" s="35" t="s">
        <v>146</v>
      </c>
      <c r="D316" s="35">
        <v>2</v>
      </c>
      <c r="E316" s="35">
        <v>1150</v>
      </c>
      <c r="F316" s="64" t="s">
        <v>799</v>
      </c>
      <c r="G316" s="73" t="s">
        <v>800</v>
      </c>
      <c r="H316" s="35" t="s">
        <v>256</v>
      </c>
      <c r="I316" s="35" t="s">
        <v>55</v>
      </c>
      <c r="J316" s="35">
        <v>0</v>
      </c>
      <c r="K316" s="35" t="s">
        <v>150</v>
      </c>
      <c r="L316" s="35" t="s">
        <v>53</v>
      </c>
      <c r="M316" s="35">
        <v>28</v>
      </c>
      <c r="N316" s="35"/>
      <c r="O316" s="35">
        <v>1</v>
      </c>
      <c r="P316" s="35">
        <v>2</v>
      </c>
      <c r="Q316" s="35">
        <v>2</v>
      </c>
      <c r="R316" s="35" t="s">
        <v>73</v>
      </c>
      <c r="S316" s="35" t="s">
        <v>73</v>
      </c>
      <c r="T316" s="36">
        <v>44901</v>
      </c>
      <c r="U316" s="36">
        <v>2958465</v>
      </c>
      <c r="V316" s="35" t="s">
        <v>282</v>
      </c>
      <c r="W316" s="35" t="s">
        <v>145</v>
      </c>
      <c r="X316" s="35"/>
      <c r="Y316" s="35" t="s">
        <v>143</v>
      </c>
      <c r="Z316" s="35">
        <v>7589154</v>
      </c>
      <c r="AA316" s="35">
        <v>518</v>
      </c>
      <c r="AB316" s="35">
        <v>259</v>
      </c>
      <c r="AC316" s="35"/>
      <c r="AE316" s="51">
        <f>M316/O316</f>
        <v>28</v>
      </c>
      <c r="AG316" s="6" t="str">
        <f>C316</f>
        <v>90MB1BJ0-C1BAY0</v>
      </c>
      <c r="AH316" s="6" t="str">
        <f>IF($D316&lt;=AH$4,"",IF(AND($D315=AH$4,$D316&gt;AH$4),$F315,AH315))</f>
        <v>59MB1BJB-MB0A02S</v>
      </c>
      <c r="AI316" s="6" t="str">
        <f>IF($D316&lt;=AI$4,"",IF(AND($D315=AI$4,$D316&gt;AI$4),$F315,AI315))</f>
        <v/>
      </c>
      <c r="AJ316" s="6" t="str">
        <f>IF($D316&lt;=AJ$4,"",IF(AND($D315=AJ$4,$D316&gt;AJ$4),$F315,AJ315))</f>
        <v/>
      </c>
      <c r="AK316" s="6" t="str">
        <f>IF($D316&lt;=AK$4,"",IF(AND($D315=AK$4,$D316&gt;AK$4),$F315,AK315))</f>
        <v/>
      </c>
      <c r="AL316" s="6" t="str">
        <f>IF($D316&lt;=AL$4,"",IF(AND($D315=AL$4,$D316&gt;AL$4),$F315,AL315))</f>
        <v/>
      </c>
      <c r="AM316" s="6" t="str">
        <f>IF($D316&lt;=AM$4,"",IF(AND($D315=AM$4,$D316&gt;AM$4),$F315,AM315))</f>
        <v/>
      </c>
      <c r="AN316" s="6" t="str">
        <f>IF($D316&lt;=AN$4,"",IF(AND($D315=AN$4,$D316&gt;AN$4),$F315,AN315))</f>
        <v/>
      </c>
      <c r="AO316" s="6" t="str">
        <f>CONCATENATE(AG316," | ",AH316," | ",AI316," | ",AJ316," | ",AK316," | ",AL316," | ",AM316," | ",AN316)</f>
        <v xml:space="preserve">90MB1BJ0-C1BAY0 | 59MB1BJB-MB0A02S |  |  |  |  |  | </v>
      </c>
      <c r="AP316" s="6">
        <f>IF(TRIM(H316)="",100,J316)</f>
        <v>0</v>
      </c>
      <c r="AQ316" s="4"/>
      <c r="AR316" s="6" t="b">
        <f>NOT(TRIM(W316)&lt;&gt;"F")</f>
        <v>1</v>
      </c>
      <c r="AS316" s="6" t="str">
        <f>$B316&amp;" | "&amp;$AO316&amp;" | "&amp;IF(TRIM(H316)="","uniq"&amp;ROW(),TRIM(H316))</f>
        <v>461E | 90MB1BJ0-C1BAY0 | 59MB1BJB-MB0A02S |  |  |  |  |  |  | B5</v>
      </c>
      <c r="AT316" s="63">
        <f>IF(NOT(AR316),IF(TRIM($H316)="","Assembly","Phantom Alt"),VLOOKUP(F316,ZPCS04!B:G,6,0))</f>
        <v>658</v>
      </c>
      <c r="AU316" s="7"/>
      <c r="AV316" s="38">
        <f ca="1">IF(TRIM($W316)="F",OFFSET($A$5,MATCH($AS316,$AS$5:$AS316,0)-1,0),$A316)</f>
        <v>314</v>
      </c>
      <c r="AW316" s="38">
        <f ca="1">IFERROR(OFFSET(ZPCS04!$A$1,MATCH(F316,ZPCS04!B:B,0)-1,0),100)</f>
        <v>2</v>
      </c>
      <c r="AX316" s="7"/>
      <c r="AY316" s="6" t="b">
        <f>SUMIF(AS:AS,AS316,AP:AP)=100</f>
        <v>1</v>
      </c>
      <c r="AZ316" s="6" t="b">
        <f>SUMIF(AS:AS,AS316,AE:AE)/COUNTIF(AS:AS,AS316)=AE316</f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>C316&amp;" | "&amp;F316</f>
        <v>90MB1BJ0-C1BAY0 | 10G212200314050</v>
      </c>
      <c r="BE316" s="55" t="str">
        <f ca="1">C316&amp;" | "&amp;OFFSET($AF316,0,8-COUNTBLANK($AG316:$AN316))</f>
        <v>90MB1BJ0-C1BAY0 | 59MB1BJB-MB0A02S</v>
      </c>
      <c r="BF316" s="57">
        <f ca="1">IFERROR(VLOOKUP($BE316,$BD$5:$BF315,3,0)*$AE316,VLOOKUP($C316,Demanda!$A:$B,2,0)*$AE316)*IF(AT316="Phantom Alt",$BC316,TRUE)</f>
        <v>28000</v>
      </c>
      <c r="BG316" s="57">
        <f ca="1">BF316*(AP316/100)</f>
        <v>0</v>
      </c>
      <c r="BH316" s="57">
        <f>SUMIF(Invoice!A:A,F316,Invoice!B:B)</f>
        <v>0</v>
      </c>
      <c r="BI316" s="57">
        <f ca="1">SUMIF(AS:AS,AS316,BG:BG)</f>
        <v>28000</v>
      </c>
      <c r="BJ316" s="57">
        <f ca="1">MIN((BI316-SUMIF($AS$5:AS315,AS316,$BJ$5:BJ315)),MAX(0,BH316-SUMIF($F$5:F315,F316,$BJ$5:BJ315)))</f>
        <v>0</v>
      </c>
      <c r="BK316" s="57">
        <f ca="1">(-SUMIF(AS:AS,AS316,BG:BG)+SUMIF(AS:AS,AS316,BJ:BJ))*(AP316=100)*AR316</f>
        <v>0</v>
      </c>
      <c r="BL316" s="57">
        <f ca="1">MAX(0,SUMIF(Invoice!A:A,F316,Invoice!B:B)-SUMIF(F:F,F316,BJ:BJ))*(COUNTIF(F:F,F316)=COUNTIF($F$5:F316,F316))</f>
        <v>0</v>
      </c>
    </row>
    <row r="317" spans="1:64" hidden="1">
      <c r="A317" s="43">
        <v>318</v>
      </c>
      <c r="B317" s="35" t="s">
        <v>147</v>
      </c>
      <c r="C317" s="35" t="s">
        <v>146</v>
      </c>
      <c r="D317" s="35">
        <v>2</v>
      </c>
      <c r="E317" s="35">
        <v>1160</v>
      </c>
      <c r="F317" s="64" t="s">
        <v>803</v>
      </c>
      <c r="G317" s="73" t="s">
        <v>804</v>
      </c>
      <c r="H317" s="35" t="s">
        <v>261</v>
      </c>
      <c r="I317" s="35" t="s">
        <v>55</v>
      </c>
      <c r="J317" s="35">
        <v>0</v>
      </c>
      <c r="K317" s="35" t="s">
        <v>489</v>
      </c>
      <c r="L317" s="35" t="s">
        <v>53</v>
      </c>
      <c r="M317" s="35">
        <v>3</v>
      </c>
      <c r="N317" s="35"/>
      <c r="O317" s="35">
        <v>1</v>
      </c>
      <c r="P317" s="35">
        <v>2</v>
      </c>
      <c r="Q317" s="35">
        <v>3</v>
      </c>
      <c r="R317" s="35" t="s">
        <v>122</v>
      </c>
      <c r="S317" s="35" t="s">
        <v>122</v>
      </c>
      <c r="T317" s="36">
        <v>44901</v>
      </c>
      <c r="U317" s="36">
        <v>2958465</v>
      </c>
      <c r="V317" s="35" t="s">
        <v>282</v>
      </c>
      <c r="W317" s="35" t="s">
        <v>145</v>
      </c>
      <c r="X317" s="35"/>
      <c r="Y317" s="35" t="s">
        <v>143</v>
      </c>
      <c r="Z317" s="35">
        <v>7589154</v>
      </c>
      <c r="AA317" s="35">
        <v>526</v>
      </c>
      <c r="AB317" s="35">
        <v>263</v>
      </c>
      <c r="AC317" s="35"/>
      <c r="AE317" s="51">
        <f>M317/O317</f>
        <v>3</v>
      </c>
      <c r="AG317" s="6" t="str">
        <f>C317</f>
        <v>90MB1BJ0-C1BAY0</v>
      </c>
      <c r="AH317" s="6" t="str">
        <f>IF($D317&lt;=AH$4,"",IF(AND($D316=AH$4,$D317&gt;AH$4),$F316,AH316))</f>
        <v>59MB1BJB-MB0A02S</v>
      </c>
      <c r="AI317" s="6" t="str">
        <f>IF($D317&lt;=AI$4,"",IF(AND($D316=AI$4,$D317&gt;AI$4),$F316,AI316))</f>
        <v/>
      </c>
      <c r="AJ317" s="6" t="str">
        <f>IF($D317&lt;=AJ$4,"",IF(AND($D316=AJ$4,$D317&gt;AJ$4),$F316,AJ316))</f>
        <v/>
      </c>
      <c r="AK317" s="6" t="str">
        <f>IF($D317&lt;=AK$4,"",IF(AND($D316=AK$4,$D317&gt;AK$4),$F316,AK316))</f>
        <v/>
      </c>
      <c r="AL317" s="6" t="str">
        <f>IF($D317&lt;=AL$4,"",IF(AND($D316=AL$4,$D317&gt;AL$4),$F316,AL316))</f>
        <v/>
      </c>
      <c r="AM317" s="6" t="str">
        <f>IF($D317&lt;=AM$4,"",IF(AND($D316=AM$4,$D317&gt;AM$4),$F316,AM316))</f>
        <v/>
      </c>
      <c r="AN317" s="6" t="str">
        <f>IF($D317&lt;=AN$4,"",IF(AND($D316=AN$4,$D317&gt;AN$4),$F316,AN316))</f>
        <v/>
      </c>
      <c r="AO317" s="6" t="str">
        <f>CONCATENATE(AG317," | ",AH317," | ",AI317," | ",AJ317," | ",AK317," | ",AL317," | ",AM317," | ",AN317)</f>
        <v xml:space="preserve">90MB1BJ0-C1BAY0 | 59MB1BJB-MB0A02S |  |  |  |  |  | </v>
      </c>
      <c r="AP317" s="6">
        <f>IF(TRIM(H317)="",100,J317)</f>
        <v>0</v>
      </c>
      <c r="AQ317" s="4"/>
      <c r="AR317" s="6" t="b">
        <f>NOT(TRIM(W317)&lt;&gt;"F")</f>
        <v>1</v>
      </c>
      <c r="AS317" s="6" t="str">
        <f>$B317&amp;" | "&amp;$AO317&amp;" | "&amp;IF(TRIM(H317)="","uniq"&amp;ROW(),TRIM(H317))</f>
        <v>461E | 90MB1BJ0-C1BAY0 | 59MB1BJB-MB0A02S |  |  |  |  |  |  | B6</v>
      </c>
      <c r="AT317" s="63">
        <f>IF(NOT(AR317),IF(TRIM($H317)="","Assembly","Phantom Alt"),VLOOKUP(F317,ZPCS04!B:G,6,0))</f>
        <v>659</v>
      </c>
      <c r="AU317" s="7"/>
      <c r="AV317" s="38">
        <f ca="1">IF(TRIM($W317)="F",OFFSET($A$5,MATCH($AS317,$AS$5:$AS317,0)-1,0),$A317)</f>
        <v>318</v>
      </c>
      <c r="AW317" s="38">
        <f ca="1">IFERROR(OFFSET(ZPCS04!$A$1,MATCH(F317,ZPCS04!B:B,0)-1,0),100)</f>
        <v>1.9999999000000002</v>
      </c>
      <c r="AX317" s="7"/>
      <c r="AY317" s="6" t="b">
        <f>SUMIF(AS:AS,AS317,AP:AP)=100</f>
        <v>1</v>
      </c>
      <c r="AZ317" s="6" t="b">
        <f>SUMIF(AS:AS,AS317,AE:AE)/COUNTIF(AS:AS,AS317)=AE317</f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>C317&amp;" | "&amp;F317</f>
        <v>90MB1BJ0-C1BAY0 | 10G212200414020</v>
      </c>
      <c r="BE317" s="55" t="str">
        <f ca="1">C317&amp;" | "&amp;OFFSET($AF317,0,8-COUNTBLANK($AG317:$AN317))</f>
        <v>90MB1BJ0-C1BAY0 | 59MB1BJB-MB0A02S</v>
      </c>
      <c r="BF317" s="57">
        <f ca="1">IFERROR(VLOOKUP($BE317,$BD$5:$BF316,3,0)*$AE317,VLOOKUP($C317,Demanda!$A:$B,2,0)*$AE317)*IF(AT317="Phantom Alt",$BC317,TRUE)</f>
        <v>3000</v>
      </c>
      <c r="BG317" s="57">
        <f ca="1">BF317*(AP317/100)</f>
        <v>0</v>
      </c>
      <c r="BH317" s="57">
        <f>SUMIF(Invoice!A:A,F317,Invoice!B:B)</f>
        <v>10000</v>
      </c>
      <c r="BI317" s="57">
        <f ca="1">SUMIF(AS:AS,AS317,BG:BG)</f>
        <v>3000</v>
      </c>
      <c r="BJ317" s="57">
        <f ca="1">MIN((BI317-SUMIF($AS$5:AS316,AS317,$BJ$5:BJ316)),MAX(0,BH317-SUMIF($F$5:F316,F317,$BJ$5:BJ316)))</f>
        <v>3000</v>
      </c>
      <c r="BK317" s="57">
        <f ca="1">(-SUMIF(AS:AS,AS317,BG:BG)+SUMIF(AS:AS,AS317,BJ:BJ))*(AP317=100)*AR317</f>
        <v>0</v>
      </c>
      <c r="BL317" s="57">
        <f ca="1">MAX(0,SUMIF(Invoice!A:A,F317,Invoice!B:B)-SUMIF(F:F,F317,BJ:BJ))*(COUNTIF(F:F,F317)=COUNTIF($F$5:F317,F317))</f>
        <v>7000</v>
      </c>
    </row>
    <row r="318" spans="1:64" hidden="1">
      <c r="A318" s="43">
        <v>317</v>
      </c>
      <c r="B318" s="35" t="s">
        <v>147</v>
      </c>
      <c r="C318" s="35" t="s">
        <v>146</v>
      </c>
      <c r="D318" s="35">
        <v>2</v>
      </c>
      <c r="E318" s="35">
        <v>1160</v>
      </c>
      <c r="F318" s="64" t="s">
        <v>801</v>
      </c>
      <c r="G318" s="73" t="s">
        <v>802</v>
      </c>
      <c r="H318" s="35" t="s">
        <v>261</v>
      </c>
      <c r="I318" s="35" t="s">
        <v>54</v>
      </c>
      <c r="J318" s="35">
        <v>100</v>
      </c>
      <c r="K318" s="35" t="s">
        <v>489</v>
      </c>
      <c r="L318" s="35" t="s">
        <v>53</v>
      </c>
      <c r="M318" s="35">
        <v>3</v>
      </c>
      <c r="N318" s="35">
        <v>3</v>
      </c>
      <c r="O318" s="35">
        <v>1</v>
      </c>
      <c r="P318" s="35">
        <v>2</v>
      </c>
      <c r="Q318" s="35">
        <v>1</v>
      </c>
      <c r="R318" s="35" t="s">
        <v>122</v>
      </c>
      <c r="S318" s="35" t="s">
        <v>122</v>
      </c>
      <c r="T318" s="36">
        <v>44901</v>
      </c>
      <c r="U318" s="36">
        <v>2958465</v>
      </c>
      <c r="V318" s="35" t="s">
        <v>282</v>
      </c>
      <c r="W318" s="35" t="s">
        <v>145</v>
      </c>
      <c r="X318" s="35"/>
      <c r="Y318" s="35" t="s">
        <v>143</v>
      </c>
      <c r="Z318" s="35">
        <v>7589154</v>
      </c>
      <c r="AA318" s="35">
        <v>522</v>
      </c>
      <c r="AB318" s="35">
        <v>261</v>
      </c>
      <c r="AC318" s="35"/>
      <c r="AE318" s="51">
        <f>M318/O318</f>
        <v>3</v>
      </c>
      <c r="AG318" s="6" t="str">
        <f>C318</f>
        <v>90MB1BJ0-C1BAY0</v>
      </c>
      <c r="AH318" s="6" t="str">
        <f>IF($D318&lt;=AH$4,"",IF(AND($D317=AH$4,$D318&gt;AH$4),$F317,AH317))</f>
        <v>59MB1BJB-MB0A02S</v>
      </c>
      <c r="AI318" s="6" t="str">
        <f>IF($D318&lt;=AI$4,"",IF(AND($D317=AI$4,$D318&gt;AI$4),$F317,AI317))</f>
        <v/>
      </c>
      <c r="AJ318" s="6" t="str">
        <f>IF($D318&lt;=AJ$4,"",IF(AND($D317=AJ$4,$D318&gt;AJ$4),$F317,AJ317))</f>
        <v/>
      </c>
      <c r="AK318" s="6" t="str">
        <f>IF($D318&lt;=AK$4,"",IF(AND($D317=AK$4,$D318&gt;AK$4),$F317,AK317))</f>
        <v/>
      </c>
      <c r="AL318" s="6" t="str">
        <f>IF($D318&lt;=AL$4,"",IF(AND($D317=AL$4,$D318&gt;AL$4),$F317,AL317))</f>
        <v/>
      </c>
      <c r="AM318" s="6" t="str">
        <f>IF($D318&lt;=AM$4,"",IF(AND($D317=AM$4,$D318&gt;AM$4),$F317,AM317))</f>
        <v/>
      </c>
      <c r="AN318" s="6" t="str">
        <f>IF($D318&lt;=AN$4,"",IF(AND($D317=AN$4,$D318&gt;AN$4),$F317,AN317))</f>
        <v/>
      </c>
      <c r="AO318" s="6" t="str">
        <f>CONCATENATE(AG318," | ",AH318," | ",AI318," | ",AJ318," | ",AK318," | ",AL318," | ",AM318," | ",AN318)</f>
        <v xml:space="preserve">90MB1BJ0-C1BAY0 | 59MB1BJB-MB0A02S |  |  |  |  |  | </v>
      </c>
      <c r="AP318" s="6">
        <f>IF(TRIM(H318)="",100,J318)</f>
        <v>100</v>
      </c>
      <c r="AQ318" s="4"/>
      <c r="AR318" s="6" t="b">
        <f>NOT(TRIM(W318)&lt;&gt;"F")</f>
        <v>1</v>
      </c>
      <c r="AS318" s="6" t="str">
        <f>$B318&amp;" | "&amp;$AO318&amp;" | "&amp;IF(TRIM(H318)="","uniq"&amp;ROW(),TRIM(H318))</f>
        <v>461E | 90MB1BJ0-C1BAY0 | 59MB1BJB-MB0A02S |  |  |  |  |  |  | B6</v>
      </c>
      <c r="AT318" s="63">
        <f>IF(NOT(AR318),IF(TRIM($H318)="","Assembly","Phantom Alt"),VLOOKUP(F318,ZPCS04!B:G,6,0))</f>
        <v>659</v>
      </c>
      <c r="AU318" s="7"/>
      <c r="AV318" s="38">
        <f ca="1">IF(TRIM($W318)="F",OFFSET($A$5,MATCH($AS318,$AS$5:$AS318,0)-1,0),$A318)</f>
        <v>318</v>
      </c>
      <c r="AW318" s="38">
        <f ca="1">IFERROR(OFFSET(ZPCS04!$A$1,MATCH(F318,ZPCS04!B:B,0)-1,0),100)</f>
        <v>2</v>
      </c>
      <c r="AX318" s="7"/>
      <c r="AY318" s="6" t="b">
        <f>SUMIF(AS:AS,AS318,AP:AP)=100</f>
        <v>1</v>
      </c>
      <c r="AZ318" s="6" t="b">
        <f>SUMIF(AS:AS,AS318,AE:AE)/COUNTIF(AS:AS,AS318)=AE318</f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>C318&amp;" | "&amp;F318</f>
        <v>90MB1BJ0-C1BAY0 | 10G212200414010</v>
      </c>
      <c r="BE318" s="55" t="str">
        <f ca="1">C318&amp;" | "&amp;OFFSET($AF318,0,8-COUNTBLANK($AG318:$AN318))</f>
        <v>90MB1BJ0-C1BAY0 | 59MB1BJB-MB0A02S</v>
      </c>
      <c r="BF318" s="57">
        <f ca="1">IFERROR(VLOOKUP($BE318,$BD$5:$BF317,3,0)*$AE318,VLOOKUP($C318,Demanda!$A:$B,2,0)*$AE318)*IF(AT318="Phantom Alt",$BC318,TRUE)</f>
        <v>3000</v>
      </c>
      <c r="BG318" s="57">
        <f ca="1">BF318*(AP318/100)</f>
        <v>3000</v>
      </c>
      <c r="BH318" s="57">
        <f>SUMIF(Invoice!A:A,F318,Invoice!B:B)</f>
        <v>0</v>
      </c>
      <c r="BI318" s="57">
        <f ca="1">SUMIF(AS:AS,AS318,BG:BG)</f>
        <v>3000</v>
      </c>
      <c r="BJ318" s="57">
        <f ca="1">MIN((BI318-SUMIF($AS$5:AS317,AS318,$BJ$5:BJ317)),MAX(0,BH318-SUMIF($F$5:F317,F318,$BJ$5:BJ317)))</f>
        <v>0</v>
      </c>
      <c r="BK318" s="57">
        <f ca="1">(-SUMIF(AS:AS,AS318,BG:BG)+SUMIF(AS:AS,AS318,BJ:BJ))*(AP318=100)*AR318</f>
        <v>0</v>
      </c>
      <c r="BL318" s="57">
        <f ca="1">MAX(0,SUMIF(Invoice!A:A,F318,Invoice!B:B)-SUMIF(F:F,F318,BJ:BJ))*(COUNTIF(F:F,F318)=COUNTIF($F$5:F318,F318))</f>
        <v>0</v>
      </c>
    </row>
    <row r="319" spans="1:64" hidden="1">
      <c r="A319" s="43">
        <v>319</v>
      </c>
      <c r="B319" s="35" t="s">
        <v>147</v>
      </c>
      <c r="C319" s="35" t="s">
        <v>146</v>
      </c>
      <c r="D319" s="35">
        <v>2</v>
      </c>
      <c r="E319" s="35">
        <v>1160</v>
      </c>
      <c r="F319" s="64" t="s">
        <v>805</v>
      </c>
      <c r="G319" s="73" t="s">
        <v>806</v>
      </c>
      <c r="H319" s="35" t="s">
        <v>261</v>
      </c>
      <c r="I319" s="35" t="s">
        <v>55</v>
      </c>
      <c r="J319" s="35">
        <v>0</v>
      </c>
      <c r="K319" s="35" t="s">
        <v>150</v>
      </c>
      <c r="L319" s="35" t="s">
        <v>53</v>
      </c>
      <c r="M319" s="35">
        <v>3</v>
      </c>
      <c r="N319" s="35"/>
      <c r="O319" s="35">
        <v>1</v>
      </c>
      <c r="P319" s="35">
        <v>2</v>
      </c>
      <c r="Q319" s="35">
        <v>2</v>
      </c>
      <c r="R319" s="35" t="s">
        <v>73</v>
      </c>
      <c r="S319" s="35" t="s">
        <v>73</v>
      </c>
      <c r="T319" s="36">
        <v>44901</v>
      </c>
      <c r="U319" s="36">
        <v>2958465</v>
      </c>
      <c r="V319" s="35" t="s">
        <v>282</v>
      </c>
      <c r="W319" s="35" t="s">
        <v>145</v>
      </c>
      <c r="X319" s="35"/>
      <c r="Y319" s="35" t="s">
        <v>143</v>
      </c>
      <c r="Z319" s="35">
        <v>7589154</v>
      </c>
      <c r="AA319" s="35">
        <v>524</v>
      </c>
      <c r="AB319" s="35">
        <v>262</v>
      </c>
      <c r="AC319" s="35"/>
      <c r="AE319" s="51">
        <f>M319/O319</f>
        <v>3</v>
      </c>
      <c r="AG319" s="6" t="str">
        <f>C319</f>
        <v>90MB1BJ0-C1BAY0</v>
      </c>
      <c r="AH319" s="6" t="str">
        <f>IF($D319&lt;=AH$4,"",IF(AND($D318=AH$4,$D319&gt;AH$4),$F318,AH318))</f>
        <v>59MB1BJB-MB0A02S</v>
      </c>
      <c r="AI319" s="6" t="str">
        <f>IF($D319&lt;=AI$4,"",IF(AND($D318=AI$4,$D319&gt;AI$4),$F318,AI318))</f>
        <v/>
      </c>
      <c r="AJ319" s="6" t="str">
        <f>IF($D319&lt;=AJ$4,"",IF(AND($D318=AJ$4,$D319&gt;AJ$4),$F318,AJ318))</f>
        <v/>
      </c>
      <c r="AK319" s="6" t="str">
        <f>IF($D319&lt;=AK$4,"",IF(AND($D318=AK$4,$D319&gt;AK$4),$F318,AK318))</f>
        <v/>
      </c>
      <c r="AL319" s="6" t="str">
        <f>IF($D319&lt;=AL$4,"",IF(AND($D318=AL$4,$D319&gt;AL$4),$F318,AL318))</f>
        <v/>
      </c>
      <c r="AM319" s="6" t="str">
        <f>IF($D319&lt;=AM$4,"",IF(AND($D318=AM$4,$D319&gt;AM$4),$F318,AM318))</f>
        <v/>
      </c>
      <c r="AN319" s="6" t="str">
        <f>IF($D319&lt;=AN$4,"",IF(AND($D318=AN$4,$D319&gt;AN$4),$F318,AN318))</f>
        <v/>
      </c>
      <c r="AO319" s="6" t="str">
        <f>CONCATENATE(AG319," | ",AH319," | ",AI319," | ",AJ319," | ",AK319," | ",AL319," | ",AM319," | ",AN319)</f>
        <v xml:space="preserve">90MB1BJ0-C1BAY0 | 59MB1BJB-MB0A02S |  |  |  |  |  | </v>
      </c>
      <c r="AP319" s="6">
        <f>IF(TRIM(H319)="",100,J319)</f>
        <v>0</v>
      </c>
      <c r="AQ319" s="4"/>
      <c r="AR319" s="6" t="b">
        <f>NOT(TRIM(W319)&lt;&gt;"F")</f>
        <v>1</v>
      </c>
      <c r="AS319" s="6" t="str">
        <f>$B319&amp;" | "&amp;$AO319&amp;" | "&amp;IF(TRIM(H319)="","uniq"&amp;ROW(),TRIM(H319))</f>
        <v>461E | 90MB1BJ0-C1BAY0 | 59MB1BJB-MB0A02S |  |  |  |  |  |  | B6</v>
      </c>
      <c r="AT319" s="63">
        <f>IF(NOT(AR319),IF(TRIM($H319)="","Assembly","Phantom Alt"),VLOOKUP(F319,ZPCS04!B:G,6,0))</f>
        <v>659</v>
      </c>
      <c r="AU319" s="7"/>
      <c r="AV319" s="38">
        <f ca="1">IF(TRIM($W319)="F",OFFSET($A$5,MATCH($AS319,$AS$5:$AS319,0)-1,0),$A319)</f>
        <v>318</v>
      </c>
      <c r="AW319" s="38">
        <f ca="1">IFERROR(OFFSET(ZPCS04!$A$1,MATCH(F319,ZPCS04!B:B,0)-1,0),100)</f>
        <v>2</v>
      </c>
      <c r="AX319" s="7"/>
      <c r="AY319" s="6" t="b">
        <f>SUMIF(AS:AS,AS319,AP:AP)=100</f>
        <v>1</v>
      </c>
      <c r="AZ319" s="6" t="b">
        <f>SUMIF(AS:AS,AS319,AE:AE)/COUNTIF(AS:AS,AS319)=AE319</f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>C319&amp;" | "&amp;F319</f>
        <v>90MB1BJ0-C1BAY0 | 10G212200414050</v>
      </c>
      <c r="BE319" s="55" t="str">
        <f ca="1">C319&amp;" | "&amp;OFFSET($AF319,0,8-COUNTBLANK($AG319:$AN319))</f>
        <v>90MB1BJ0-C1BAY0 | 59MB1BJB-MB0A02S</v>
      </c>
      <c r="BF319" s="57">
        <f ca="1">IFERROR(VLOOKUP($BE319,$BD$5:$BF318,3,0)*$AE319,VLOOKUP($C319,Demanda!$A:$B,2,0)*$AE319)*IF(AT319="Phantom Alt",$BC319,TRUE)</f>
        <v>3000</v>
      </c>
      <c r="BG319" s="57">
        <f ca="1">BF319*(AP319/100)</f>
        <v>0</v>
      </c>
      <c r="BH319" s="57">
        <f>SUMIF(Invoice!A:A,F319,Invoice!B:B)</f>
        <v>0</v>
      </c>
      <c r="BI319" s="57">
        <f ca="1">SUMIF(AS:AS,AS319,BG:BG)</f>
        <v>3000</v>
      </c>
      <c r="BJ319" s="57">
        <f ca="1">MIN((BI319-SUMIF($AS$5:AS318,AS319,$BJ$5:BJ318)),MAX(0,BH319-SUMIF($F$5:F318,F319,$BJ$5:BJ318)))</f>
        <v>0</v>
      </c>
      <c r="BK319" s="57">
        <f ca="1">(-SUMIF(AS:AS,AS319,BG:BG)+SUMIF(AS:AS,AS319,BJ:BJ))*(AP319=100)*AR319</f>
        <v>0</v>
      </c>
      <c r="BL319" s="57">
        <f ca="1">MAX(0,SUMIF(Invoice!A:A,F319,Invoice!B:B)-SUMIF(F:F,F319,BJ:BJ))*(COUNTIF(F:F,F319)=COUNTIF($F$5:F319,F319))</f>
        <v>0</v>
      </c>
    </row>
    <row r="320" spans="1:64" hidden="1">
      <c r="A320" s="43">
        <v>321</v>
      </c>
      <c r="B320" s="35" t="s">
        <v>147</v>
      </c>
      <c r="C320" s="35" t="s">
        <v>146</v>
      </c>
      <c r="D320" s="35">
        <v>2</v>
      </c>
      <c r="E320" s="35">
        <v>1170</v>
      </c>
      <c r="F320" s="64" t="s">
        <v>809</v>
      </c>
      <c r="G320" s="73" t="s">
        <v>810</v>
      </c>
      <c r="H320" s="35" t="s">
        <v>266</v>
      </c>
      <c r="I320" s="35" t="s">
        <v>55</v>
      </c>
      <c r="J320" s="35">
        <v>0</v>
      </c>
      <c r="K320" s="35" t="s">
        <v>150</v>
      </c>
      <c r="L320" s="35" t="s">
        <v>53</v>
      </c>
      <c r="M320" s="35">
        <v>2</v>
      </c>
      <c r="N320" s="35"/>
      <c r="O320" s="35">
        <v>1</v>
      </c>
      <c r="P320" s="35">
        <v>2</v>
      </c>
      <c r="Q320" s="35">
        <v>2</v>
      </c>
      <c r="R320" s="35" t="s">
        <v>73</v>
      </c>
      <c r="S320" s="35" t="s">
        <v>73</v>
      </c>
      <c r="T320" s="36">
        <v>44901</v>
      </c>
      <c r="U320" s="36">
        <v>2958465</v>
      </c>
      <c r="V320" s="35" t="s">
        <v>282</v>
      </c>
      <c r="W320" s="35" t="s">
        <v>145</v>
      </c>
      <c r="X320" s="35"/>
      <c r="Y320" s="35" t="s">
        <v>143</v>
      </c>
      <c r="Z320" s="35">
        <v>7589154</v>
      </c>
      <c r="AA320" s="35">
        <v>530</v>
      </c>
      <c r="AB320" s="35">
        <v>265</v>
      </c>
      <c r="AC320" s="35"/>
      <c r="AE320" s="51">
        <f>M320/O320</f>
        <v>2</v>
      </c>
      <c r="AG320" s="6" t="str">
        <f>C320</f>
        <v>90MB1BJ0-C1BAY0</v>
      </c>
      <c r="AH320" s="6" t="str">
        <f>IF($D320&lt;=AH$4,"",IF(AND($D319=AH$4,$D320&gt;AH$4),$F319,AH319))</f>
        <v>59MB1BJB-MB0A02S</v>
      </c>
      <c r="AI320" s="6" t="str">
        <f>IF($D320&lt;=AI$4,"",IF(AND($D319=AI$4,$D320&gt;AI$4),$F319,AI319))</f>
        <v/>
      </c>
      <c r="AJ320" s="6" t="str">
        <f>IF($D320&lt;=AJ$4,"",IF(AND($D319=AJ$4,$D320&gt;AJ$4),$F319,AJ319))</f>
        <v/>
      </c>
      <c r="AK320" s="6" t="str">
        <f>IF($D320&lt;=AK$4,"",IF(AND($D319=AK$4,$D320&gt;AK$4),$F319,AK319))</f>
        <v/>
      </c>
      <c r="AL320" s="6" t="str">
        <f>IF($D320&lt;=AL$4,"",IF(AND($D319=AL$4,$D320&gt;AL$4),$F319,AL319))</f>
        <v/>
      </c>
      <c r="AM320" s="6" t="str">
        <f>IF($D320&lt;=AM$4,"",IF(AND($D319=AM$4,$D320&gt;AM$4),$F319,AM319))</f>
        <v/>
      </c>
      <c r="AN320" s="6" t="str">
        <f>IF($D320&lt;=AN$4,"",IF(AND($D319=AN$4,$D320&gt;AN$4),$F319,AN319))</f>
        <v/>
      </c>
      <c r="AO320" s="6" t="str">
        <f>CONCATENATE(AG320," | ",AH320," | ",AI320," | ",AJ320," | ",AK320," | ",AL320," | ",AM320," | ",AN320)</f>
        <v xml:space="preserve">90MB1BJ0-C1BAY0 | 59MB1BJB-MB0A02S |  |  |  |  |  | </v>
      </c>
      <c r="AP320" s="6">
        <f>IF(TRIM(H320)="",100,J320)</f>
        <v>0</v>
      </c>
      <c r="AQ320" s="4"/>
      <c r="AR320" s="6" t="b">
        <f>NOT(TRIM(W320)&lt;&gt;"F")</f>
        <v>1</v>
      </c>
      <c r="AS320" s="6" t="str">
        <f>$B320&amp;" | "&amp;$AO320&amp;" | "&amp;IF(TRIM(H320)="","uniq"&amp;ROW(),TRIM(H320))</f>
        <v>461E | 90MB1BJ0-C1BAY0 | 59MB1BJB-MB0A02S |  |  |  |  |  |  | B7</v>
      </c>
      <c r="AT320" s="63">
        <f>IF(NOT(AR320),IF(TRIM($H320)="","Assembly","Phantom Alt"),VLOOKUP(F320,ZPCS04!B:G,6,0))</f>
        <v>662</v>
      </c>
      <c r="AU320" s="7"/>
      <c r="AV320" s="38">
        <f ca="1">IF(TRIM($W320)="F",OFFSET($A$5,MATCH($AS320,$AS$5:$AS320,0)-1,0),$A320)</f>
        <v>321</v>
      </c>
      <c r="AW320" s="38">
        <f ca="1">IFERROR(OFFSET(ZPCS04!$A$1,MATCH(F320,ZPCS04!B:B,0)-1,0),100)</f>
        <v>1.9999999000000002</v>
      </c>
      <c r="AX320" s="7"/>
      <c r="AY320" s="6" t="b">
        <f>SUMIF(AS:AS,AS320,AP:AP)=100</f>
        <v>1</v>
      </c>
      <c r="AZ320" s="6" t="b">
        <f>SUMIF(AS:AS,AS320,AE:AE)/COUNTIF(AS:AS,AS320)=AE320</f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>C320&amp;" | "&amp;F320</f>
        <v>90MB1BJ0-C1BAY0 | 10G212215114020</v>
      </c>
      <c r="BE320" s="55" t="str">
        <f ca="1">C320&amp;" | "&amp;OFFSET($AF320,0,8-COUNTBLANK($AG320:$AN320))</f>
        <v>90MB1BJ0-C1BAY0 | 59MB1BJB-MB0A02S</v>
      </c>
      <c r="BF320" s="57">
        <f ca="1">IFERROR(VLOOKUP($BE320,$BD$5:$BF319,3,0)*$AE320,VLOOKUP($C320,Demanda!$A:$B,2,0)*$AE320)*IF(AT320="Phantom Alt",$BC320,TRUE)</f>
        <v>2000</v>
      </c>
      <c r="BG320" s="57">
        <f ca="1">BF320*(AP320/100)</f>
        <v>0</v>
      </c>
      <c r="BH320" s="57">
        <f>SUMIF(Invoice!A:A,F320,Invoice!B:B)</f>
        <v>10000</v>
      </c>
      <c r="BI320" s="57">
        <f ca="1">SUMIF(AS:AS,AS320,BG:BG)</f>
        <v>2000</v>
      </c>
      <c r="BJ320" s="57">
        <f ca="1">MIN((BI320-SUMIF($AS$5:AS319,AS320,$BJ$5:BJ319)),MAX(0,BH320-SUMIF($F$5:F319,F320,$BJ$5:BJ319)))</f>
        <v>2000</v>
      </c>
      <c r="BK320" s="57">
        <f ca="1">(-SUMIF(AS:AS,AS320,BG:BG)+SUMIF(AS:AS,AS320,BJ:BJ))*(AP320=100)*AR320</f>
        <v>0</v>
      </c>
      <c r="BL320" s="57">
        <f ca="1">MAX(0,SUMIF(Invoice!A:A,F320,Invoice!B:B)-SUMIF(F:F,F320,BJ:BJ))*(COUNTIF(F:F,F320)=COUNTIF($F$5:F320,F320))</f>
        <v>8000</v>
      </c>
    </row>
    <row r="321" spans="1:64" hidden="1">
      <c r="A321" s="43">
        <v>320</v>
      </c>
      <c r="B321" s="35" t="s">
        <v>147</v>
      </c>
      <c r="C321" s="35" t="s">
        <v>146</v>
      </c>
      <c r="D321" s="35">
        <v>2</v>
      </c>
      <c r="E321" s="35">
        <v>1170</v>
      </c>
      <c r="F321" s="64" t="s">
        <v>807</v>
      </c>
      <c r="G321" s="73" t="s">
        <v>808</v>
      </c>
      <c r="H321" s="35" t="s">
        <v>266</v>
      </c>
      <c r="I321" s="35" t="s">
        <v>54</v>
      </c>
      <c r="J321" s="35">
        <v>100</v>
      </c>
      <c r="K321" s="35" t="s">
        <v>150</v>
      </c>
      <c r="L321" s="35" t="s">
        <v>53</v>
      </c>
      <c r="M321" s="35">
        <v>2</v>
      </c>
      <c r="N321" s="35">
        <v>2</v>
      </c>
      <c r="O321" s="35">
        <v>1</v>
      </c>
      <c r="P321" s="35">
        <v>2</v>
      </c>
      <c r="Q321" s="35">
        <v>1</v>
      </c>
      <c r="R321" s="35" t="s">
        <v>73</v>
      </c>
      <c r="S321" s="35" t="s">
        <v>73</v>
      </c>
      <c r="T321" s="36">
        <v>44901</v>
      </c>
      <c r="U321" s="36">
        <v>2958465</v>
      </c>
      <c r="V321" s="35" t="s">
        <v>282</v>
      </c>
      <c r="W321" s="35" t="s">
        <v>145</v>
      </c>
      <c r="X321" s="35"/>
      <c r="Y321" s="35" t="s">
        <v>143</v>
      </c>
      <c r="Z321" s="35">
        <v>7589154</v>
      </c>
      <c r="AA321" s="35">
        <v>528</v>
      </c>
      <c r="AB321" s="35">
        <v>264</v>
      </c>
      <c r="AC321" s="35"/>
      <c r="AE321" s="51">
        <f>M321/O321</f>
        <v>2</v>
      </c>
      <c r="AG321" s="6" t="str">
        <f>C321</f>
        <v>90MB1BJ0-C1BAY0</v>
      </c>
      <c r="AH321" s="6" t="str">
        <f>IF($D321&lt;=AH$4,"",IF(AND($D320=AH$4,$D321&gt;AH$4),$F320,AH320))</f>
        <v>59MB1BJB-MB0A02S</v>
      </c>
      <c r="AI321" s="6" t="str">
        <f>IF($D321&lt;=AI$4,"",IF(AND($D320=AI$4,$D321&gt;AI$4),$F320,AI320))</f>
        <v/>
      </c>
      <c r="AJ321" s="6" t="str">
        <f>IF($D321&lt;=AJ$4,"",IF(AND($D320=AJ$4,$D321&gt;AJ$4),$F320,AJ320))</f>
        <v/>
      </c>
      <c r="AK321" s="6" t="str">
        <f>IF($D321&lt;=AK$4,"",IF(AND($D320=AK$4,$D321&gt;AK$4),$F320,AK320))</f>
        <v/>
      </c>
      <c r="AL321" s="6" t="str">
        <f>IF($D321&lt;=AL$4,"",IF(AND($D320=AL$4,$D321&gt;AL$4),$F320,AL320))</f>
        <v/>
      </c>
      <c r="AM321" s="6" t="str">
        <f>IF($D321&lt;=AM$4,"",IF(AND($D320=AM$4,$D321&gt;AM$4),$F320,AM320))</f>
        <v/>
      </c>
      <c r="AN321" s="6" t="str">
        <f>IF($D321&lt;=AN$4,"",IF(AND($D320=AN$4,$D321&gt;AN$4),$F320,AN320))</f>
        <v/>
      </c>
      <c r="AO321" s="6" t="str">
        <f>CONCATENATE(AG321," | ",AH321," | ",AI321," | ",AJ321," | ",AK321," | ",AL321," | ",AM321," | ",AN321)</f>
        <v xml:space="preserve">90MB1BJ0-C1BAY0 | 59MB1BJB-MB0A02S |  |  |  |  |  | </v>
      </c>
      <c r="AP321" s="6">
        <f>IF(TRIM(H321)="",100,J321)</f>
        <v>100</v>
      </c>
      <c r="AQ321" s="4"/>
      <c r="AR321" s="6" t="b">
        <f>NOT(TRIM(W321)&lt;&gt;"F")</f>
        <v>1</v>
      </c>
      <c r="AS321" s="6" t="str">
        <f>$B321&amp;" | "&amp;$AO321&amp;" | "&amp;IF(TRIM(H321)="","uniq"&amp;ROW(),TRIM(H321))</f>
        <v>461E | 90MB1BJ0-C1BAY0 | 59MB1BJB-MB0A02S |  |  |  |  |  |  | B7</v>
      </c>
      <c r="AT321" s="63">
        <f>IF(NOT(AR321),IF(TRIM($H321)="","Assembly","Phantom Alt"),VLOOKUP(F321,ZPCS04!B:G,6,0))</f>
        <v>662</v>
      </c>
      <c r="AU321" s="7"/>
      <c r="AV321" s="38">
        <f ca="1">IF(TRIM($W321)="F",OFFSET($A$5,MATCH($AS321,$AS$5:$AS321,0)-1,0),$A321)</f>
        <v>321</v>
      </c>
      <c r="AW321" s="38">
        <f ca="1">IFERROR(OFFSET(ZPCS04!$A$1,MATCH(F321,ZPCS04!B:B,0)-1,0),100)</f>
        <v>2</v>
      </c>
      <c r="AX321" s="7"/>
      <c r="AY321" s="6" t="b">
        <f>SUMIF(AS:AS,AS321,AP:AP)=100</f>
        <v>1</v>
      </c>
      <c r="AZ321" s="6" t="b">
        <f>SUMIF(AS:AS,AS321,AE:AE)/COUNTIF(AS:AS,AS321)=AE321</f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>C321&amp;" | "&amp;F321</f>
        <v>90MB1BJ0-C1BAY0 | 10G212215114010</v>
      </c>
      <c r="BE321" s="55" t="str">
        <f ca="1">C321&amp;" | "&amp;OFFSET($AF321,0,8-COUNTBLANK($AG321:$AN321))</f>
        <v>90MB1BJ0-C1BAY0 | 59MB1BJB-MB0A02S</v>
      </c>
      <c r="BF321" s="57">
        <f ca="1">IFERROR(VLOOKUP($BE321,$BD$5:$BF320,3,0)*$AE321,VLOOKUP($C321,Demanda!$A:$B,2,0)*$AE321)*IF(AT321="Phantom Alt",$BC321,TRUE)</f>
        <v>2000</v>
      </c>
      <c r="BG321" s="57">
        <f ca="1">BF321*(AP321/100)</f>
        <v>2000</v>
      </c>
      <c r="BH321" s="57">
        <f>SUMIF(Invoice!A:A,F321,Invoice!B:B)</f>
        <v>0</v>
      </c>
      <c r="BI321" s="57">
        <f ca="1">SUMIF(AS:AS,AS321,BG:BG)</f>
        <v>2000</v>
      </c>
      <c r="BJ321" s="57">
        <f ca="1">MIN((BI321-SUMIF($AS$5:AS320,AS321,$BJ$5:BJ320)),MAX(0,BH321-SUMIF($F$5:F320,F321,$BJ$5:BJ320)))</f>
        <v>0</v>
      </c>
      <c r="BK321" s="57">
        <f ca="1">(-SUMIF(AS:AS,AS321,BG:BG)+SUMIF(AS:AS,AS321,BJ:BJ))*(AP321=100)*AR321</f>
        <v>0</v>
      </c>
      <c r="BL321" s="57">
        <f ca="1">MAX(0,SUMIF(Invoice!A:A,F321,Invoice!B:B)-SUMIF(F:F,F321,BJ:BJ))*(COUNTIF(F:F,F321)=COUNTIF($F$5:F321,F321))</f>
        <v>0</v>
      </c>
    </row>
    <row r="322" spans="1:64" hidden="1">
      <c r="A322" s="43">
        <v>322</v>
      </c>
      <c r="B322" s="35" t="s">
        <v>147</v>
      </c>
      <c r="C322" s="35" t="s">
        <v>146</v>
      </c>
      <c r="D322" s="35">
        <v>2</v>
      </c>
      <c r="E322" s="35">
        <v>1170</v>
      </c>
      <c r="F322" s="64" t="s">
        <v>811</v>
      </c>
      <c r="G322" s="73" t="s">
        <v>812</v>
      </c>
      <c r="H322" s="35" t="s">
        <v>266</v>
      </c>
      <c r="I322" s="35" t="s">
        <v>55</v>
      </c>
      <c r="J322" s="35">
        <v>0</v>
      </c>
      <c r="K322" s="35" t="s">
        <v>150</v>
      </c>
      <c r="L322" s="35" t="s">
        <v>53</v>
      </c>
      <c r="M322" s="35">
        <v>2</v>
      </c>
      <c r="N322" s="35"/>
      <c r="O322" s="35">
        <v>1</v>
      </c>
      <c r="P322" s="35">
        <v>2</v>
      </c>
      <c r="Q322" s="35">
        <v>3</v>
      </c>
      <c r="R322" s="35" t="s">
        <v>73</v>
      </c>
      <c r="S322" s="35" t="s">
        <v>73</v>
      </c>
      <c r="T322" s="36">
        <v>44901</v>
      </c>
      <c r="U322" s="36">
        <v>2958465</v>
      </c>
      <c r="V322" s="35" t="s">
        <v>282</v>
      </c>
      <c r="W322" s="35" t="s">
        <v>145</v>
      </c>
      <c r="X322" s="35"/>
      <c r="Y322" s="35" t="s">
        <v>143</v>
      </c>
      <c r="Z322" s="35">
        <v>7589154</v>
      </c>
      <c r="AA322" s="35">
        <v>532</v>
      </c>
      <c r="AB322" s="35">
        <v>266</v>
      </c>
      <c r="AC322" s="35"/>
      <c r="AE322" s="51">
        <f>M322/O322</f>
        <v>2</v>
      </c>
      <c r="AG322" s="6" t="str">
        <f>C322</f>
        <v>90MB1BJ0-C1BAY0</v>
      </c>
      <c r="AH322" s="6" t="str">
        <f>IF($D322&lt;=AH$4,"",IF(AND($D321=AH$4,$D322&gt;AH$4),$F321,AH321))</f>
        <v>59MB1BJB-MB0A02S</v>
      </c>
      <c r="AI322" s="6" t="str">
        <f>IF($D322&lt;=AI$4,"",IF(AND($D321=AI$4,$D322&gt;AI$4),$F321,AI321))</f>
        <v/>
      </c>
      <c r="AJ322" s="6" t="str">
        <f>IF($D322&lt;=AJ$4,"",IF(AND($D321=AJ$4,$D322&gt;AJ$4),$F321,AJ321))</f>
        <v/>
      </c>
      <c r="AK322" s="6" t="str">
        <f>IF($D322&lt;=AK$4,"",IF(AND($D321=AK$4,$D322&gt;AK$4),$F321,AK321))</f>
        <v/>
      </c>
      <c r="AL322" s="6" t="str">
        <f>IF($D322&lt;=AL$4,"",IF(AND($D321=AL$4,$D322&gt;AL$4),$F321,AL321))</f>
        <v/>
      </c>
      <c r="AM322" s="6" t="str">
        <f>IF($D322&lt;=AM$4,"",IF(AND($D321=AM$4,$D322&gt;AM$4),$F321,AM321))</f>
        <v/>
      </c>
      <c r="AN322" s="6" t="str">
        <f>IF($D322&lt;=AN$4,"",IF(AND($D321=AN$4,$D322&gt;AN$4),$F321,AN321))</f>
        <v/>
      </c>
      <c r="AO322" s="6" t="str">
        <f>CONCATENATE(AG322," | ",AH322," | ",AI322," | ",AJ322," | ",AK322," | ",AL322," | ",AM322," | ",AN322)</f>
        <v xml:space="preserve">90MB1BJ0-C1BAY0 | 59MB1BJB-MB0A02S |  |  |  |  |  | </v>
      </c>
      <c r="AP322" s="6">
        <f>IF(TRIM(H322)="",100,J322)</f>
        <v>0</v>
      </c>
      <c r="AQ322" s="4"/>
      <c r="AR322" s="6" t="b">
        <f>NOT(TRIM(W322)&lt;&gt;"F")</f>
        <v>1</v>
      </c>
      <c r="AS322" s="6" t="str">
        <f>$B322&amp;" | "&amp;$AO322&amp;" | "&amp;IF(TRIM(H322)="","uniq"&amp;ROW(),TRIM(H322))</f>
        <v>461E | 90MB1BJ0-C1BAY0 | 59MB1BJB-MB0A02S |  |  |  |  |  |  | B7</v>
      </c>
      <c r="AT322" s="63">
        <f>IF(NOT(AR322),IF(TRIM($H322)="","Assembly","Phantom Alt"),VLOOKUP(F322,ZPCS04!B:G,6,0))</f>
        <v>662</v>
      </c>
      <c r="AU322" s="7"/>
      <c r="AV322" s="38">
        <f ca="1">IF(TRIM($W322)="F",OFFSET($A$5,MATCH($AS322,$AS$5:$AS322,0)-1,0),$A322)</f>
        <v>321</v>
      </c>
      <c r="AW322" s="38">
        <f ca="1">IFERROR(OFFSET(ZPCS04!$A$1,MATCH(F322,ZPCS04!B:B,0)-1,0),100)</f>
        <v>2</v>
      </c>
      <c r="AX322" s="7"/>
      <c r="AY322" s="6" t="b">
        <f>SUMIF(AS:AS,AS322,AP:AP)=100</f>
        <v>1</v>
      </c>
      <c r="AZ322" s="6" t="b">
        <f>SUMIF(AS:AS,AS322,AE:AE)/COUNTIF(AS:AS,AS322)=AE322</f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>C322&amp;" | "&amp;F322</f>
        <v>90MB1BJ0-C1BAY0 | 10G212215114050</v>
      </c>
      <c r="BE322" s="55" t="str">
        <f ca="1">C322&amp;" | "&amp;OFFSET($AF322,0,8-COUNTBLANK($AG322:$AN322))</f>
        <v>90MB1BJ0-C1BAY0 | 59MB1BJB-MB0A02S</v>
      </c>
      <c r="BF322" s="57">
        <f ca="1">IFERROR(VLOOKUP($BE322,$BD$5:$BF321,3,0)*$AE322,VLOOKUP($C322,Demanda!$A:$B,2,0)*$AE322)*IF(AT322="Phantom Alt",$BC322,TRUE)</f>
        <v>2000</v>
      </c>
      <c r="BG322" s="57">
        <f ca="1">BF322*(AP322/100)</f>
        <v>0</v>
      </c>
      <c r="BH322" s="57">
        <f>SUMIF(Invoice!A:A,F322,Invoice!B:B)</f>
        <v>0</v>
      </c>
      <c r="BI322" s="57">
        <f ca="1">SUMIF(AS:AS,AS322,BG:BG)</f>
        <v>2000</v>
      </c>
      <c r="BJ322" s="57">
        <f ca="1">MIN((BI322-SUMIF($AS$5:AS321,AS322,$BJ$5:BJ321)),MAX(0,BH322-SUMIF($F$5:F321,F322,$BJ$5:BJ321)))</f>
        <v>0</v>
      </c>
      <c r="BK322" s="57">
        <f ca="1">(-SUMIF(AS:AS,AS322,BG:BG)+SUMIF(AS:AS,AS322,BJ:BJ))*(AP322=100)*AR322</f>
        <v>0</v>
      </c>
      <c r="BL322" s="57">
        <f ca="1">MAX(0,SUMIF(Invoice!A:A,F322,Invoice!B:B)-SUMIF(F:F,F322,BJ:BJ))*(COUNTIF(F:F,F322)=COUNTIF($F$5:F322,F322))</f>
        <v>0</v>
      </c>
    </row>
    <row r="323" spans="1:64" hidden="1">
      <c r="A323" s="43">
        <v>324</v>
      </c>
      <c r="B323" s="35" t="s">
        <v>147</v>
      </c>
      <c r="C323" s="35" t="s">
        <v>146</v>
      </c>
      <c r="D323" s="35">
        <v>2</v>
      </c>
      <c r="E323" s="35">
        <v>1180</v>
      </c>
      <c r="F323" s="64" t="s">
        <v>815</v>
      </c>
      <c r="G323" s="73" t="s">
        <v>816</v>
      </c>
      <c r="H323" s="35" t="s">
        <v>285</v>
      </c>
      <c r="I323" s="35" t="s">
        <v>55</v>
      </c>
      <c r="J323" s="35">
        <v>0</v>
      </c>
      <c r="K323" s="35" t="s">
        <v>489</v>
      </c>
      <c r="L323" s="35" t="s">
        <v>53</v>
      </c>
      <c r="M323" s="35">
        <v>1</v>
      </c>
      <c r="N323" s="35"/>
      <c r="O323" s="35">
        <v>1</v>
      </c>
      <c r="P323" s="35">
        <v>2</v>
      </c>
      <c r="Q323" s="35">
        <v>2</v>
      </c>
      <c r="R323" s="35" t="s">
        <v>73</v>
      </c>
      <c r="S323" s="35" t="s">
        <v>73</v>
      </c>
      <c r="T323" s="36">
        <v>44901</v>
      </c>
      <c r="U323" s="36">
        <v>2958465</v>
      </c>
      <c r="V323" s="35" t="s">
        <v>282</v>
      </c>
      <c r="W323" s="35" t="s">
        <v>145</v>
      </c>
      <c r="X323" s="35"/>
      <c r="Y323" s="35" t="s">
        <v>143</v>
      </c>
      <c r="Z323" s="35">
        <v>7589154</v>
      </c>
      <c r="AA323" s="35">
        <v>536</v>
      </c>
      <c r="AB323" s="35">
        <v>268</v>
      </c>
      <c r="AC323" s="35"/>
      <c r="AE323" s="51">
        <f>M323/O323</f>
        <v>1</v>
      </c>
      <c r="AG323" s="6" t="str">
        <f>C323</f>
        <v>90MB1BJ0-C1BAY0</v>
      </c>
      <c r="AH323" s="6" t="str">
        <f>IF($D323&lt;=AH$4,"",IF(AND($D322=AH$4,$D323&gt;AH$4),$F322,AH322))</f>
        <v>59MB1BJB-MB0A02S</v>
      </c>
      <c r="AI323" s="6" t="str">
        <f>IF($D323&lt;=AI$4,"",IF(AND($D322=AI$4,$D323&gt;AI$4),$F322,AI322))</f>
        <v/>
      </c>
      <c r="AJ323" s="6" t="str">
        <f>IF($D323&lt;=AJ$4,"",IF(AND($D322=AJ$4,$D323&gt;AJ$4),$F322,AJ322))</f>
        <v/>
      </c>
      <c r="AK323" s="6" t="str">
        <f>IF($D323&lt;=AK$4,"",IF(AND($D322=AK$4,$D323&gt;AK$4),$F322,AK322))</f>
        <v/>
      </c>
      <c r="AL323" s="6" t="str">
        <f>IF($D323&lt;=AL$4,"",IF(AND($D322=AL$4,$D323&gt;AL$4),$F322,AL322))</f>
        <v/>
      </c>
      <c r="AM323" s="6" t="str">
        <f>IF($D323&lt;=AM$4,"",IF(AND($D322=AM$4,$D323&gt;AM$4),$F322,AM322))</f>
        <v/>
      </c>
      <c r="AN323" s="6" t="str">
        <f>IF($D323&lt;=AN$4,"",IF(AND($D322=AN$4,$D323&gt;AN$4),$F322,AN322))</f>
        <v/>
      </c>
      <c r="AO323" s="6" t="str">
        <f>CONCATENATE(AG323," | ",AH323," | ",AI323," | ",AJ323," | ",AK323," | ",AL323," | ",AM323," | ",AN323)</f>
        <v xml:space="preserve">90MB1BJ0-C1BAY0 | 59MB1BJB-MB0A02S |  |  |  |  |  | </v>
      </c>
      <c r="AP323" s="6">
        <f>IF(TRIM(H323)="",100,J323)</f>
        <v>0</v>
      </c>
      <c r="AQ323" s="4"/>
      <c r="AR323" s="6" t="b">
        <f>NOT(TRIM(W323)&lt;&gt;"F")</f>
        <v>1</v>
      </c>
      <c r="AS323" s="6" t="str">
        <f>$B323&amp;" | "&amp;$AO323&amp;" | "&amp;IF(TRIM(H323)="","uniq"&amp;ROW(),TRIM(H323))</f>
        <v>461E | 90MB1BJ0-C1BAY0 | 59MB1BJB-MB0A02S |  |  |  |  |  |  | B8</v>
      </c>
      <c r="AT323" s="63">
        <f>IF(NOT(AR323),IF(TRIM($H323)="","Assembly","Phantom Alt"),VLOOKUP(F323,ZPCS04!B:G,6,0))</f>
        <v>958</v>
      </c>
      <c r="AU323" s="7"/>
      <c r="AV323" s="38">
        <f ca="1">IF(TRIM($W323)="F",OFFSET($A$5,MATCH($AS323,$AS$5:$AS323,0)-1,0),$A323)</f>
        <v>324</v>
      </c>
      <c r="AW323" s="38">
        <f ca="1">IFERROR(OFFSET(ZPCS04!$A$1,MATCH(F323,ZPCS04!B:B,0)-1,0),100)</f>
        <v>1.9999999000000002</v>
      </c>
      <c r="AX323" s="7"/>
      <c r="AY323" s="6" t="b">
        <f>SUMIF(AS:AS,AS323,AP:AP)=100</f>
        <v>1</v>
      </c>
      <c r="AZ323" s="6" t="b">
        <f>SUMIF(AS:AS,AS323,AE:AE)/COUNTIF(AS:AS,AS323)=AE323</f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>C323&amp;" | "&amp;F323</f>
        <v>90MB1BJ0-C1BAY0 | 10G212215214020</v>
      </c>
      <c r="BE323" s="55" t="str">
        <f ca="1">C323&amp;" | "&amp;OFFSET($AF323,0,8-COUNTBLANK($AG323:$AN323))</f>
        <v>90MB1BJ0-C1BAY0 | 59MB1BJB-MB0A02S</v>
      </c>
      <c r="BF323" s="57">
        <f ca="1">IFERROR(VLOOKUP($BE323,$BD$5:$BF322,3,0)*$AE323,VLOOKUP($C323,Demanda!$A:$B,2,0)*$AE323)*IF(AT323="Phantom Alt",$BC323,TRUE)</f>
        <v>1000</v>
      </c>
      <c r="BG323" s="57">
        <f ca="1">BF323*(AP323/100)</f>
        <v>0</v>
      </c>
      <c r="BH323" s="57">
        <f>SUMIF(Invoice!A:A,F323,Invoice!B:B)</f>
        <v>10000</v>
      </c>
      <c r="BI323" s="57">
        <f ca="1">SUMIF(AS:AS,AS323,BG:BG)</f>
        <v>1000</v>
      </c>
      <c r="BJ323" s="57">
        <f ca="1">MIN((BI323-SUMIF($AS$5:AS322,AS323,$BJ$5:BJ322)),MAX(0,BH323-SUMIF($F$5:F322,F323,$BJ$5:BJ322)))</f>
        <v>1000</v>
      </c>
      <c r="BK323" s="57">
        <f ca="1">(-SUMIF(AS:AS,AS323,BG:BG)+SUMIF(AS:AS,AS323,BJ:BJ))*(AP323=100)*AR323</f>
        <v>0</v>
      </c>
      <c r="BL323" s="57">
        <f ca="1">MAX(0,SUMIF(Invoice!A:A,F323,Invoice!B:B)-SUMIF(F:F,F323,BJ:BJ))*(COUNTIF(F:F,F323)=COUNTIF($F$5:F323,F323))</f>
        <v>9000</v>
      </c>
    </row>
    <row r="324" spans="1:64" hidden="1">
      <c r="A324" s="43">
        <v>323</v>
      </c>
      <c r="B324" s="35" t="s">
        <v>147</v>
      </c>
      <c r="C324" s="35" t="s">
        <v>146</v>
      </c>
      <c r="D324" s="35">
        <v>2</v>
      </c>
      <c r="E324" s="35">
        <v>1180</v>
      </c>
      <c r="F324" s="64" t="s">
        <v>813</v>
      </c>
      <c r="G324" s="73" t="s">
        <v>814</v>
      </c>
      <c r="H324" s="35" t="s">
        <v>285</v>
      </c>
      <c r="I324" s="35" t="s">
        <v>54</v>
      </c>
      <c r="J324" s="35">
        <v>100</v>
      </c>
      <c r="K324" s="35" t="s">
        <v>489</v>
      </c>
      <c r="L324" s="35" t="s">
        <v>53</v>
      </c>
      <c r="M324" s="35">
        <v>1</v>
      </c>
      <c r="N324" s="35">
        <v>1</v>
      </c>
      <c r="O324" s="35">
        <v>1</v>
      </c>
      <c r="P324" s="35">
        <v>2</v>
      </c>
      <c r="Q324" s="35">
        <v>1</v>
      </c>
      <c r="R324" s="35" t="s">
        <v>73</v>
      </c>
      <c r="S324" s="35" t="s">
        <v>73</v>
      </c>
      <c r="T324" s="36">
        <v>44901</v>
      </c>
      <c r="U324" s="36">
        <v>2958465</v>
      </c>
      <c r="V324" s="35" t="s">
        <v>282</v>
      </c>
      <c r="W324" s="35" t="s">
        <v>145</v>
      </c>
      <c r="X324" s="35"/>
      <c r="Y324" s="35" t="s">
        <v>143</v>
      </c>
      <c r="Z324" s="35">
        <v>7589154</v>
      </c>
      <c r="AA324" s="35">
        <v>534</v>
      </c>
      <c r="AB324" s="35">
        <v>267</v>
      </c>
      <c r="AC324" s="35"/>
      <c r="AE324" s="51">
        <f>M324/O324</f>
        <v>1</v>
      </c>
      <c r="AG324" s="6" t="str">
        <f>C324</f>
        <v>90MB1BJ0-C1BAY0</v>
      </c>
      <c r="AH324" s="6" t="str">
        <f>IF($D324&lt;=AH$4,"",IF(AND($D323=AH$4,$D324&gt;AH$4),$F323,AH323))</f>
        <v>59MB1BJB-MB0A02S</v>
      </c>
      <c r="AI324" s="6" t="str">
        <f>IF($D324&lt;=AI$4,"",IF(AND($D323=AI$4,$D324&gt;AI$4),$F323,AI323))</f>
        <v/>
      </c>
      <c r="AJ324" s="6" t="str">
        <f>IF($D324&lt;=AJ$4,"",IF(AND($D323=AJ$4,$D324&gt;AJ$4),$F323,AJ323))</f>
        <v/>
      </c>
      <c r="AK324" s="6" t="str">
        <f>IF($D324&lt;=AK$4,"",IF(AND($D323=AK$4,$D324&gt;AK$4),$F323,AK323))</f>
        <v/>
      </c>
      <c r="AL324" s="6" t="str">
        <f>IF($D324&lt;=AL$4,"",IF(AND($D323=AL$4,$D324&gt;AL$4),$F323,AL323))</f>
        <v/>
      </c>
      <c r="AM324" s="6" t="str">
        <f>IF($D324&lt;=AM$4,"",IF(AND($D323=AM$4,$D324&gt;AM$4),$F323,AM323))</f>
        <v/>
      </c>
      <c r="AN324" s="6" t="str">
        <f>IF($D324&lt;=AN$4,"",IF(AND($D323=AN$4,$D324&gt;AN$4),$F323,AN323))</f>
        <v/>
      </c>
      <c r="AO324" s="6" t="str">
        <f>CONCATENATE(AG324," | ",AH324," | ",AI324," | ",AJ324," | ",AK324," | ",AL324," | ",AM324," | ",AN324)</f>
        <v xml:space="preserve">90MB1BJ0-C1BAY0 | 59MB1BJB-MB0A02S |  |  |  |  |  | </v>
      </c>
      <c r="AP324" s="6">
        <f>IF(TRIM(H324)="",100,J324)</f>
        <v>100</v>
      </c>
      <c r="AQ324" s="4"/>
      <c r="AR324" s="6" t="b">
        <f>NOT(TRIM(W324)&lt;&gt;"F")</f>
        <v>1</v>
      </c>
      <c r="AS324" s="6" t="str">
        <f>$B324&amp;" | "&amp;$AO324&amp;" | "&amp;IF(TRIM(H324)="","uniq"&amp;ROW(),TRIM(H324))</f>
        <v>461E | 90MB1BJ0-C1BAY0 | 59MB1BJB-MB0A02S |  |  |  |  |  |  | B8</v>
      </c>
      <c r="AT324" s="63">
        <f>IF(NOT(AR324),IF(TRIM($H324)="","Assembly","Phantom Alt"),VLOOKUP(F324,ZPCS04!B:G,6,0))</f>
        <v>958</v>
      </c>
      <c r="AU324" s="7"/>
      <c r="AV324" s="38">
        <f ca="1">IF(TRIM($W324)="F",OFFSET($A$5,MATCH($AS324,$AS$5:$AS324,0)-1,0),$A324)</f>
        <v>324</v>
      </c>
      <c r="AW324" s="38">
        <f ca="1">IFERROR(OFFSET(ZPCS04!$A$1,MATCH(F324,ZPCS04!B:B,0)-1,0),100)</f>
        <v>2</v>
      </c>
      <c r="AX324" s="7"/>
      <c r="AY324" s="6" t="b">
        <f>SUMIF(AS:AS,AS324,AP:AP)=100</f>
        <v>1</v>
      </c>
      <c r="AZ324" s="6" t="b">
        <f>SUMIF(AS:AS,AS324,AE:AE)/COUNTIF(AS:AS,AS324)=AE324</f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>C324&amp;" | "&amp;F324</f>
        <v>90MB1BJ0-C1BAY0 | 10G212215214010</v>
      </c>
      <c r="BE324" s="55" t="str">
        <f ca="1">C324&amp;" | "&amp;OFFSET($AF324,0,8-COUNTBLANK($AG324:$AN324))</f>
        <v>90MB1BJ0-C1BAY0 | 59MB1BJB-MB0A02S</v>
      </c>
      <c r="BF324" s="57">
        <f ca="1">IFERROR(VLOOKUP($BE324,$BD$5:$BF323,3,0)*$AE324,VLOOKUP($C324,Demanda!$A:$B,2,0)*$AE324)*IF(AT324="Phantom Alt",$BC324,TRUE)</f>
        <v>1000</v>
      </c>
      <c r="BG324" s="57">
        <f ca="1">BF324*(AP324/100)</f>
        <v>1000</v>
      </c>
      <c r="BH324" s="57">
        <f>SUMIF(Invoice!A:A,F324,Invoice!B:B)</f>
        <v>0</v>
      </c>
      <c r="BI324" s="57">
        <f ca="1">SUMIF(AS:AS,AS324,BG:BG)</f>
        <v>1000</v>
      </c>
      <c r="BJ324" s="57">
        <f ca="1">MIN((BI324-SUMIF($AS$5:AS323,AS324,$BJ$5:BJ323)),MAX(0,BH324-SUMIF($F$5:F323,F324,$BJ$5:BJ323)))</f>
        <v>0</v>
      </c>
      <c r="BK324" s="57">
        <f ca="1">(-SUMIF(AS:AS,AS324,BG:BG)+SUMIF(AS:AS,AS324,BJ:BJ))*(AP324=100)*AR324</f>
        <v>0</v>
      </c>
      <c r="BL324" s="57">
        <f ca="1">MAX(0,SUMIF(Invoice!A:A,F324,Invoice!B:B)-SUMIF(F:F,F324,BJ:BJ))*(COUNTIF(F:F,F324)=COUNTIF($F$5:F324,F324))</f>
        <v>0</v>
      </c>
    </row>
    <row r="325" spans="1:64" hidden="1">
      <c r="A325" s="43">
        <v>325</v>
      </c>
      <c r="B325" s="35" t="s">
        <v>147</v>
      </c>
      <c r="C325" s="35" t="s">
        <v>146</v>
      </c>
      <c r="D325" s="35">
        <v>2</v>
      </c>
      <c r="E325" s="35">
        <v>1180</v>
      </c>
      <c r="F325" s="64" t="s">
        <v>817</v>
      </c>
      <c r="G325" s="73" t="s">
        <v>818</v>
      </c>
      <c r="H325" s="35" t="s">
        <v>285</v>
      </c>
      <c r="I325" s="35" t="s">
        <v>55</v>
      </c>
      <c r="J325" s="35">
        <v>0</v>
      </c>
      <c r="K325" s="35" t="s">
        <v>150</v>
      </c>
      <c r="L325" s="35" t="s">
        <v>53</v>
      </c>
      <c r="M325" s="35">
        <v>1</v>
      </c>
      <c r="N325" s="35"/>
      <c r="O325" s="35">
        <v>1</v>
      </c>
      <c r="P325" s="35">
        <v>2</v>
      </c>
      <c r="Q325" s="35">
        <v>3</v>
      </c>
      <c r="R325" s="35" t="s">
        <v>73</v>
      </c>
      <c r="S325" s="35" t="s">
        <v>73</v>
      </c>
      <c r="T325" s="36">
        <v>44901</v>
      </c>
      <c r="U325" s="36">
        <v>2958465</v>
      </c>
      <c r="V325" s="35" t="s">
        <v>282</v>
      </c>
      <c r="W325" s="35" t="s">
        <v>145</v>
      </c>
      <c r="X325" s="35"/>
      <c r="Y325" s="35" t="s">
        <v>143</v>
      </c>
      <c r="Z325" s="35">
        <v>7589154</v>
      </c>
      <c r="AA325" s="35">
        <v>538</v>
      </c>
      <c r="AB325" s="35">
        <v>269</v>
      </c>
      <c r="AC325" s="35"/>
      <c r="AE325" s="51">
        <f>M325/O325</f>
        <v>1</v>
      </c>
      <c r="AG325" s="6" t="str">
        <f>C325</f>
        <v>90MB1BJ0-C1BAY0</v>
      </c>
      <c r="AH325" s="6" t="str">
        <f>IF($D325&lt;=AH$4,"",IF(AND($D324=AH$4,$D325&gt;AH$4),$F324,AH324))</f>
        <v>59MB1BJB-MB0A02S</v>
      </c>
      <c r="AI325" s="6" t="str">
        <f>IF($D325&lt;=AI$4,"",IF(AND($D324=AI$4,$D325&gt;AI$4),$F324,AI324))</f>
        <v/>
      </c>
      <c r="AJ325" s="6" t="str">
        <f>IF($D325&lt;=AJ$4,"",IF(AND($D324=AJ$4,$D325&gt;AJ$4),$F324,AJ324))</f>
        <v/>
      </c>
      <c r="AK325" s="6" t="str">
        <f>IF($D325&lt;=AK$4,"",IF(AND($D324=AK$4,$D325&gt;AK$4),$F324,AK324))</f>
        <v/>
      </c>
      <c r="AL325" s="6" t="str">
        <f>IF($D325&lt;=AL$4,"",IF(AND($D324=AL$4,$D325&gt;AL$4),$F324,AL324))</f>
        <v/>
      </c>
      <c r="AM325" s="6" t="str">
        <f>IF($D325&lt;=AM$4,"",IF(AND($D324=AM$4,$D325&gt;AM$4),$F324,AM324))</f>
        <v/>
      </c>
      <c r="AN325" s="6" t="str">
        <f>IF($D325&lt;=AN$4,"",IF(AND($D324=AN$4,$D325&gt;AN$4),$F324,AN324))</f>
        <v/>
      </c>
      <c r="AO325" s="6" t="str">
        <f>CONCATENATE(AG325," | ",AH325," | ",AI325," | ",AJ325," | ",AK325," | ",AL325," | ",AM325," | ",AN325)</f>
        <v xml:space="preserve">90MB1BJ0-C1BAY0 | 59MB1BJB-MB0A02S |  |  |  |  |  | </v>
      </c>
      <c r="AP325" s="6">
        <f>IF(TRIM(H325)="",100,J325)</f>
        <v>0</v>
      </c>
      <c r="AQ325" s="4"/>
      <c r="AR325" s="6" t="b">
        <f>NOT(TRIM(W325)&lt;&gt;"F")</f>
        <v>1</v>
      </c>
      <c r="AS325" s="6" t="str">
        <f>$B325&amp;" | "&amp;$AO325&amp;" | "&amp;IF(TRIM(H325)="","uniq"&amp;ROW(),TRIM(H325))</f>
        <v>461E | 90MB1BJ0-C1BAY0 | 59MB1BJB-MB0A02S |  |  |  |  |  |  | B8</v>
      </c>
      <c r="AT325" s="63">
        <f>IF(NOT(AR325),IF(TRIM($H325)="","Assembly","Phantom Alt"),VLOOKUP(F325,ZPCS04!B:G,6,0))</f>
        <v>958</v>
      </c>
      <c r="AU325" s="7"/>
      <c r="AV325" s="38">
        <f ca="1">IF(TRIM($W325)="F",OFFSET($A$5,MATCH($AS325,$AS$5:$AS325,0)-1,0),$A325)</f>
        <v>324</v>
      </c>
      <c r="AW325" s="38">
        <f ca="1">IFERROR(OFFSET(ZPCS04!$A$1,MATCH(F325,ZPCS04!B:B,0)-1,0),100)</f>
        <v>2</v>
      </c>
      <c r="AX325" s="7"/>
      <c r="AY325" s="6" t="b">
        <f>SUMIF(AS:AS,AS325,AP:AP)=100</f>
        <v>1</v>
      </c>
      <c r="AZ325" s="6" t="b">
        <f>SUMIF(AS:AS,AS325,AE:AE)/COUNTIF(AS:AS,AS325)=AE325</f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>C325&amp;" | "&amp;F325</f>
        <v>90MB1BJ0-C1BAY0 | 10G212215214050</v>
      </c>
      <c r="BE325" s="55" t="str">
        <f ca="1">C325&amp;" | "&amp;OFFSET($AF325,0,8-COUNTBLANK($AG325:$AN325))</f>
        <v>90MB1BJ0-C1BAY0 | 59MB1BJB-MB0A02S</v>
      </c>
      <c r="BF325" s="57">
        <f ca="1">IFERROR(VLOOKUP($BE325,$BD$5:$BF324,3,0)*$AE325,VLOOKUP($C325,Demanda!$A:$B,2,0)*$AE325)*IF(AT325="Phantom Alt",$BC325,TRUE)</f>
        <v>1000</v>
      </c>
      <c r="BG325" s="57">
        <f ca="1">BF325*(AP325/100)</f>
        <v>0</v>
      </c>
      <c r="BH325" s="57">
        <f>SUMIF(Invoice!A:A,F325,Invoice!B:B)</f>
        <v>0</v>
      </c>
      <c r="BI325" s="57">
        <f ca="1">SUMIF(AS:AS,AS325,BG:BG)</f>
        <v>1000</v>
      </c>
      <c r="BJ325" s="57">
        <f ca="1">MIN((BI325-SUMIF($AS$5:AS324,AS325,$BJ$5:BJ324)),MAX(0,BH325-SUMIF($F$5:F324,F325,$BJ$5:BJ324)))</f>
        <v>0</v>
      </c>
      <c r="BK325" s="57">
        <f ca="1">(-SUMIF(AS:AS,AS325,BG:BG)+SUMIF(AS:AS,AS325,BJ:BJ))*(AP325=100)*AR325</f>
        <v>0</v>
      </c>
      <c r="BL325" s="57">
        <f ca="1">MAX(0,SUMIF(Invoice!A:A,F325,Invoice!B:B)-SUMIF(F:F,F325,BJ:BJ))*(COUNTIF(F:F,F325)=COUNTIF($F$5:F325,F325))</f>
        <v>0</v>
      </c>
    </row>
    <row r="326" spans="1:64" hidden="1">
      <c r="A326" s="43">
        <v>327</v>
      </c>
      <c r="B326" s="35" t="s">
        <v>147</v>
      </c>
      <c r="C326" s="35" t="s">
        <v>146</v>
      </c>
      <c r="D326" s="35">
        <v>2</v>
      </c>
      <c r="E326" s="35">
        <v>1190</v>
      </c>
      <c r="F326" s="64" t="s">
        <v>822</v>
      </c>
      <c r="G326" s="73" t="s">
        <v>823</v>
      </c>
      <c r="H326" s="35" t="s">
        <v>821</v>
      </c>
      <c r="I326" s="35" t="s">
        <v>55</v>
      </c>
      <c r="J326" s="35">
        <v>0</v>
      </c>
      <c r="K326" s="35" t="s">
        <v>489</v>
      </c>
      <c r="L326" s="35" t="s">
        <v>53</v>
      </c>
      <c r="M326" s="35">
        <v>13</v>
      </c>
      <c r="N326" s="35"/>
      <c r="O326" s="35">
        <v>1</v>
      </c>
      <c r="P326" s="35">
        <v>2</v>
      </c>
      <c r="Q326" s="35">
        <v>3</v>
      </c>
      <c r="R326" s="35" t="s">
        <v>122</v>
      </c>
      <c r="S326" s="35" t="s">
        <v>122</v>
      </c>
      <c r="T326" s="36">
        <v>44901</v>
      </c>
      <c r="U326" s="36">
        <v>2958465</v>
      </c>
      <c r="V326" s="35" t="s">
        <v>282</v>
      </c>
      <c r="W326" s="35" t="s">
        <v>145</v>
      </c>
      <c r="X326" s="35"/>
      <c r="Y326" s="35" t="s">
        <v>143</v>
      </c>
      <c r="Z326" s="35">
        <v>7589154</v>
      </c>
      <c r="AA326" s="35">
        <v>544</v>
      </c>
      <c r="AB326" s="35">
        <v>272</v>
      </c>
      <c r="AC326" s="35"/>
      <c r="AE326" s="51">
        <f>M326/O326</f>
        <v>13</v>
      </c>
      <c r="AG326" s="6" t="str">
        <f>C326</f>
        <v>90MB1BJ0-C1BAY0</v>
      </c>
      <c r="AH326" s="6" t="str">
        <f>IF($D326&lt;=AH$4,"",IF(AND($D325=AH$4,$D326&gt;AH$4),$F325,AH325))</f>
        <v>59MB1BJB-MB0A02S</v>
      </c>
      <c r="AI326" s="6" t="str">
        <f>IF($D326&lt;=AI$4,"",IF(AND($D325=AI$4,$D326&gt;AI$4),$F325,AI325))</f>
        <v/>
      </c>
      <c r="AJ326" s="6" t="str">
        <f>IF($D326&lt;=AJ$4,"",IF(AND($D325=AJ$4,$D326&gt;AJ$4),$F325,AJ325))</f>
        <v/>
      </c>
      <c r="AK326" s="6" t="str">
        <f>IF($D326&lt;=AK$4,"",IF(AND($D325=AK$4,$D326&gt;AK$4),$F325,AK325))</f>
        <v/>
      </c>
      <c r="AL326" s="6" t="str">
        <f>IF($D326&lt;=AL$4,"",IF(AND($D325=AL$4,$D326&gt;AL$4),$F325,AL325))</f>
        <v/>
      </c>
      <c r="AM326" s="6" t="str">
        <f>IF($D326&lt;=AM$4,"",IF(AND($D325=AM$4,$D326&gt;AM$4),$F325,AM325))</f>
        <v/>
      </c>
      <c r="AN326" s="6" t="str">
        <f>IF($D326&lt;=AN$4,"",IF(AND($D325=AN$4,$D326&gt;AN$4),$F325,AN325))</f>
        <v/>
      </c>
      <c r="AO326" s="6" t="str">
        <f>CONCATENATE(AG326," | ",AH326," | ",AI326," | ",AJ326," | ",AK326," | ",AL326," | ",AM326," | ",AN326)</f>
        <v xml:space="preserve">90MB1BJ0-C1BAY0 | 59MB1BJB-MB0A02S |  |  |  |  |  | </v>
      </c>
      <c r="AP326" s="6">
        <f>IF(TRIM(H326)="",100,J326)</f>
        <v>0</v>
      </c>
      <c r="AQ326" s="4"/>
      <c r="AR326" s="6" t="b">
        <f>NOT(TRIM(W326)&lt;&gt;"F")</f>
        <v>1</v>
      </c>
      <c r="AS326" s="6" t="str">
        <f>$B326&amp;" | "&amp;$AO326&amp;" | "&amp;IF(TRIM(H326)="","uniq"&amp;ROW(),TRIM(H326))</f>
        <v>461E | 90MB1BJ0-C1BAY0 | 59MB1BJB-MB0A02S |  |  |  |  |  |  | B9</v>
      </c>
      <c r="AT326" s="63">
        <f>IF(NOT(AR326),IF(TRIM($H326)="","Assembly","Phantom Alt"),VLOOKUP(F326,ZPCS04!B:G,6,0))</f>
        <v>840</v>
      </c>
      <c r="AU326" s="7"/>
      <c r="AV326" s="38">
        <f ca="1">IF(TRIM($W326)="F",OFFSET($A$5,MATCH($AS326,$AS$5:$AS326,0)-1,0),$A326)</f>
        <v>327</v>
      </c>
      <c r="AW326" s="38">
        <f ca="1">IFERROR(OFFSET(ZPCS04!$A$1,MATCH(F326,ZPCS04!B:B,0)-1,0),100)</f>
        <v>1.9999997999999999</v>
      </c>
      <c r="AX326" s="7"/>
      <c r="AY326" s="6" t="b">
        <f>SUMIF(AS:AS,AS326,AP:AP)=100</f>
        <v>1</v>
      </c>
      <c r="AZ326" s="6" t="b">
        <f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>C326&amp;" | "&amp;F326</f>
        <v>90MB1BJ0-C1BAY0 | 10G212220114020</v>
      </c>
      <c r="BE326" s="55" t="str">
        <f ca="1">C326&amp;" | "&amp;OFFSET($AF326,0,8-COUNTBLANK($AG326:$AN326))</f>
        <v>90MB1BJ0-C1BAY0 | 59MB1BJB-MB0A02S</v>
      </c>
      <c r="BF326" s="57">
        <f ca="1">IFERROR(VLOOKUP($BE326,$BD$5:$BF325,3,0)*$AE326,VLOOKUP($C326,Demanda!$A:$B,2,0)*$AE326)*IF(AT326="Phantom Alt",$BC326,TRUE)</f>
        <v>13000</v>
      </c>
      <c r="BG326" s="57">
        <f ca="1">BF326*(AP326/100)</f>
        <v>0</v>
      </c>
      <c r="BH326" s="57">
        <f>SUMIF(Invoice!A:A,F326,Invoice!B:B)</f>
        <v>20000</v>
      </c>
      <c r="BI326" s="57">
        <f ca="1">SUMIF(AS:AS,AS326,BG:BG)</f>
        <v>13000</v>
      </c>
      <c r="BJ326" s="57">
        <f ca="1">MIN((BI326-SUMIF($AS$5:AS325,AS326,$BJ$5:BJ325)),MAX(0,BH326-SUMIF($F$5:F325,F326,$BJ$5:BJ325)))</f>
        <v>13000</v>
      </c>
      <c r="BK326" s="57">
        <f ca="1">(-SUMIF(AS:AS,AS326,BG:BG)+SUMIF(AS:AS,AS326,BJ:BJ))*(AP326=100)*AR326</f>
        <v>0</v>
      </c>
      <c r="BL326" s="57">
        <f ca="1">MAX(0,SUMIF(Invoice!A:A,F326,Invoice!B:B)-SUMIF(F:F,F326,BJ:BJ))*(COUNTIF(F:F,F326)=COUNTIF($F$5:F326,F326))</f>
        <v>7000</v>
      </c>
    </row>
    <row r="327" spans="1:64" hidden="1">
      <c r="A327" s="43">
        <v>326</v>
      </c>
      <c r="B327" s="35" t="s">
        <v>147</v>
      </c>
      <c r="C327" s="35" t="s">
        <v>146</v>
      </c>
      <c r="D327" s="35">
        <v>2</v>
      </c>
      <c r="E327" s="35">
        <v>1190</v>
      </c>
      <c r="F327" s="64" t="s">
        <v>819</v>
      </c>
      <c r="G327" s="73" t="s">
        <v>820</v>
      </c>
      <c r="H327" s="35" t="s">
        <v>821</v>
      </c>
      <c r="I327" s="35" t="s">
        <v>54</v>
      </c>
      <c r="J327" s="35">
        <v>100</v>
      </c>
      <c r="K327" s="35" t="s">
        <v>489</v>
      </c>
      <c r="L327" s="35" t="s">
        <v>53</v>
      </c>
      <c r="M327" s="35">
        <v>13</v>
      </c>
      <c r="N327" s="35">
        <v>13</v>
      </c>
      <c r="O327" s="35">
        <v>1</v>
      </c>
      <c r="P327" s="35">
        <v>2</v>
      </c>
      <c r="Q327" s="35">
        <v>1</v>
      </c>
      <c r="R327" s="35" t="s">
        <v>122</v>
      </c>
      <c r="S327" s="35" t="s">
        <v>122</v>
      </c>
      <c r="T327" s="36">
        <v>44901</v>
      </c>
      <c r="U327" s="36">
        <v>2958465</v>
      </c>
      <c r="V327" s="35" t="s">
        <v>282</v>
      </c>
      <c r="W327" s="35" t="s">
        <v>145</v>
      </c>
      <c r="X327" s="35"/>
      <c r="Y327" s="35" t="s">
        <v>143</v>
      </c>
      <c r="Z327" s="35">
        <v>7589154</v>
      </c>
      <c r="AA327" s="35">
        <v>540</v>
      </c>
      <c r="AB327" s="35">
        <v>270</v>
      </c>
      <c r="AC327" s="35"/>
      <c r="AE327" s="51">
        <f>M327/O327</f>
        <v>13</v>
      </c>
      <c r="AG327" s="6" t="str">
        <f>C327</f>
        <v>90MB1BJ0-C1BAY0</v>
      </c>
      <c r="AH327" s="6" t="str">
        <f>IF($D327&lt;=AH$4,"",IF(AND($D326=AH$4,$D327&gt;AH$4),$F326,AH326))</f>
        <v>59MB1BJB-MB0A02S</v>
      </c>
      <c r="AI327" s="6" t="str">
        <f>IF($D327&lt;=AI$4,"",IF(AND($D326=AI$4,$D327&gt;AI$4),$F326,AI326))</f>
        <v/>
      </c>
      <c r="AJ327" s="6" t="str">
        <f>IF($D327&lt;=AJ$4,"",IF(AND($D326=AJ$4,$D327&gt;AJ$4),$F326,AJ326))</f>
        <v/>
      </c>
      <c r="AK327" s="6" t="str">
        <f>IF($D327&lt;=AK$4,"",IF(AND($D326=AK$4,$D327&gt;AK$4),$F326,AK326))</f>
        <v/>
      </c>
      <c r="AL327" s="6" t="str">
        <f>IF($D327&lt;=AL$4,"",IF(AND($D326=AL$4,$D327&gt;AL$4),$F326,AL326))</f>
        <v/>
      </c>
      <c r="AM327" s="6" t="str">
        <f>IF($D327&lt;=AM$4,"",IF(AND($D326=AM$4,$D327&gt;AM$4),$F326,AM326))</f>
        <v/>
      </c>
      <c r="AN327" s="6" t="str">
        <f>IF($D327&lt;=AN$4,"",IF(AND($D326=AN$4,$D327&gt;AN$4),$F326,AN326))</f>
        <v/>
      </c>
      <c r="AO327" s="6" t="str">
        <f>CONCATENATE(AG327," | ",AH327," | ",AI327," | ",AJ327," | ",AK327," | ",AL327," | ",AM327," | ",AN327)</f>
        <v xml:space="preserve">90MB1BJ0-C1BAY0 | 59MB1BJB-MB0A02S |  |  |  |  |  | </v>
      </c>
      <c r="AP327" s="6">
        <f>IF(TRIM(H327)="",100,J327)</f>
        <v>100</v>
      </c>
      <c r="AQ327" s="4"/>
      <c r="AR327" s="6" t="b">
        <f>NOT(TRIM(W327)&lt;&gt;"F")</f>
        <v>1</v>
      </c>
      <c r="AS327" s="6" t="str">
        <f>$B327&amp;" | "&amp;$AO327&amp;" | "&amp;IF(TRIM(H327)="","uniq"&amp;ROW(),TRIM(H327))</f>
        <v>461E | 90MB1BJ0-C1BAY0 | 59MB1BJB-MB0A02S |  |  |  |  |  |  | B9</v>
      </c>
      <c r="AT327" s="63">
        <f>IF(NOT(AR327),IF(TRIM($H327)="","Assembly","Phantom Alt"),VLOOKUP(F327,ZPCS04!B:G,6,0))</f>
        <v>840</v>
      </c>
      <c r="AU327" s="7"/>
      <c r="AV327" s="38">
        <f ca="1">IF(TRIM($W327)="F",OFFSET($A$5,MATCH($AS327,$AS$5:$AS327,0)-1,0),$A327)</f>
        <v>327</v>
      </c>
      <c r="AW327" s="38">
        <f ca="1">IFERROR(OFFSET(ZPCS04!$A$1,MATCH(F327,ZPCS04!B:B,0)-1,0),100)</f>
        <v>2</v>
      </c>
      <c r="AX327" s="7"/>
      <c r="AY327" s="6" t="b">
        <f>SUMIF(AS:AS,AS327,AP:AP)=100</f>
        <v>1</v>
      </c>
      <c r="AZ327" s="6" t="b">
        <f>SUMIF(AS:AS,AS327,AE:AE)/COUNTIF(AS:AS,AS327)=AE327</f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>C327&amp;" | "&amp;F327</f>
        <v>90MB1BJ0-C1BAY0 | 10G212220114010</v>
      </c>
      <c r="BE327" s="55" t="str">
        <f ca="1">C327&amp;" | "&amp;OFFSET($AF327,0,8-COUNTBLANK($AG327:$AN327))</f>
        <v>90MB1BJ0-C1BAY0 | 59MB1BJB-MB0A02S</v>
      </c>
      <c r="BF327" s="57">
        <f ca="1">IFERROR(VLOOKUP($BE327,$BD$5:$BF326,3,0)*$AE327,VLOOKUP($C327,Demanda!$A:$B,2,0)*$AE327)*IF(AT327="Phantom Alt",$BC327,TRUE)</f>
        <v>13000</v>
      </c>
      <c r="BG327" s="57">
        <f ca="1">BF327*(AP327/100)</f>
        <v>13000</v>
      </c>
      <c r="BH327" s="57">
        <f>SUMIF(Invoice!A:A,F327,Invoice!B:B)</f>
        <v>0</v>
      </c>
      <c r="BI327" s="57">
        <f ca="1">SUMIF(AS:AS,AS327,BG:BG)</f>
        <v>13000</v>
      </c>
      <c r="BJ327" s="57">
        <f ca="1">MIN((BI327-SUMIF($AS$5:AS326,AS327,$BJ$5:BJ326)),MAX(0,BH327-SUMIF($F$5:F326,F327,$BJ$5:BJ326)))</f>
        <v>0</v>
      </c>
      <c r="BK327" s="57">
        <f ca="1">(-SUMIF(AS:AS,AS327,BG:BG)+SUMIF(AS:AS,AS327,BJ:BJ))*(AP327=100)*AR327</f>
        <v>0</v>
      </c>
      <c r="BL327" s="57">
        <f ca="1">MAX(0,SUMIF(Invoice!A:A,F327,Invoice!B:B)-SUMIF(F:F,F327,BJ:BJ))*(COUNTIF(F:F,F327)=COUNTIF($F$5:F327,F327))</f>
        <v>0</v>
      </c>
    </row>
    <row r="328" spans="1:64" hidden="1">
      <c r="A328" s="43">
        <v>328</v>
      </c>
      <c r="B328" s="35" t="s">
        <v>147</v>
      </c>
      <c r="C328" s="35" t="s">
        <v>146</v>
      </c>
      <c r="D328" s="35">
        <v>2</v>
      </c>
      <c r="E328" s="35">
        <v>1190</v>
      </c>
      <c r="F328" s="64" t="s">
        <v>824</v>
      </c>
      <c r="G328" s="73" t="s">
        <v>825</v>
      </c>
      <c r="H328" s="35" t="s">
        <v>821</v>
      </c>
      <c r="I328" s="35" t="s">
        <v>55</v>
      </c>
      <c r="J328" s="35">
        <v>0</v>
      </c>
      <c r="K328" s="35" t="s">
        <v>150</v>
      </c>
      <c r="L328" s="35" t="s">
        <v>53</v>
      </c>
      <c r="M328" s="35">
        <v>13</v>
      </c>
      <c r="N328" s="35"/>
      <c r="O328" s="35">
        <v>1</v>
      </c>
      <c r="P328" s="35">
        <v>2</v>
      </c>
      <c r="Q328" s="35">
        <v>2</v>
      </c>
      <c r="R328" s="35" t="s">
        <v>73</v>
      </c>
      <c r="S328" s="35" t="s">
        <v>73</v>
      </c>
      <c r="T328" s="36">
        <v>44901</v>
      </c>
      <c r="U328" s="36">
        <v>2958465</v>
      </c>
      <c r="V328" s="35" t="s">
        <v>282</v>
      </c>
      <c r="W328" s="35" t="s">
        <v>145</v>
      </c>
      <c r="X328" s="35"/>
      <c r="Y328" s="35" t="s">
        <v>143</v>
      </c>
      <c r="Z328" s="35">
        <v>7589154</v>
      </c>
      <c r="AA328" s="35">
        <v>542</v>
      </c>
      <c r="AB328" s="35">
        <v>271</v>
      </c>
      <c r="AC328" s="35"/>
      <c r="AE328" s="51">
        <f>M328/O328</f>
        <v>13</v>
      </c>
      <c r="AG328" s="6" t="str">
        <f>C328</f>
        <v>90MB1BJ0-C1BAY0</v>
      </c>
      <c r="AH328" s="6" t="str">
        <f>IF($D328&lt;=AH$4,"",IF(AND($D327=AH$4,$D328&gt;AH$4),$F327,AH327))</f>
        <v>59MB1BJB-MB0A02S</v>
      </c>
      <c r="AI328" s="6" t="str">
        <f>IF($D328&lt;=AI$4,"",IF(AND($D327=AI$4,$D328&gt;AI$4),$F327,AI327))</f>
        <v/>
      </c>
      <c r="AJ328" s="6" t="str">
        <f>IF($D328&lt;=AJ$4,"",IF(AND($D327=AJ$4,$D328&gt;AJ$4),$F327,AJ327))</f>
        <v/>
      </c>
      <c r="AK328" s="6" t="str">
        <f>IF($D328&lt;=AK$4,"",IF(AND($D327=AK$4,$D328&gt;AK$4),$F327,AK327))</f>
        <v/>
      </c>
      <c r="AL328" s="6" t="str">
        <f>IF($D328&lt;=AL$4,"",IF(AND($D327=AL$4,$D328&gt;AL$4),$F327,AL327))</f>
        <v/>
      </c>
      <c r="AM328" s="6" t="str">
        <f>IF($D328&lt;=AM$4,"",IF(AND($D327=AM$4,$D328&gt;AM$4),$F327,AM327))</f>
        <v/>
      </c>
      <c r="AN328" s="6" t="str">
        <f>IF($D328&lt;=AN$4,"",IF(AND($D327=AN$4,$D328&gt;AN$4),$F327,AN327))</f>
        <v/>
      </c>
      <c r="AO328" s="6" t="str">
        <f>CONCATENATE(AG328," | ",AH328," | ",AI328," | ",AJ328," | ",AK328," | ",AL328," | ",AM328," | ",AN328)</f>
        <v xml:space="preserve">90MB1BJ0-C1BAY0 | 59MB1BJB-MB0A02S |  |  |  |  |  | </v>
      </c>
      <c r="AP328" s="6">
        <f>IF(TRIM(H328)="",100,J328)</f>
        <v>0</v>
      </c>
      <c r="AQ328" s="4"/>
      <c r="AR328" s="6" t="b">
        <f>NOT(TRIM(W328)&lt;&gt;"F")</f>
        <v>1</v>
      </c>
      <c r="AS328" s="6" t="str">
        <f>$B328&amp;" | "&amp;$AO328&amp;" | "&amp;IF(TRIM(H328)="","uniq"&amp;ROW(),TRIM(H328))</f>
        <v>461E | 90MB1BJ0-C1BAY0 | 59MB1BJB-MB0A02S |  |  |  |  |  |  | B9</v>
      </c>
      <c r="AT328" s="63">
        <f>IF(NOT(AR328),IF(TRIM($H328)="","Assembly","Phantom Alt"),VLOOKUP(F328,ZPCS04!B:G,6,0))</f>
        <v>840</v>
      </c>
      <c r="AU328" s="7"/>
      <c r="AV328" s="38">
        <f ca="1">IF(TRIM($W328)="F",OFFSET($A$5,MATCH($AS328,$AS$5:$AS328,0)-1,0),$A328)</f>
        <v>327</v>
      </c>
      <c r="AW328" s="38">
        <f ca="1">IFERROR(OFFSET(ZPCS04!$A$1,MATCH(F328,ZPCS04!B:B,0)-1,0),100)</f>
        <v>2</v>
      </c>
      <c r="AX328" s="7"/>
      <c r="AY328" s="6" t="b">
        <f>SUMIF(AS:AS,AS328,AP:AP)=100</f>
        <v>1</v>
      </c>
      <c r="AZ328" s="6" t="b">
        <f>SUMIF(AS:AS,AS328,AE:AE)/COUNTIF(AS:AS,AS328)=AE328</f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>C328&amp;" | "&amp;F328</f>
        <v>90MB1BJ0-C1BAY0 | 10G212220114050</v>
      </c>
      <c r="BE328" s="55" t="str">
        <f ca="1">C328&amp;" | "&amp;OFFSET($AF328,0,8-COUNTBLANK($AG328:$AN328))</f>
        <v>90MB1BJ0-C1BAY0 | 59MB1BJB-MB0A02S</v>
      </c>
      <c r="BF328" s="57">
        <f ca="1">IFERROR(VLOOKUP($BE328,$BD$5:$BF327,3,0)*$AE328,VLOOKUP($C328,Demanda!$A:$B,2,0)*$AE328)*IF(AT328="Phantom Alt",$BC328,TRUE)</f>
        <v>13000</v>
      </c>
      <c r="BG328" s="57">
        <f ca="1">BF328*(AP328/100)</f>
        <v>0</v>
      </c>
      <c r="BH328" s="57">
        <f>SUMIF(Invoice!A:A,F328,Invoice!B:B)</f>
        <v>0</v>
      </c>
      <c r="BI328" s="57">
        <f ca="1">SUMIF(AS:AS,AS328,BG:BG)</f>
        <v>13000</v>
      </c>
      <c r="BJ328" s="57">
        <f ca="1">MIN((BI328-SUMIF($AS$5:AS327,AS328,$BJ$5:BJ327)),MAX(0,BH328-SUMIF($F$5:F327,F328,$BJ$5:BJ327)))</f>
        <v>0</v>
      </c>
      <c r="BK328" s="57">
        <f ca="1">(-SUMIF(AS:AS,AS328,BG:BG)+SUMIF(AS:AS,AS328,BJ:BJ))*(AP328=100)*AR328</f>
        <v>0</v>
      </c>
      <c r="BL328" s="57">
        <f ca="1">MAX(0,SUMIF(Invoice!A:A,F328,Invoice!B:B)-SUMIF(F:F,F328,BJ:BJ))*(COUNTIF(F:F,F328)=COUNTIF($F$5:F328,F328))</f>
        <v>0</v>
      </c>
    </row>
    <row r="329" spans="1:64" hidden="1">
      <c r="A329" s="43">
        <v>329</v>
      </c>
      <c r="B329" s="35" t="s">
        <v>147</v>
      </c>
      <c r="C329" s="35" t="s">
        <v>146</v>
      </c>
      <c r="D329" s="35">
        <v>2</v>
      </c>
      <c r="E329" s="35">
        <v>1200</v>
      </c>
      <c r="F329" s="64" t="s">
        <v>826</v>
      </c>
      <c r="G329" s="73" t="s">
        <v>827</v>
      </c>
      <c r="H329" s="35" t="s">
        <v>828</v>
      </c>
      <c r="I329" s="35" t="s">
        <v>54</v>
      </c>
      <c r="J329" s="35">
        <v>100</v>
      </c>
      <c r="K329" s="35" t="s">
        <v>489</v>
      </c>
      <c r="L329" s="35" t="s">
        <v>53</v>
      </c>
      <c r="M329" s="35">
        <v>2</v>
      </c>
      <c r="N329" s="35">
        <v>2</v>
      </c>
      <c r="O329" s="35">
        <v>1</v>
      </c>
      <c r="P329" s="35">
        <v>2</v>
      </c>
      <c r="Q329" s="35">
        <v>1</v>
      </c>
      <c r="R329" s="35" t="s">
        <v>122</v>
      </c>
      <c r="S329" s="35" t="s">
        <v>122</v>
      </c>
      <c r="T329" s="36">
        <v>44901</v>
      </c>
      <c r="U329" s="36">
        <v>2958465</v>
      </c>
      <c r="V329" s="35" t="s">
        <v>282</v>
      </c>
      <c r="W329" s="35" t="s">
        <v>145</v>
      </c>
      <c r="X329" s="35"/>
      <c r="Y329" s="35" t="s">
        <v>143</v>
      </c>
      <c r="Z329" s="35">
        <v>7589154</v>
      </c>
      <c r="AA329" s="35">
        <v>546</v>
      </c>
      <c r="AB329" s="35">
        <v>273</v>
      </c>
      <c r="AC329" s="35"/>
      <c r="AE329" s="51">
        <f>M329/O329</f>
        <v>2</v>
      </c>
      <c r="AG329" s="6" t="str">
        <f>C329</f>
        <v>90MB1BJ0-C1BAY0</v>
      </c>
      <c r="AH329" s="6" t="str">
        <f>IF($D329&lt;=AH$4,"",IF(AND($D328=AH$4,$D329&gt;AH$4),$F328,AH328))</f>
        <v>59MB1BJB-MB0A02S</v>
      </c>
      <c r="AI329" s="6" t="str">
        <f>IF($D329&lt;=AI$4,"",IF(AND($D328=AI$4,$D329&gt;AI$4),$F328,AI328))</f>
        <v/>
      </c>
      <c r="AJ329" s="6" t="str">
        <f>IF($D329&lt;=AJ$4,"",IF(AND($D328=AJ$4,$D329&gt;AJ$4),$F328,AJ328))</f>
        <v/>
      </c>
      <c r="AK329" s="6" t="str">
        <f>IF($D329&lt;=AK$4,"",IF(AND($D328=AK$4,$D329&gt;AK$4),$F328,AK328))</f>
        <v/>
      </c>
      <c r="AL329" s="6" t="str">
        <f>IF($D329&lt;=AL$4,"",IF(AND($D328=AL$4,$D329&gt;AL$4),$F328,AL328))</f>
        <v/>
      </c>
      <c r="AM329" s="6" t="str">
        <f>IF($D329&lt;=AM$4,"",IF(AND($D328=AM$4,$D329&gt;AM$4),$F328,AM328))</f>
        <v/>
      </c>
      <c r="AN329" s="6" t="str">
        <f>IF($D329&lt;=AN$4,"",IF(AND($D328=AN$4,$D329&gt;AN$4),$F328,AN328))</f>
        <v/>
      </c>
      <c r="AO329" s="6" t="str">
        <f>CONCATENATE(AG329," | ",AH329," | ",AI329," | ",AJ329," | ",AK329," | ",AL329," | ",AM329," | ",AN329)</f>
        <v xml:space="preserve">90MB1BJ0-C1BAY0 | 59MB1BJB-MB0A02S |  |  |  |  |  | </v>
      </c>
      <c r="AP329" s="6">
        <f>IF(TRIM(H329)="",100,J329)</f>
        <v>100</v>
      </c>
      <c r="AQ329" s="4"/>
      <c r="AR329" s="6" t="b">
        <f>NOT(TRIM(W329)&lt;&gt;"F")</f>
        <v>1</v>
      </c>
      <c r="AS329" s="6" t="str">
        <f>$B329&amp;" | "&amp;$AO329&amp;" | "&amp;IF(TRIM(H329)="","uniq"&amp;ROW(),TRIM(H329))</f>
        <v>461E | 90MB1BJ0-C1BAY0 | 59MB1BJB-MB0A02S |  |  |  |  |  |  | C0</v>
      </c>
      <c r="AT329" s="63">
        <f>IF(NOT(AR329),IF(TRIM($H329)="","Assembly","Phantom Alt"),VLOOKUP(F329,ZPCS04!B:G,6,0))</f>
        <v>664</v>
      </c>
      <c r="AU329" s="7"/>
      <c r="AV329" s="38">
        <f ca="1">IF(TRIM($W329)="F",OFFSET($A$5,MATCH($AS329,$AS$5:$AS329,0)-1,0),$A329)</f>
        <v>329</v>
      </c>
      <c r="AW329" s="38">
        <f ca="1">IFERROR(OFFSET(ZPCS04!$A$1,MATCH(F329,ZPCS04!B:B,0)-1,0),100)</f>
        <v>1.9999999000000002</v>
      </c>
      <c r="AX329" s="7"/>
      <c r="AY329" s="6" t="b">
        <f>SUMIF(AS:AS,AS329,AP:AP)=100</f>
        <v>1</v>
      </c>
      <c r="AZ329" s="6" t="b">
        <f>SUMIF(AS:AS,AS329,AE:AE)/COUNTIF(AS:AS,AS329)=AE329</f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>C329&amp;" | "&amp;F329</f>
        <v>90MB1BJ0-C1BAY0 | 10G212220214010</v>
      </c>
      <c r="BE329" s="55" t="str">
        <f ca="1">C329&amp;" | "&amp;OFFSET($AF329,0,8-COUNTBLANK($AG329:$AN329))</f>
        <v>90MB1BJ0-C1BAY0 | 59MB1BJB-MB0A02S</v>
      </c>
      <c r="BF329" s="57">
        <f ca="1">IFERROR(VLOOKUP($BE329,$BD$5:$BF328,3,0)*$AE329,VLOOKUP($C329,Demanda!$A:$B,2,0)*$AE329)*IF(AT329="Phantom Alt",$BC329,TRUE)</f>
        <v>2000</v>
      </c>
      <c r="BG329" s="57">
        <f ca="1">BF329*(AP329/100)</f>
        <v>2000</v>
      </c>
      <c r="BH329" s="57">
        <f>SUMIF(Invoice!A:A,F329,Invoice!B:B)</f>
        <v>10000</v>
      </c>
      <c r="BI329" s="57">
        <f ca="1">SUMIF(AS:AS,AS329,BG:BG)</f>
        <v>2000</v>
      </c>
      <c r="BJ329" s="57">
        <f ca="1">MIN((BI329-SUMIF($AS$5:AS328,AS329,$BJ$5:BJ328)),MAX(0,BH329-SUMIF($F$5:F328,F329,$BJ$5:BJ328)))</f>
        <v>2000</v>
      </c>
      <c r="BK329" s="57">
        <f ca="1">(-SUMIF(AS:AS,AS329,BG:BG)+SUMIF(AS:AS,AS329,BJ:BJ))*(AP329=100)*AR329</f>
        <v>0</v>
      </c>
      <c r="BL329" s="57">
        <f ca="1">MAX(0,SUMIF(Invoice!A:A,F329,Invoice!B:B)-SUMIF(F:F,F329,BJ:BJ))*(COUNTIF(F:F,F329)=COUNTIF($F$5:F329,F329))</f>
        <v>8000</v>
      </c>
    </row>
    <row r="330" spans="1:64" hidden="1">
      <c r="A330" s="43">
        <v>330</v>
      </c>
      <c r="B330" s="35" t="s">
        <v>147</v>
      </c>
      <c r="C330" s="35" t="s">
        <v>146</v>
      </c>
      <c r="D330" s="35">
        <v>2</v>
      </c>
      <c r="E330" s="35">
        <v>1200</v>
      </c>
      <c r="F330" s="64" t="s">
        <v>829</v>
      </c>
      <c r="G330" s="73" t="s">
        <v>830</v>
      </c>
      <c r="H330" s="35" t="s">
        <v>828</v>
      </c>
      <c r="I330" s="35" t="s">
        <v>55</v>
      </c>
      <c r="J330" s="35">
        <v>0</v>
      </c>
      <c r="K330" s="35" t="s">
        <v>489</v>
      </c>
      <c r="L330" s="35" t="s">
        <v>53</v>
      </c>
      <c r="M330" s="35">
        <v>2</v>
      </c>
      <c r="N330" s="35"/>
      <c r="O330" s="35">
        <v>1</v>
      </c>
      <c r="P330" s="35">
        <v>2</v>
      </c>
      <c r="Q330" s="35">
        <v>3</v>
      </c>
      <c r="R330" s="35" t="s">
        <v>122</v>
      </c>
      <c r="S330" s="35" t="s">
        <v>122</v>
      </c>
      <c r="T330" s="36">
        <v>44901</v>
      </c>
      <c r="U330" s="36">
        <v>2958465</v>
      </c>
      <c r="V330" s="35" t="s">
        <v>282</v>
      </c>
      <c r="W330" s="35" t="s">
        <v>145</v>
      </c>
      <c r="X330" s="35"/>
      <c r="Y330" s="35" t="s">
        <v>143</v>
      </c>
      <c r="Z330" s="35">
        <v>7589154</v>
      </c>
      <c r="AA330" s="35">
        <v>550</v>
      </c>
      <c r="AB330" s="35">
        <v>275</v>
      </c>
      <c r="AC330" s="35"/>
      <c r="AE330" s="51">
        <f>M330/O330</f>
        <v>2</v>
      </c>
      <c r="AG330" s="6" t="str">
        <f>C330</f>
        <v>90MB1BJ0-C1BAY0</v>
      </c>
      <c r="AH330" s="6" t="str">
        <f>IF($D330&lt;=AH$4,"",IF(AND($D329=AH$4,$D330&gt;AH$4),$F329,AH329))</f>
        <v>59MB1BJB-MB0A02S</v>
      </c>
      <c r="AI330" s="6" t="str">
        <f>IF($D330&lt;=AI$4,"",IF(AND($D329=AI$4,$D330&gt;AI$4),$F329,AI329))</f>
        <v/>
      </c>
      <c r="AJ330" s="6" t="str">
        <f>IF($D330&lt;=AJ$4,"",IF(AND($D329=AJ$4,$D330&gt;AJ$4),$F329,AJ329))</f>
        <v/>
      </c>
      <c r="AK330" s="6" t="str">
        <f>IF($D330&lt;=AK$4,"",IF(AND($D329=AK$4,$D330&gt;AK$4),$F329,AK329))</f>
        <v/>
      </c>
      <c r="AL330" s="6" t="str">
        <f>IF($D330&lt;=AL$4,"",IF(AND($D329=AL$4,$D330&gt;AL$4),$F329,AL329))</f>
        <v/>
      </c>
      <c r="AM330" s="6" t="str">
        <f>IF($D330&lt;=AM$4,"",IF(AND($D329=AM$4,$D330&gt;AM$4),$F329,AM329))</f>
        <v/>
      </c>
      <c r="AN330" s="6" t="str">
        <f>IF($D330&lt;=AN$4,"",IF(AND($D329=AN$4,$D330&gt;AN$4),$F329,AN329))</f>
        <v/>
      </c>
      <c r="AO330" s="6" t="str">
        <f>CONCATENATE(AG330," | ",AH330," | ",AI330," | ",AJ330," | ",AK330," | ",AL330," | ",AM330," | ",AN330)</f>
        <v xml:space="preserve">90MB1BJ0-C1BAY0 | 59MB1BJB-MB0A02S |  |  |  |  |  | </v>
      </c>
      <c r="AP330" s="6">
        <f>IF(TRIM(H330)="",100,J330)</f>
        <v>0</v>
      </c>
      <c r="AQ330" s="4"/>
      <c r="AR330" s="6" t="b">
        <f>NOT(TRIM(W330)&lt;&gt;"F")</f>
        <v>1</v>
      </c>
      <c r="AS330" s="6" t="str">
        <f>$B330&amp;" | "&amp;$AO330&amp;" | "&amp;IF(TRIM(H330)="","uniq"&amp;ROW(),TRIM(H330))</f>
        <v>461E | 90MB1BJ0-C1BAY0 | 59MB1BJB-MB0A02S |  |  |  |  |  |  | C0</v>
      </c>
      <c r="AT330" s="63">
        <f>IF(NOT(AR330),IF(TRIM($H330)="","Assembly","Phantom Alt"),VLOOKUP(F330,ZPCS04!B:G,6,0))</f>
        <v>664</v>
      </c>
      <c r="AU330" s="7"/>
      <c r="AV330" s="38">
        <f ca="1">IF(TRIM($W330)="F",OFFSET($A$5,MATCH($AS330,$AS$5:$AS330,0)-1,0),$A330)</f>
        <v>329</v>
      </c>
      <c r="AW330" s="38">
        <f ca="1">IFERROR(OFFSET(ZPCS04!$A$1,MATCH(F330,ZPCS04!B:B,0)-1,0),100)</f>
        <v>2</v>
      </c>
      <c r="AX330" s="7"/>
      <c r="AY330" s="6" t="b">
        <f>SUMIF(AS:AS,AS330,AP:AP)=100</f>
        <v>1</v>
      </c>
      <c r="AZ330" s="6" t="b">
        <f>SUMIF(AS:AS,AS330,AE:AE)/COUNTIF(AS:AS,AS330)=AE330</f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>C330&amp;" | "&amp;F330</f>
        <v>90MB1BJ0-C1BAY0 | 10G212220214020</v>
      </c>
      <c r="BE330" s="55" t="str">
        <f ca="1">C330&amp;" | "&amp;OFFSET($AF330,0,8-COUNTBLANK($AG330:$AN330))</f>
        <v>90MB1BJ0-C1BAY0 | 59MB1BJB-MB0A02S</v>
      </c>
      <c r="BF330" s="57">
        <f ca="1">IFERROR(VLOOKUP($BE330,$BD$5:$BF329,3,0)*$AE330,VLOOKUP($C330,Demanda!$A:$B,2,0)*$AE330)*IF(AT330="Phantom Alt",$BC330,TRUE)</f>
        <v>2000</v>
      </c>
      <c r="BG330" s="57">
        <f ca="1">BF330*(AP330/100)</f>
        <v>0</v>
      </c>
      <c r="BH330" s="57">
        <f>SUMIF(Invoice!A:A,F330,Invoice!B:B)</f>
        <v>0</v>
      </c>
      <c r="BI330" s="57">
        <f ca="1">SUMIF(AS:AS,AS330,BG:BG)</f>
        <v>2000</v>
      </c>
      <c r="BJ330" s="57">
        <f ca="1">MIN((BI330-SUMIF($AS$5:AS329,AS330,$BJ$5:BJ329)),MAX(0,BH330-SUMIF($F$5:F329,F330,$BJ$5:BJ329)))</f>
        <v>0</v>
      </c>
      <c r="BK330" s="57">
        <f ca="1">(-SUMIF(AS:AS,AS330,BG:BG)+SUMIF(AS:AS,AS330,BJ:BJ))*(AP330=100)*AR330</f>
        <v>0</v>
      </c>
      <c r="BL330" s="57">
        <f ca="1">MAX(0,SUMIF(Invoice!A:A,F330,Invoice!B:B)-SUMIF(F:F,F330,BJ:BJ))*(COUNTIF(F:F,F330)=COUNTIF($F$5:F330,F330))</f>
        <v>0</v>
      </c>
    </row>
    <row r="331" spans="1:64" hidden="1">
      <c r="A331" s="43">
        <v>331</v>
      </c>
      <c r="B331" s="35" t="s">
        <v>147</v>
      </c>
      <c r="C331" s="35" t="s">
        <v>146</v>
      </c>
      <c r="D331" s="35">
        <v>2</v>
      </c>
      <c r="E331" s="35">
        <v>1200</v>
      </c>
      <c r="F331" s="64" t="s">
        <v>831</v>
      </c>
      <c r="G331" s="73" t="s">
        <v>832</v>
      </c>
      <c r="H331" s="35" t="s">
        <v>828</v>
      </c>
      <c r="I331" s="35" t="s">
        <v>55</v>
      </c>
      <c r="J331" s="35">
        <v>0</v>
      </c>
      <c r="K331" s="35" t="s">
        <v>150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2</v>
      </c>
      <c r="R331" s="35" t="s">
        <v>73</v>
      </c>
      <c r="S331" s="35" t="s">
        <v>73</v>
      </c>
      <c r="T331" s="36">
        <v>44901</v>
      </c>
      <c r="U331" s="36">
        <v>2958465</v>
      </c>
      <c r="V331" s="35" t="s">
        <v>282</v>
      </c>
      <c r="W331" s="35" t="s">
        <v>145</v>
      </c>
      <c r="X331" s="35"/>
      <c r="Y331" s="35" t="s">
        <v>143</v>
      </c>
      <c r="Z331" s="35">
        <v>7589154</v>
      </c>
      <c r="AA331" s="35">
        <v>548</v>
      </c>
      <c r="AB331" s="35">
        <v>274</v>
      </c>
      <c r="AC331" s="35"/>
      <c r="AE331" s="51">
        <f>M331/O331</f>
        <v>2</v>
      </c>
      <c r="AG331" s="6" t="str">
        <f>C331</f>
        <v>90MB1BJ0-C1BAY0</v>
      </c>
      <c r="AH331" s="6" t="str">
        <f>IF($D331&lt;=AH$4,"",IF(AND($D330=AH$4,$D331&gt;AH$4),$F330,AH330))</f>
        <v>59MB1BJB-MB0A02S</v>
      </c>
      <c r="AI331" s="6" t="str">
        <f>IF($D331&lt;=AI$4,"",IF(AND($D330=AI$4,$D331&gt;AI$4),$F330,AI330))</f>
        <v/>
      </c>
      <c r="AJ331" s="6" t="str">
        <f>IF($D331&lt;=AJ$4,"",IF(AND($D330=AJ$4,$D331&gt;AJ$4),$F330,AJ330))</f>
        <v/>
      </c>
      <c r="AK331" s="6" t="str">
        <f>IF($D331&lt;=AK$4,"",IF(AND($D330=AK$4,$D331&gt;AK$4),$F330,AK330))</f>
        <v/>
      </c>
      <c r="AL331" s="6" t="str">
        <f>IF($D331&lt;=AL$4,"",IF(AND($D330=AL$4,$D331&gt;AL$4),$F330,AL330))</f>
        <v/>
      </c>
      <c r="AM331" s="6" t="str">
        <f>IF($D331&lt;=AM$4,"",IF(AND($D330=AM$4,$D331&gt;AM$4),$F330,AM330))</f>
        <v/>
      </c>
      <c r="AN331" s="6" t="str">
        <f>IF($D331&lt;=AN$4,"",IF(AND($D330=AN$4,$D331&gt;AN$4),$F330,AN330))</f>
        <v/>
      </c>
      <c r="AO331" s="6" t="str">
        <f>CONCATENATE(AG331," | ",AH331," | ",AI331," | ",AJ331," | ",AK331," | ",AL331," | ",AM331," | ",AN331)</f>
        <v xml:space="preserve">90MB1BJ0-C1BAY0 | 59MB1BJB-MB0A02S |  |  |  |  |  | </v>
      </c>
      <c r="AP331" s="6">
        <f>IF(TRIM(H331)="",100,J331)</f>
        <v>0</v>
      </c>
      <c r="AQ331" s="4"/>
      <c r="AR331" s="6" t="b">
        <f>NOT(TRIM(W331)&lt;&gt;"F")</f>
        <v>1</v>
      </c>
      <c r="AS331" s="6" t="str">
        <f>$B331&amp;" | "&amp;$AO331&amp;" | "&amp;IF(TRIM(H331)="","uniq"&amp;ROW(),TRIM(H331))</f>
        <v>461E | 90MB1BJ0-C1BAY0 | 59MB1BJB-MB0A02S |  |  |  |  |  |  | C0</v>
      </c>
      <c r="AT331" s="63">
        <f>IF(NOT(AR331),IF(TRIM($H331)="","Assembly","Phantom Alt"),VLOOKUP(F331,ZPCS04!B:G,6,0))</f>
        <v>664</v>
      </c>
      <c r="AU331" s="7"/>
      <c r="AV331" s="38">
        <f ca="1">IF(TRIM($W331)="F",OFFSET($A$5,MATCH($AS331,$AS$5:$AS331,0)-1,0),$A331)</f>
        <v>329</v>
      </c>
      <c r="AW331" s="38">
        <f ca="1">IFERROR(OFFSET(ZPCS04!$A$1,MATCH(F331,ZPCS04!B:B,0)-1,0),100)</f>
        <v>2</v>
      </c>
      <c r="AX331" s="7"/>
      <c r="AY331" s="6" t="b">
        <f>SUMIF(AS:AS,AS331,AP:AP)=100</f>
        <v>1</v>
      </c>
      <c r="AZ331" s="6" t="b">
        <f>SUMIF(AS:AS,AS331,AE:AE)/COUNTIF(AS:AS,AS331)=AE331</f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>C331&amp;" | "&amp;F331</f>
        <v>90MB1BJ0-C1BAY0 | 10G212220214050</v>
      </c>
      <c r="BE331" s="55" t="str">
        <f ca="1">C331&amp;" | "&amp;OFFSET($AF331,0,8-COUNTBLANK($AG331:$AN331))</f>
        <v>90MB1BJ0-C1BAY0 | 59MB1BJB-MB0A02S</v>
      </c>
      <c r="BF331" s="57">
        <f ca="1">IFERROR(VLOOKUP($BE331,$BD$5:$BF330,3,0)*$AE331,VLOOKUP($C331,Demanda!$A:$B,2,0)*$AE331)*IF(AT331="Phantom Alt",$BC331,TRUE)</f>
        <v>2000</v>
      </c>
      <c r="BG331" s="57">
        <f ca="1">BF331*(AP331/100)</f>
        <v>0</v>
      </c>
      <c r="BH331" s="57">
        <f>SUMIF(Invoice!A:A,F331,Invoice!B:B)</f>
        <v>0</v>
      </c>
      <c r="BI331" s="57">
        <f ca="1">SUMIF(AS:AS,AS331,BG:BG)</f>
        <v>2000</v>
      </c>
      <c r="BJ331" s="57">
        <f ca="1">MIN((BI331-SUMIF($AS$5:AS330,AS331,$BJ$5:BJ330)),MAX(0,BH331-SUMIF($F$5:F330,F331,$BJ$5:BJ330)))</f>
        <v>0</v>
      </c>
      <c r="BK331" s="57">
        <f ca="1">(-SUMIF(AS:AS,AS331,BG:BG)+SUMIF(AS:AS,AS331,BJ:BJ))*(AP331=100)*AR331</f>
        <v>0</v>
      </c>
      <c r="BL331" s="57">
        <f ca="1">MAX(0,SUMIF(Invoice!A:A,F331,Invoice!B:B)-SUMIF(F:F,F331,BJ:BJ))*(COUNTIF(F:F,F331)=COUNTIF($F$5:F331,F331))</f>
        <v>0</v>
      </c>
    </row>
    <row r="332" spans="1:64" hidden="1">
      <c r="A332" s="43">
        <v>332</v>
      </c>
      <c r="B332" s="35" t="s">
        <v>147</v>
      </c>
      <c r="C332" s="35" t="s">
        <v>146</v>
      </c>
      <c r="D332" s="35">
        <v>2</v>
      </c>
      <c r="E332" s="35">
        <v>1210</v>
      </c>
      <c r="F332" s="64" t="s">
        <v>833</v>
      </c>
      <c r="G332" s="73" t="s">
        <v>834</v>
      </c>
      <c r="H332" s="35" t="s">
        <v>835</v>
      </c>
      <c r="I332" s="35" t="s">
        <v>54</v>
      </c>
      <c r="J332" s="35">
        <v>100</v>
      </c>
      <c r="K332" s="35" t="s">
        <v>489</v>
      </c>
      <c r="L332" s="35" t="s">
        <v>53</v>
      </c>
      <c r="M332" s="35">
        <v>18</v>
      </c>
      <c r="N332" s="35">
        <v>18</v>
      </c>
      <c r="O332" s="35">
        <v>1</v>
      </c>
      <c r="P332" s="35">
        <v>2</v>
      </c>
      <c r="Q332" s="35">
        <v>1</v>
      </c>
      <c r="R332" s="35" t="s">
        <v>122</v>
      </c>
      <c r="S332" s="35" t="s">
        <v>122</v>
      </c>
      <c r="T332" s="36">
        <v>44901</v>
      </c>
      <c r="U332" s="36">
        <v>2958465</v>
      </c>
      <c r="V332" s="35" t="s">
        <v>282</v>
      </c>
      <c r="W332" s="35" t="s">
        <v>145</v>
      </c>
      <c r="X332" s="35"/>
      <c r="Y332" s="35" t="s">
        <v>143</v>
      </c>
      <c r="Z332" s="35">
        <v>7589154</v>
      </c>
      <c r="AA332" s="35">
        <v>552</v>
      </c>
      <c r="AB332" s="35">
        <v>276</v>
      </c>
      <c r="AC332" s="35"/>
      <c r="AE332" s="51">
        <f>M332/O332</f>
        <v>18</v>
      </c>
      <c r="AG332" s="6" t="str">
        <f>C332</f>
        <v>90MB1BJ0-C1BAY0</v>
      </c>
      <c r="AH332" s="6" t="str">
        <f>IF($D332&lt;=AH$4,"",IF(AND($D331=AH$4,$D332&gt;AH$4),$F331,AH331))</f>
        <v>59MB1BJB-MB0A02S</v>
      </c>
      <c r="AI332" s="6" t="str">
        <f>IF($D332&lt;=AI$4,"",IF(AND($D331=AI$4,$D332&gt;AI$4),$F331,AI331))</f>
        <v/>
      </c>
      <c r="AJ332" s="6" t="str">
        <f>IF($D332&lt;=AJ$4,"",IF(AND($D331=AJ$4,$D332&gt;AJ$4),$F331,AJ331))</f>
        <v/>
      </c>
      <c r="AK332" s="6" t="str">
        <f>IF($D332&lt;=AK$4,"",IF(AND($D331=AK$4,$D332&gt;AK$4),$F331,AK331))</f>
        <v/>
      </c>
      <c r="AL332" s="6" t="str">
        <f>IF($D332&lt;=AL$4,"",IF(AND($D331=AL$4,$D332&gt;AL$4),$F331,AL331))</f>
        <v/>
      </c>
      <c r="AM332" s="6" t="str">
        <f>IF($D332&lt;=AM$4,"",IF(AND($D331=AM$4,$D332&gt;AM$4),$F331,AM331))</f>
        <v/>
      </c>
      <c r="AN332" s="6" t="str">
        <f>IF($D332&lt;=AN$4,"",IF(AND($D331=AN$4,$D332&gt;AN$4),$F331,AN331))</f>
        <v/>
      </c>
      <c r="AO332" s="6" t="str">
        <f>CONCATENATE(AG332," | ",AH332," | ",AI332," | ",AJ332," | ",AK332," | ",AL332," | ",AM332," | ",AN332)</f>
        <v xml:space="preserve">90MB1BJ0-C1BAY0 | 59MB1BJB-MB0A02S |  |  |  |  |  | </v>
      </c>
      <c r="AP332" s="6">
        <f>IF(TRIM(H332)="",100,J332)</f>
        <v>100</v>
      </c>
      <c r="AQ332" s="4"/>
      <c r="AR332" s="6" t="b">
        <f>NOT(TRIM(W332)&lt;&gt;"F")</f>
        <v>1</v>
      </c>
      <c r="AS332" s="6" t="str">
        <f>$B332&amp;" | "&amp;$AO332&amp;" | "&amp;IF(TRIM(H332)="","uniq"&amp;ROW(),TRIM(H332))</f>
        <v>461E | 90MB1BJ0-C1BAY0 | 59MB1BJB-MB0A02S |  |  |  |  |  |  | C1</v>
      </c>
      <c r="AT332" s="63">
        <f>IF(NOT(AR332),IF(TRIM($H332)="","Assembly","Phantom Alt"),VLOOKUP(F332,ZPCS04!B:G,6,0))</f>
        <v>959</v>
      </c>
      <c r="AU332" s="7"/>
      <c r="AV332" s="38">
        <f ca="1">IF(TRIM($W332)="F",OFFSET($A$5,MATCH($AS332,$AS$5:$AS332,0)-1,0),$A332)</f>
        <v>332</v>
      </c>
      <c r="AW332" s="38">
        <f ca="1">IFERROR(OFFSET(ZPCS04!$A$1,MATCH(F332,ZPCS04!B:B,0)-1,0),100)</f>
        <v>1.9999997999999999</v>
      </c>
      <c r="AX332" s="7"/>
      <c r="AY332" s="6" t="b">
        <f>SUMIF(AS:AS,AS332,AP:AP)=100</f>
        <v>1</v>
      </c>
      <c r="AZ332" s="6" t="b">
        <f>SUMIF(AS:AS,AS332,AE:AE)/COUNTIF(AS:AS,AS332)=AE332</f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>C332&amp;" | "&amp;F332</f>
        <v>90MB1BJ0-C1BAY0 | 10G212220314010</v>
      </c>
      <c r="BE332" s="55" t="str">
        <f ca="1">C332&amp;" | "&amp;OFFSET($AF332,0,8-COUNTBLANK($AG332:$AN332))</f>
        <v>90MB1BJ0-C1BAY0 | 59MB1BJB-MB0A02S</v>
      </c>
      <c r="BF332" s="57">
        <f ca="1">IFERROR(VLOOKUP($BE332,$BD$5:$BF331,3,0)*$AE332,VLOOKUP($C332,Demanda!$A:$B,2,0)*$AE332)*IF(AT332="Phantom Alt",$BC332,TRUE)</f>
        <v>18000</v>
      </c>
      <c r="BG332" s="57">
        <f ca="1">BF332*(AP332/100)</f>
        <v>18000</v>
      </c>
      <c r="BH332" s="57">
        <f>SUMIF(Invoice!A:A,F332,Invoice!B:B)</f>
        <v>20000</v>
      </c>
      <c r="BI332" s="57">
        <f ca="1">SUMIF(AS:AS,AS332,BG:BG)</f>
        <v>18000</v>
      </c>
      <c r="BJ332" s="57">
        <f ca="1">MIN((BI332-SUMIF($AS$5:AS331,AS332,$BJ$5:BJ331)),MAX(0,BH332-SUMIF($F$5:F331,F332,$BJ$5:BJ331)))</f>
        <v>18000</v>
      </c>
      <c r="BK332" s="57">
        <f ca="1">(-SUMIF(AS:AS,AS332,BG:BG)+SUMIF(AS:AS,AS332,BJ:BJ))*(AP332=100)*AR332</f>
        <v>0</v>
      </c>
      <c r="BL332" s="57">
        <f ca="1">MAX(0,SUMIF(Invoice!A:A,F332,Invoice!B:B)-SUMIF(F:F,F332,BJ:BJ))*(COUNTIF(F:F,F332)=COUNTIF($F$5:F332,F332))</f>
        <v>2000</v>
      </c>
    </row>
    <row r="333" spans="1:64" hidden="1">
      <c r="A333" s="43">
        <v>333</v>
      </c>
      <c r="B333" s="35" t="s">
        <v>147</v>
      </c>
      <c r="C333" s="35" t="s">
        <v>146</v>
      </c>
      <c r="D333" s="35">
        <v>2</v>
      </c>
      <c r="E333" s="35">
        <v>1210</v>
      </c>
      <c r="F333" s="64" t="s">
        <v>836</v>
      </c>
      <c r="G333" s="73" t="s">
        <v>837</v>
      </c>
      <c r="H333" s="35" t="s">
        <v>835</v>
      </c>
      <c r="I333" s="35" t="s">
        <v>55</v>
      </c>
      <c r="J333" s="35">
        <v>0</v>
      </c>
      <c r="K333" s="35" t="s">
        <v>489</v>
      </c>
      <c r="L333" s="35" t="s">
        <v>53</v>
      </c>
      <c r="M333" s="35">
        <v>18</v>
      </c>
      <c r="N333" s="35"/>
      <c r="O333" s="35">
        <v>1</v>
      </c>
      <c r="P333" s="35">
        <v>2</v>
      </c>
      <c r="Q333" s="35">
        <v>2</v>
      </c>
      <c r="R333" s="35" t="s">
        <v>122</v>
      </c>
      <c r="S333" s="35" t="s">
        <v>122</v>
      </c>
      <c r="T333" s="36">
        <v>44901</v>
      </c>
      <c r="U333" s="36">
        <v>2958465</v>
      </c>
      <c r="V333" s="35" t="s">
        <v>282</v>
      </c>
      <c r="W333" s="35" t="s">
        <v>145</v>
      </c>
      <c r="X333" s="35"/>
      <c r="Y333" s="35" t="s">
        <v>143</v>
      </c>
      <c r="Z333" s="35">
        <v>7589154</v>
      </c>
      <c r="AA333" s="35">
        <v>554</v>
      </c>
      <c r="AB333" s="35">
        <v>277</v>
      </c>
      <c r="AC333" s="35"/>
      <c r="AE333" s="51">
        <f>M333/O333</f>
        <v>18</v>
      </c>
      <c r="AG333" s="6" t="str">
        <f>C333</f>
        <v>90MB1BJ0-C1BAY0</v>
      </c>
      <c r="AH333" s="6" t="str">
        <f>IF($D333&lt;=AH$4,"",IF(AND($D332=AH$4,$D333&gt;AH$4),$F332,AH332))</f>
        <v>59MB1BJB-MB0A02S</v>
      </c>
      <c r="AI333" s="6" t="str">
        <f>IF($D333&lt;=AI$4,"",IF(AND($D332=AI$4,$D333&gt;AI$4),$F332,AI332))</f>
        <v/>
      </c>
      <c r="AJ333" s="6" t="str">
        <f>IF($D333&lt;=AJ$4,"",IF(AND($D332=AJ$4,$D333&gt;AJ$4),$F332,AJ332))</f>
        <v/>
      </c>
      <c r="AK333" s="6" t="str">
        <f>IF($D333&lt;=AK$4,"",IF(AND($D332=AK$4,$D333&gt;AK$4),$F332,AK332))</f>
        <v/>
      </c>
      <c r="AL333" s="6" t="str">
        <f>IF($D333&lt;=AL$4,"",IF(AND($D332=AL$4,$D333&gt;AL$4),$F332,AL332))</f>
        <v/>
      </c>
      <c r="AM333" s="6" t="str">
        <f>IF($D333&lt;=AM$4,"",IF(AND($D332=AM$4,$D333&gt;AM$4),$F332,AM332))</f>
        <v/>
      </c>
      <c r="AN333" s="6" t="str">
        <f>IF($D333&lt;=AN$4,"",IF(AND($D332=AN$4,$D333&gt;AN$4),$F332,AN332))</f>
        <v/>
      </c>
      <c r="AO333" s="6" t="str">
        <f>CONCATENATE(AG333," | ",AH333," | ",AI333," | ",AJ333," | ",AK333," | ",AL333," | ",AM333," | ",AN333)</f>
        <v xml:space="preserve">90MB1BJ0-C1BAY0 | 59MB1BJB-MB0A02S |  |  |  |  |  | </v>
      </c>
      <c r="AP333" s="6">
        <f>IF(TRIM(H333)="",100,J333)</f>
        <v>0</v>
      </c>
      <c r="AQ333" s="4"/>
      <c r="AR333" s="6" t="b">
        <f>NOT(TRIM(W333)&lt;&gt;"F")</f>
        <v>1</v>
      </c>
      <c r="AS333" s="6" t="str">
        <f>$B333&amp;" | "&amp;$AO333&amp;" | "&amp;IF(TRIM(H333)="","uniq"&amp;ROW(),TRIM(H333))</f>
        <v>461E | 90MB1BJ0-C1BAY0 | 59MB1BJB-MB0A02S |  |  |  |  |  |  | C1</v>
      </c>
      <c r="AT333" s="63">
        <f>IF(NOT(AR333),IF(TRIM($H333)="","Assembly","Phantom Alt"),VLOOKUP(F333,ZPCS04!B:G,6,0))</f>
        <v>959</v>
      </c>
      <c r="AU333" s="7"/>
      <c r="AV333" s="38">
        <f ca="1">IF(TRIM($W333)="F",OFFSET($A$5,MATCH($AS333,$AS$5:$AS333,0)-1,0),$A333)</f>
        <v>332</v>
      </c>
      <c r="AW333" s="38">
        <f ca="1">IFERROR(OFFSET(ZPCS04!$A$1,MATCH(F333,ZPCS04!B:B,0)-1,0),100)</f>
        <v>2</v>
      </c>
      <c r="AX333" s="7"/>
      <c r="AY333" s="6" t="b">
        <f>SUMIF(AS:AS,AS333,AP:AP)=100</f>
        <v>1</v>
      </c>
      <c r="AZ333" s="6" t="b">
        <f>SUMIF(AS:AS,AS333,AE:AE)/COUNTIF(AS:AS,AS333)=AE333</f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>C333&amp;" | "&amp;F333</f>
        <v>90MB1BJ0-C1BAY0 | 10G212220314020</v>
      </c>
      <c r="BE333" s="55" t="str">
        <f ca="1">C333&amp;" | "&amp;OFFSET($AF333,0,8-COUNTBLANK($AG333:$AN333))</f>
        <v>90MB1BJ0-C1BAY0 | 59MB1BJB-MB0A02S</v>
      </c>
      <c r="BF333" s="57">
        <f ca="1">IFERROR(VLOOKUP($BE333,$BD$5:$BF332,3,0)*$AE333,VLOOKUP($C333,Demanda!$A:$B,2,0)*$AE333)*IF(AT333="Phantom Alt",$BC333,TRUE)</f>
        <v>18000</v>
      </c>
      <c r="BG333" s="57">
        <f ca="1">BF333*(AP333/100)</f>
        <v>0</v>
      </c>
      <c r="BH333" s="57">
        <f>SUMIF(Invoice!A:A,F333,Invoice!B:B)</f>
        <v>0</v>
      </c>
      <c r="BI333" s="57">
        <f ca="1">SUMIF(AS:AS,AS333,BG:BG)</f>
        <v>18000</v>
      </c>
      <c r="BJ333" s="57">
        <f ca="1">MIN((BI333-SUMIF($AS$5:AS332,AS333,$BJ$5:BJ332)),MAX(0,BH333-SUMIF($F$5:F332,F333,$BJ$5:BJ332)))</f>
        <v>0</v>
      </c>
      <c r="BK333" s="57">
        <f ca="1">(-SUMIF(AS:AS,AS333,BG:BG)+SUMIF(AS:AS,AS333,BJ:BJ))*(AP333=100)*AR333</f>
        <v>0</v>
      </c>
      <c r="BL333" s="57">
        <f ca="1">MAX(0,SUMIF(Invoice!A:A,F333,Invoice!B:B)-SUMIF(F:F,F333,BJ:BJ))*(COUNTIF(F:F,F333)=COUNTIF($F$5:F333,F333))</f>
        <v>0</v>
      </c>
    </row>
    <row r="334" spans="1:64" hidden="1">
      <c r="A334" s="43">
        <v>334</v>
      </c>
      <c r="B334" s="35" t="s">
        <v>147</v>
      </c>
      <c r="C334" s="35" t="s">
        <v>146</v>
      </c>
      <c r="D334" s="35">
        <v>2</v>
      </c>
      <c r="E334" s="35">
        <v>1210</v>
      </c>
      <c r="F334" s="64" t="s">
        <v>838</v>
      </c>
      <c r="G334" s="73" t="s">
        <v>839</v>
      </c>
      <c r="H334" s="35" t="s">
        <v>835</v>
      </c>
      <c r="I334" s="35" t="s">
        <v>55</v>
      </c>
      <c r="J334" s="35">
        <v>0</v>
      </c>
      <c r="K334" s="35" t="s">
        <v>150</v>
      </c>
      <c r="L334" s="35" t="s">
        <v>53</v>
      </c>
      <c r="M334" s="35">
        <v>18</v>
      </c>
      <c r="N334" s="35"/>
      <c r="O334" s="35">
        <v>1</v>
      </c>
      <c r="P334" s="35">
        <v>2</v>
      </c>
      <c r="Q334" s="35">
        <v>3</v>
      </c>
      <c r="R334" s="35" t="s">
        <v>73</v>
      </c>
      <c r="S334" s="35" t="s">
        <v>73</v>
      </c>
      <c r="T334" s="36">
        <v>44901</v>
      </c>
      <c r="U334" s="36">
        <v>2958465</v>
      </c>
      <c r="V334" s="35" t="s">
        <v>282</v>
      </c>
      <c r="W334" s="35" t="s">
        <v>145</v>
      </c>
      <c r="X334" s="35"/>
      <c r="Y334" s="35" t="s">
        <v>143</v>
      </c>
      <c r="Z334" s="35">
        <v>7589154</v>
      </c>
      <c r="AA334" s="35">
        <v>556</v>
      </c>
      <c r="AB334" s="35">
        <v>278</v>
      </c>
      <c r="AC334" s="35"/>
      <c r="AE334" s="51">
        <f>M334/O334</f>
        <v>18</v>
      </c>
      <c r="AG334" s="6" t="str">
        <f>C334</f>
        <v>90MB1BJ0-C1BAY0</v>
      </c>
      <c r="AH334" s="6" t="str">
        <f>IF($D334&lt;=AH$4,"",IF(AND($D333=AH$4,$D334&gt;AH$4),$F333,AH333))</f>
        <v>59MB1BJB-MB0A02S</v>
      </c>
      <c r="AI334" s="6" t="str">
        <f>IF($D334&lt;=AI$4,"",IF(AND($D333=AI$4,$D334&gt;AI$4),$F333,AI333))</f>
        <v/>
      </c>
      <c r="AJ334" s="6" t="str">
        <f>IF($D334&lt;=AJ$4,"",IF(AND($D333=AJ$4,$D334&gt;AJ$4),$F333,AJ333))</f>
        <v/>
      </c>
      <c r="AK334" s="6" t="str">
        <f>IF($D334&lt;=AK$4,"",IF(AND($D333=AK$4,$D334&gt;AK$4),$F333,AK333))</f>
        <v/>
      </c>
      <c r="AL334" s="6" t="str">
        <f>IF($D334&lt;=AL$4,"",IF(AND($D333=AL$4,$D334&gt;AL$4),$F333,AL333))</f>
        <v/>
      </c>
      <c r="AM334" s="6" t="str">
        <f>IF($D334&lt;=AM$4,"",IF(AND($D333=AM$4,$D334&gt;AM$4),$F333,AM333))</f>
        <v/>
      </c>
      <c r="AN334" s="6" t="str">
        <f>IF($D334&lt;=AN$4,"",IF(AND($D333=AN$4,$D334&gt;AN$4),$F333,AN333))</f>
        <v/>
      </c>
      <c r="AO334" s="6" t="str">
        <f>CONCATENATE(AG334," | ",AH334," | ",AI334," | ",AJ334," | ",AK334," | ",AL334," | ",AM334," | ",AN334)</f>
        <v xml:space="preserve">90MB1BJ0-C1BAY0 | 59MB1BJB-MB0A02S |  |  |  |  |  | </v>
      </c>
      <c r="AP334" s="6">
        <f>IF(TRIM(H334)="",100,J334)</f>
        <v>0</v>
      </c>
      <c r="AQ334" s="4"/>
      <c r="AR334" s="6" t="b">
        <f>NOT(TRIM(W334)&lt;&gt;"F")</f>
        <v>1</v>
      </c>
      <c r="AS334" s="6" t="str">
        <f>$B334&amp;" | "&amp;$AO334&amp;" | "&amp;IF(TRIM(H334)="","uniq"&amp;ROW(),TRIM(H334))</f>
        <v>461E | 90MB1BJ0-C1BAY0 | 59MB1BJB-MB0A02S |  |  |  |  |  |  | C1</v>
      </c>
      <c r="AT334" s="63">
        <f>IF(NOT(AR334),IF(TRIM($H334)="","Assembly","Phantom Alt"),VLOOKUP(F334,ZPCS04!B:G,6,0))</f>
        <v>959</v>
      </c>
      <c r="AU334" s="7"/>
      <c r="AV334" s="38">
        <f ca="1">IF(TRIM($W334)="F",OFFSET($A$5,MATCH($AS334,$AS$5:$AS334,0)-1,0),$A334)</f>
        <v>332</v>
      </c>
      <c r="AW334" s="38">
        <f ca="1">IFERROR(OFFSET(ZPCS04!$A$1,MATCH(F334,ZPCS04!B:B,0)-1,0),100)</f>
        <v>2</v>
      </c>
      <c r="AX334" s="7"/>
      <c r="AY334" s="6" t="b">
        <f>SUMIF(AS:AS,AS334,AP:AP)=100</f>
        <v>1</v>
      </c>
      <c r="AZ334" s="6" t="b">
        <f>SUMIF(AS:AS,AS334,AE:AE)/COUNTIF(AS:AS,AS334)=AE334</f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>C334&amp;" | "&amp;F334</f>
        <v>90MB1BJ0-C1BAY0 | 10G212220314050</v>
      </c>
      <c r="BE334" s="55" t="str">
        <f ca="1">C334&amp;" | "&amp;OFFSET($AF334,0,8-COUNTBLANK($AG334:$AN334))</f>
        <v>90MB1BJ0-C1BAY0 | 59MB1BJB-MB0A02S</v>
      </c>
      <c r="BF334" s="57">
        <f ca="1">IFERROR(VLOOKUP($BE334,$BD$5:$BF333,3,0)*$AE334,VLOOKUP($C334,Demanda!$A:$B,2,0)*$AE334)*IF(AT334="Phantom Alt",$BC334,TRUE)</f>
        <v>18000</v>
      </c>
      <c r="BG334" s="57">
        <f ca="1">BF334*(AP334/100)</f>
        <v>0</v>
      </c>
      <c r="BH334" s="57">
        <f>SUMIF(Invoice!A:A,F334,Invoice!B:B)</f>
        <v>0</v>
      </c>
      <c r="BI334" s="57">
        <f ca="1">SUMIF(AS:AS,AS334,BG:BG)</f>
        <v>18000</v>
      </c>
      <c r="BJ334" s="57">
        <f ca="1">MIN((BI334-SUMIF($AS$5:AS333,AS334,$BJ$5:BJ333)),MAX(0,BH334-SUMIF($F$5:F333,F334,$BJ$5:BJ333)))</f>
        <v>0</v>
      </c>
      <c r="BK334" s="57">
        <f ca="1">(-SUMIF(AS:AS,AS334,BG:BG)+SUMIF(AS:AS,AS334,BJ:BJ))*(AP334=100)*AR334</f>
        <v>0</v>
      </c>
      <c r="BL334" s="57">
        <f ca="1">MAX(0,SUMIF(Invoice!A:A,F334,Invoice!B:B)-SUMIF(F:F,F334,BJ:BJ))*(COUNTIF(F:F,F334)=COUNTIF($F$5:F334,F334))</f>
        <v>0</v>
      </c>
    </row>
    <row r="335" spans="1:64" hidden="1">
      <c r="A335" s="43">
        <v>337</v>
      </c>
      <c r="B335" s="35" t="s">
        <v>147</v>
      </c>
      <c r="C335" s="35" t="s">
        <v>146</v>
      </c>
      <c r="D335" s="35">
        <v>2</v>
      </c>
      <c r="E335" s="35">
        <v>1220</v>
      </c>
      <c r="F335" s="64" t="s">
        <v>845</v>
      </c>
      <c r="G335" s="73" t="s">
        <v>846</v>
      </c>
      <c r="H335" s="35" t="s">
        <v>842</v>
      </c>
      <c r="I335" s="35" t="s">
        <v>54</v>
      </c>
      <c r="J335" s="35">
        <v>100</v>
      </c>
      <c r="K335" s="35" t="s">
        <v>150</v>
      </c>
      <c r="L335" s="35" t="s">
        <v>53</v>
      </c>
      <c r="M335" s="35">
        <v>1</v>
      </c>
      <c r="N335" s="35">
        <v>1</v>
      </c>
      <c r="O335" s="35">
        <v>1</v>
      </c>
      <c r="P335" s="35">
        <v>2</v>
      </c>
      <c r="Q335" s="35">
        <v>1</v>
      </c>
      <c r="R335" s="35" t="s">
        <v>73</v>
      </c>
      <c r="S335" s="35" t="s">
        <v>73</v>
      </c>
      <c r="T335" s="36">
        <v>44901</v>
      </c>
      <c r="U335" s="36">
        <v>2958465</v>
      </c>
      <c r="V335" s="35" t="s">
        <v>282</v>
      </c>
      <c r="W335" s="35" t="s">
        <v>145</v>
      </c>
      <c r="X335" s="35"/>
      <c r="Y335" s="35" t="s">
        <v>143</v>
      </c>
      <c r="Z335" s="35">
        <v>7589154</v>
      </c>
      <c r="AA335" s="35">
        <v>558</v>
      </c>
      <c r="AB335" s="35">
        <v>279</v>
      </c>
      <c r="AC335" s="35"/>
      <c r="AE335" s="51">
        <f>M335/O335</f>
        <v>1</v>
      </c>
      <c r="AG335" s="6" t="str">
        <f>C335</f>
        <v>90MB1BJ0-C1BAY0</v>
      </c>
      <c r="AH335" s="6" t="str">
        <f>IF($D335&lt;=AH$4,"",IF(AND($D334=AH$4,$D335&gt;AH$4),$F334,AH334))</f>
        <v>59MB1BJB-MB0A02S</v>
      </c>
      <c r="AI335" s="6" t="str">
        <f>IF($D335&lt;=AI$4,"",IF(AND($D334=AI$4,$D335&gt;AI$4),$F334,AI334))</f>
        <v/>
      </c>
      <c r="AJ335" s="6" t="str">
        <f>IF($D335&lt;=AJ$4,"",IF(AND($D334=AJ$4,$D335&gt;AJ$4),$F334,AJ334))</f>
        <v/>
      </c>
      <c r="AK335" s="6" t="str">
        <f>IF($D335&lt;=AK$4,"",IF(AND($D334=AK$4,$D335&gt;AK$4),$F334,AK334))</f>
        <v/>
      </c>
      <c r="AL335" s="6" t="str">
        <f>IF($D335&lt;=AL$4,"",IF(AND($D334=AL$4,$D335&gt;AL$4),$F334,AL334))</f>
        <v/>
      </c>
      <c r="AM335" s="6" t="str">
        <f>IF($D335&lt;=AM$4,"",IF(AND($D334=AM$4,$D335&gt;AM$4),$F334,AM334))</f>
        <v/>
      </c>
      <c r="AN335" s="6" t="str">
        <f>IF($D335&lt;=AN$4,"",IF(AND($D334=AN$4,$D335&gt;AN$4),$F334,AN334))</f>
        <v/>
      </c>
      <c r="AO335" s="6" t="str">
        <f>CONCATENATE(AG335," | ",AH335," | ",AI335," | ",AJ335," | ",AK335," | ",AL335," | ",AM335," | ",AN335)</f>
        <v xml:space="preserve">90MB1BJ0-C1BAY0 | 59MB1BJB-MB0A02S |  |  |  |  |  | </v>
      </c>
      <c r="AP335" s="6">
        <f>IF(TRIM(H335)="",100,J335)</f>
        <v>100</v>
      </c>
      <c r="AQ335" s="4"/>
      <c r="AR335" s="6" t="b">
        <f>NOT(TRIM(W335)&lt;&gt;"F")</f>
        <v>1</v>
      </c>
      <c r="AS335" s="6" t="str">
        <f>$B335&amp;" | "&amp;$AO335&amp;" | "&amp;IF(TRIM(H335)="","uniq"&amp;ROW(),TRIM(H335))</f>
        <v>461E | 90MB1BJ0-C1BAY0 | 59MB1BJB-MB0A02S |  |  |  |  |  |  | C2</v>
      </c>
      <c r="AT335" s="63">
        <f>IF(NOT(AR335),IF(TRIM($H335)="","Assembly","Phantom Alt"),VLOOKUP(F335,ZPCS04!B:G,6,0))</f>
        <v>1076</v>
      </c>
      <c r="AU335" s="7"/>
      <c r="AV335" s="38">
        <f ca="1">IF(TRIM($W335)="F",OFFSET($A$5,MATCH($AS335,$AS$5:$AS335,0)-1,0),$A335)</f>
        <v>337</v>
      </c>
      <c r="AW335" s="38">
        <f ca="1">IFERROR(OFFSET(ZPCS04!$A$1,MATCH(F335,ZPCS04!B:B,0)-1,0),100)</f>
        <v>1.9999999000000002</v>
      </c>
      <c r="AX335" s="7"/>
      <c r="AY335" s="6" t="b">
        <f>SUMIF(AS:AS,AS335,AP:AP)=100</f>
        <v>1</v>
      </c>
      <c r="AZ335" s="6" t="b">
        <f>SUMIF(AS:AS,AS335,AE:AE)/COUNTIF(AS:AS,AS335)=AE335</f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>C335&amp;" | "&amp;F335</f>
        <v>90MB1BJ0-C1BAY0 | 10G212226114050</v>
      </c>
      <c r="BE335" s="55" t="str">
        <f ca="1">C335&amp;" | "&amp;OFFSET($AF335,0,8-COUNTBLANK($AG335:$AN335))</f>
        <v>90MB1BJ0-C1BAY0 | 59MB1BJB-MB0A02S</v>
      </c>
      <c r="BF335" s="57">
        <f ca="1">IFERROR(VLOOKUP($BE335,$BD$5:$BF334,3,0)*$AE335,VLOOKUP($C335,Demanda!$A:$B,2,0)*$AE335)*IF(AT335="Phantom Alt",$BC335,TRUE)</f>
        <v>1000</v>
      </c>
      <c r="BG335" s="57">
        <f ca="1">BF335*(AP335/100)</f>
        <v>1000</v>
      </c>
      <c r="BH335" s="57">
        <f>SUMIF(Invoice!A:A,F335,Invoice!B:B)</f>
        <v>10000</v>
      </c>
      <c r="BI335" s="57">
        <f ca="1">SUMIF(AS:AS,AS335,BG:BG)</f>
        <v>1000</v>
      </c>
      <c r="BJ335" s="57">
        <f ca="1">MIN((BI335-SUMIF($AS$5:AS334,AS335,$BJ$5:BJ334)),MAX(0,BH335-SUMIF($F$5:F334,F335,$BJ$5:BJ334)))</f>
        <v>1000</v>
      </c>
      <c r="BK335" s="57">
        <f ca="1">(-SUMIF(AS:AS,AS335,BG:BG)+SUMIF(AS:AS,AS335,BJ:BJ))*(AP335=100)*AR335</f>
        <v>0</v>
      </c>
      <c r="BL335" s="57">
        <f ca="1">MAX(0,SUMIF(Invoice!A:A,F335,Invoice!B:B)-SUMIF(F:F,F335,BJ:BJ))*(COUNTIF(F:F,F335)=COUNTIF($F$5:F335,F335))</f>
        <v>9000</v>
      </c>
    </row>
    <row r="336" spans="1:64" hidden="1">
      <c r="A336" s="43">
        <v>335</v>
      </c>
      <c r="B336" s="35" t="s">
        <v>147</v>
      </c>
      <c r="C336" s="35" t="s">
        <v>146</v>
      </c>
      <c r="D336" s="35">
        <v>2</v>
      </c>
      <c r="E336" s="35">
        <v>1220</v>
      </c>
      <c r="F336" s="64" t="s">
        <v>840</v>
      </c>
      <c r="G336" s="73" t="s">
        <v>841</v>
      </c>
      <c r="H336" s="35" t="s">
        <v>842</v>
      </c>
      <c r="I336" s="35" t="s">
        <v>55</v>
      </c>
      <c r="J336" s="35">
        <v>0</v>
      </c>
      <c r="K336" s="35" t="s">
        <v>150</v>
      </c>
      <c r="L336" s="35" t="s">
        <v>53</v>
      </c>
      <c r="M336" s="35">
        <v>1</v>
      </c>
      <c r="N336" s="35"/>
      <c r="O336" s="35">
        <v>1</v>
      </c>
      <c r="P336" s="35">
        <v>2</v>
      </c>
      <c r="Q336" s="35">
        <v>2</v>
      </c>
      <c r="R336" s="35" t="s">
        <v>73</v>
      </c>
      <c r="S336" s="35" t="s">
        <v>73</v>
      </c>
      <c r="T336" s="36">
        <v>44901</v>
      </c>
      <c r="U336" s="36">
        <v>2958465</v>
      </c>
      <c r="V336" s="35" t="s">
        <v>282</v>
      </c>
      <c r="W336" s="35" t="s">
        <v>145</v>
      </c>
      <c r="X336" s="35"/>
      <c r="Y336" s="35" t="s">
        <v>143</v>
      </c>
      <c r="Z336" s="35">
        <v>7589154</v>
      </c>
      <c r="AA336" s="35">
        <v>560</v>
      </c>
      <c r="AB336" s="35">
        <v>280</v>
      </c>
      <c r="AC336" s="35"/>
      <c r="AE336" s="51">
        <f>M336/O336</f>
        <v>1</v>
      </c>
      <c r="AG336" s="6" t="str">
        <f>C336</f>
        <v>90MB1BJ0-C1BAY0</v>
      </c>
      <c r="AH336" s="6" t="str">
        <f>IF($D336&lt;=AH$4,"",IF(AND($D335=AH$4,$D336&gt;AH$4),$F335,AH335))</f>
        <v>59MB1BJB-MB0A02S</v>
      </c>
      <c r="AI336" s="6" t="str">
        <f>IF($D336&lt;=AI$4,"",IF(AND($D335=AI$4,$D336&gt;AI$4),$F335,AI335))</f>
        <v/>
      </c>
      <c r="AJ336" s="6" t="str">
        <f>IF($D336&lt;=AJ$4,"",IF(AND($D335=AJ$4,$D336&gt;AJ$4),$F335,AJ335))</f>
        <v/>
      </c>
      <c r="AK336" s="6" t="str">
        <f>IF($D336&lt;=AK$4,"",IF(AND($D335=AK$4,$D336&gt;AK$4),$F335,AK335))</f>
        <v/>
      </c>
      <c r="AL336" s="6" t="str">
        <f>IF($D336&lt;=AL$4,"",IF(AND($D335=AL$4,$D336&gt;AL$4),$F335,AL335))</f>
        <v/>
      </c>
      <c r="AM336" s="6" t="str">
        <f>IF($D336&lt;=AM$4,"",IF(AND($D335=AM$4,$D336&gt;AM$4),$F335,AM335))</f>
        <v/>
      </c>
      <c r="AN336" s="6" t="str">
        <f>IF($D336&lt;=AN$4,"",IF(AND($D335=AN$4,$D336&gt;AN$4),$F335,AN335))</f>
        <v/>
      </c>
      <c r="AO336" s="6" t="str">
        <f>CONCATENATE(AG336," | ",AH336," | ",AI336," | ",AJ336," | ",AK336," | ",AL336," | ",AM336," | ",AN336)</f>
        <v xml:space="preserve">90MB1BJ0-C1BAY0 | 59MB1BJB-MB0A02S |  |  |  |  |  | </v>
      </c>
      <c r="AP336" s="6">
        <f>IF(TRIM(H336)="",100,J336)</f>
        <v>0</v>
      </c>
      <c r="AQ336" s="4"/>
      <c r="AR336" s="6" t="b">
        <f>NOT(TRIM(W336)&lt;&gt;"F")</f>
        <v>1</v>
      </c>
      <c r="AS336" s="6" t="str">
        <f>$B336&amp;" | "&amp;$AO336&amp;" | "&amp;IF(TRIM(H336)="","uniq"&amp;ROW(),TRIM(H336))</f>
        <v>461E | 90MB1BJ0-C1BAY0 | 59MB1BJB-MB0A02S |  |  |  |  |  |  | C2</v>
      </c>
      <c r="AT336" s="63">
        <f>IF(NOT(AR336),IF(TRIM($H336)="","Assembly","Phantom Alt"),VLOOKUP(F336,ZPCS04!B:G,6,0))</f>
        <v>1076</v>
      </c>
      <c r="AU336" s="7"/>
      <c r="AV336" s="38">
        <f ca="1">IF(TRIM($W336)="F",OFFSET($A$5,MATCH($AS336,$AS$5:$AS336,0)-1,0),$A336)</f>
        <v>337</v>
      </c>
      <c r="AW336" s="38">
        <f ca="1">IFERROR(OFFSET(ZPCS04!$A$1,MATCH(F336,ZPCS04!B:B,0)-1,0),100)</f>
        <v>2</v>
      </c>
      <c r="AX336" s="7"/>
      <c r="AY336" s="6" t="b">
        <f>SUMIF(AS:AS,AS336,AP:AP)=100</f>
        <v>1</v>
      </c>
      <c r="AZ336" s="6" t="b">
        <f>SUMIF(AS:AS,AS336,AE:AE)/COUNTIF(AS:AS,AS336)=AE336</f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>C336&amp;" | "&amp;F336</f>
        <v>90MB1BJ0-C1BAY0 | 10G212226114010</v>
      </c>
      <c r="BE336" s="55" t="str">
        <f ca="1">C336&amp;" | "&amp;OFFSET($AF336,0,8-COUNTBLANK($AG336:$AN336))</f>
        <v>90MB1BJ0-C1BAY0 | 59MB1BJB-MB0A02S</v>
      </c>
      <c r="BF336" s="57">
        <f ca="1">IFERROR(VLOOKUP($BE336,$BD$5:$BF335,3,0)*$AE336,VLOOKUP($C336,Demanda!$A:$B,2,0)*$AE336)*IF(AT336="Phantom Alt",$BC336,TRUE)</f>
        <v>1000</v>
      </c>
      <c r="BG336" s="57">
        <f ca="1">BF336*(AP336/100)</f>
        <v>0</v>
      </c>
      <c r="BH336" s="57">
        <f>SUMIF(Invoice!A:A,F336,Invoice!B:B)</f>
        <v>0</v>
      </c>
      <c r="BI336" s="57">
        <f ca="1">SUMIF(AS:AS,AS336,BG:BG)</f>
        <v>1000</v>
      </c>
      <c r="BJ336" s="57">
        <f ca="1">MIN((BI336-SUMIF($AS$5:AS335,AS336,$BJ$5:BJ335)),MAX(0,BH336-SUMIF($F$5:F335,F336,$BJ$5:BJ335)))</f>
        <v>0</v>
      </c>
      <c r="BK336" s="57">
        <f ca="1">(-SUMIF(AS:AS,AS336,BG:BG)+SUMIF(AS:AS,AS336,BJ:BJ))*(AP336=100)*AR336</f>
        <v>0</v>
      </c>
      <c r="BL336" s="57">
        <f ca="1">MAX(0,SUMIF(Invoice!A:A,F336,Invoice!B:B)-SUMIF(F:F,F336,BJ:BJ))*(COUNTIF(F:F,F336)=COUNTIF($F$5:F336,F336))</f>
        <v>0</v>
      </c>
    </row>
    <row r="337" spans="1:64" hidden="1">
      <c r="A337" s="43">
        <v>336</v>
      </c>
      <c r="B337" s="35" t="s">
        <v>147</v>
      </c>
      <c r="C337" s="35" t="s">
        <v>146</v>
      </c>
      <c r="D337" s="35">
        <v>2</v>
      </c>
      <c r="E337" s="35">
        <v>1220</v>
      </c>
      <c r="F337" s="64" t="s">
        <v>843</v>
      </c>
      <c r="G337" s="73" t="s">
        <v>844</v>
      </c>
      <c r="H337" s="35" t="s">
        <v>842</v>
      </c>
      <c r="I337" s="35" t="s">
        <v>55</v>
      </c>
      <c r="J337" s="35">
        <v>0</v>
      </c>
      <c r="K337" s="35" t="s">
        <v>150</v>
      </c>
      <c r="L337" s="35" t="s">
        <v>53</v>
      </c>
      <c r="M337" s="35">
        <v>1</v>
      </c>
      <c r="N337" s="35"/>
      <c r="O337" s="35">
        <v>1</v>
      </c>
      <c r="P337" s="35">
        <v>2</v>
      </c>
      <c r="Q337" s="35">
        <v>3</v>
      </c>
      <c r="R337" s="35" t="s">
        <v>73</v>
      </c>
      <c r="S337" s="35" t="s">
        <v>73</v>
      </c>
      <c r="T337" s="36">
        <v>44901</v>
      </c>
      <c r="U337" s="36">
        <v>2958465</v>
      </c>
      <c r="V337" s="35" t="s">
        <v>282</v>
      </c>
      <c r="W337" s="35" t="s">
        <v>145</v>
      </c>
      <c r="X337" s="35"/>
      <c r="Y337" s="35" t="s">
        <v>143</v>
      </c>
      <c r="Z337" s="35">
        <v>7589154</v>
      </c>
      <c r="AA337" s="35">
        <v>562</v>
      </c>
      <c r="AB337" s="35">
        <v>281</v>
      </c>
      <c r="AC337" s="35"/>
      <c r="AE337" s="51">
        <f>M337/O337</f>
        <v>1</v>
      </c>
      <c r="AG337" s="6" t="str">
        <f>C337</f>
        <v>90MB1BJ0-C1BAY0</v>
      </c>
      <c r="AH337" s="6" t="str">
        <f>IF($D337&lt;=AH$4,"",IF(AND($D336=AH$4,$D337&gt;AH$4),$F336,AH336))</f>
        <v>59MB1BJB-MB0A02S</v>
      </c>
      <c r="AI337" s="6" t="str">
        <f>IF($D337&lt;=AI$4,"",IF(AND($D336=AI$4,$D337&gt;AI$4),$F336,AI336))</f>
        <v/>
      </c>
      <c r="AJ337" s="6" t="str">
        <f>IF($D337&lt;=AJ$4,"",IF(AND($D336=AJ$4,$D337&gt;AJ$4),$F336,AJ336))</f>
        <v/>
      </c>
      <c r="AK337" s="6" t="str">
        <f>IF($D337&lt;=AK$4,"",IF(AND($D336=AK$4,$D337&gt;AK$4),$F336,AK336))</f>
        <v/>
      </c>
      <c r="AL337" s="6" t="str">
        <f>IF($D337&lt;=AL$4,"",IF(AND($D336=AL$4,$D337&gt;AL$4),$F336,AL336))</f>
        <v/>
      </c>
      <c r="AM337" s="6" t="str">
        <f>IF($D337&lt;=AM$4,"",IF(AND($D336=AM$4,$D337&gt;AM$4),$F336,AM336))</f>
        <v/>
      </c>
      <c r="AN337" s="6" t="str">
        <f>IF($D337&lt;=AN$4,"",IF(AND($D336=AN$4,$D337&gt;AN$4),$F336,AN336))</f>
        <v/>
      </c>
      <c r="AO337" s="6" t="str">
        <f>CONCATENATE(AG337," | ",AH337," | ",AI337," | ",AJ337," | ",AK337," | ",AL337," | ",AM337," | ",AN337)</f>
        <v xml:space="preserve">90MB1BJ0-C1BAY0 | 59MB1BJB-MB0A02S |  |  |  |  |  | </v>
      </c>
      <c r="AP337" s="6">
        <f>IF(TRIM(H337)="",100,J337)</f>
        <v>0</v>
      </c>
      <c r="AQ337" s="4"/>
      <c r="AR337" s="6" t="b">
        <f>NOT(TRIM(W337)&lt;&gt;"F")</f>
        <v>1</v>
      </c>
      <c r="AS337" s="6" t="str">
        <f>$B337&amp;" | "&amp;$AO337&amp;" | "&amp;IF(TRIM(H337)="","uniq"&amp;ROW(),TRIM(H337))</f>
        <v>461E | 90MB1BJ0-C1BAY0 | 59MB1BJB-MB0A02S |  |  |  |  |  |  | C2</v>
      </c>
      <c r="AT337" s="63">
        <f>IF(NOT(AR337),IF(TRIM($H337)="","Assembly","Phantom Alt"),VLOOKUP(F337,ZPCS04!B:G,6,0))</f>
        <v>1076</v>
      </c>
      <c r="AU337" s="7"/>
      <c r="AV337" s="38">
        <f ca="1">IF(TRIM($W337)="F",OFFSET($A$5,MATCH($AS337,$AS$5:$AS337,0)-1,0),$A337)</f>
        <v>337</v>
      </c>
      <c r="AW337" s="38">
        <f ca="1">IFERROR(OFFSET(ZPCS04!$A$1,MATCH(F337,ZPCS04!B:B,0)-1,0),100)</f>
        <v>2</v>
      </c>
      <c r="AX337" s="7"/>
      <c r="AY337" s="6" t="b">
        <f>SUMIF(AS:AS,AS337,AP:AP)=100</f>
        <v>1</v>
      </c>
      <c r="AZ337" s="6" t="b">
        <f>SUMIF(AS:AS,AS337,AE:AE)/COUNTIF(AS:AS,AS337)=AE337</f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>C337&amp;" | "&amp;F337</f>
        <v>90MB1BJ0-C1BAY0 | 10G212226114020</v>
      </c>
      <c r="BE337" s="55" t="str">
        <f ca="1">C337&amp;" | "&amp;OFFSET($AF337,0,8-COUNTBLANK($AG337:$AN337))</f>
        <v>90MB1BJ0-C1BAY0 | 59MB1BJB-MB0A02S</v>
      </c>
      <c r="BF337" s="57">
        <f ca="1">IFERROR(VLOOKUP($BE337,$BD$5:$BF336,3,0)*$AE337,VLOOKUP($C337,Demanda!$A:$B,2,0)*$AE337)*IF(AT337="Phantom Alt",$BC337,TRUE)</f>
        <v>1000</v>
      </c>
      <c r="BG337" s="57">
        <f ca="1">BF337*(AP337/100)</f>
        <v>0</v>
      </c>
      <c r="BH337" s="57">
        <f>SUMIF(Invoice!A:A,F337,Invoice!B:B)</f>
        <v>0</v>
      </c>
      <c r="BI337" s="57">
        <f ca="1">SUMIF(AS:AS,AS337,BG:BG)</f>
        <v>1000</v>
      </c>
      <c r="BJ337" s="57">
        <f ca="1">MIN((BI337-SUMIF($AS$5:AS336,AS337,$BJ$5:BJ336)),MAX(0,BH337-SUMIF($F$5:F336,F337,$BJ$5:BJ336)))</f>
        <v>0</v>
      </c>
      <c r="BK337" s="57">
        <f ca="1">(-SUMIF(AS:AS,AS337,BG:BG)+SUMIF(AS:AS,AS337,BJ:BJ))*(AP337=100)*AR337</f>
        <v>0</v>
      </c>
      <c r="BL337" s="57">
        <f ca="1">MAX(0,SUMIF(Invoice!A:A,F337,Invoice!B:B)-SUMIF(F:F,F337,BJ:BJ))*(COUNTIF(F:F,F337)=COUNTIF($F$5:F337,F337))</f>
        <v>0</v>
      </c>
    </row>
    <row r="338" spans="1:64" hidden="1">
      <c r="A338" s="43">
        <v>340</v>
      </c>
      <c r="B338" s="35" t="s">
        <v>147</v>
      </c>
      <c r="C338" s="35" t="s">
        <v>146</v>
      </c>
      <c r="D338" s="35">
        <v>2</v>
      </c>
      <c r="E338" s="35">
        <v>1230</v>
      </c>
      <c r="F338" s="64" t="s">
        <v>852</v>
      </c>
      <c r="G338" s="73" t="s">
        <v>853</v>
      </c>
      <c r="H338" s="35" t="s">
        <v>849</v>
      </c>
      <c r="I338" s="35" t="s">
        <v>55</v>
      </c>
      <c r="J338" s="35">
        <v>0</v>
      </c>
      <c r="K338" s="35" t="s">
        <v>150</v>
      </c>
      <c r="L338" s="35" t="s">
        <v>53</v>
      </c>
      <c r="M338" s="35">
        <v>5</v>
      </c>
      <c r="N338" s="35"/>
      <c r="O338" s="35">
        <v>1</v>
      </c>
      <c r="P338" s="35">
        <v>2</v>
      </c>
      <c r="Q338" s="35">
        <v>2</v>
      </c>
      <c r="R338" s="35" t="s">
        <v>73</v>
      </c>
      <c r="S338" s="35" t="s">
        <v>73</v>
      </c>
      <c r="T338" s="36">
        <v>44901</v>
      </c>
      <c r="U338" s="36">
        <v>2958465</v>
      </c>
      <c r="V338" s="35" t="s">
        <v>282</v>
      </c>
      <c r="W338" s="35" t="s">
        <v>145</v>
      </c>
      <c r="X338" s="35"/>
      <c r="Y338" s="35" t="s">
        <v>143</v>
      </c>
      <c r="Z338" s="35">
        <v>7589154</v>
      </c>
      <c r="AA338" s="35">
        <v>566</v>
      </c>
      <c r="AB338" s="35">
        <v>283</v>
      </c>
      <c r="AC338" s="35"/>
      <c r="AE338" s="51">
        <f>M338/O338</f>
        <v>5</v>
      </c>
      <c r="AG338" s="6" t="str">
        <f>C338</f>
        <v>90MB1BJ0-C1BAY0</v>
      </c>
      <c r="AH338" s="6" t="str">
        <f>IF($D338&lt;=AH$4,"",IF(AND($D337=AH$4,$D338&gt;AH$4),$F337,AH337))</f>
        <v>59MB1BJB-MB0A02S</v>
      </c>
      <c r="AI338" s="6" t="str">
        <f>IF($D338&lt;=AI$4,"",IF(AND($D337=AI$4,$D338&gt;AI$4),$F337,AI337))</f>
        <v/>
      </c>
      <c r="AJ338" s="6" t="str">
        <f>IF($D338&lt;=AJ$4,"",IF(AND($D337=AJ$4,$D338&gt;AJ$4),$F337,AJ337))</f>
        <v/>
      </c>
      <c r="AK338" s="6" t="str">
        <f>IF($D338&lt;=AK$4,"",IF(AND($D337=AK$4,$D338&gt;AK$4),$F337,AK337))</f>
        <v/>
      </c>
      <c r="AL338" s="6" t="str">
        <f>IF($D338&lt;=AL$4,"",IF(AND($D337=AL$4,$D338&gt;AL$4),$F337,AL337))</f>
        <v/>
      </c>
      <c r="AM338" s="6" t="str">
        <f>IF($D338&lt;=AM$4,"",IF(AND($D337=AM$4,$D338&gt;AM$4),$F337,AM337))</f>
        <v/>
      </c>
      <c r="AN338" s="6" t="str">
        <f>IF($D338&lt;=AN$4,"",IF(AND($D337=AN$4,$D338&gt;AN$4),$F337,AN337))</f>
        <v/>
      </c>
      <c r="AO338" s="6" t="str">
        <f>CONCATENATE(AG338," | ",AH338," | ",AI338," | ",AJ338," | ",AK338," | ",AL338," | ",AM338," | ",AN338)</f>
        <v xml:space="preserve">90MB1BJ0-C1BAY0 | 59MB1BJB-MB0A02S |  |  |  |  |  | </v>
      </c>
      <c r="AP338" s="6">
        <f>IF(TRIM(H338)="",100,J338)</f>
        <v>0</v>
      </c>
      <c r="AQ338" s="4"/>
      <c r="AR338" s="6" t="b">
        <f>NOT(TRIM(W338)&lt;&gt;"F")</f>
        <v>1</v>
      </c>
      <c r="AS338" s="6" t="str">
        <f>$B338&amp;" | "&amp;$AO338&amp;" | "&amp;IF(TRIM(H338)="","uniq"&amp;ROW(),TRIM(H338))</f>
        <v>461E | 90MB1BJ0-C1BAY0 | 59MB1BJB-MB0A02S |  |  |  |  |  |  | C3</v>
      </c>
      <c r="AT338" s="63">
        <f>IF(NOT(AR338),IF(TRIM($H338)="","Assembly","Phantom Alt"),VLOOKUP(F338,ZPCS04!B:G,6,0))</f>
        <v>665</v>
      </c>
      <c r="AU338" s="7"/>
      <c r="AV338" s="38">
        <f ca="1">IF(TRIM($W338)="F",OFFSET($A$5,MATCH($AS338,$AS$5:$AS338,0)-1,0),$A338)</f>
        <v>340</v>
      </c>
      <c r="AW338" s="38">
        <f ca="1">IFERROR(OFFSET(ZPCS04!$A$1,MATCH(F338,ZPCS04!B:B,0)-1,0),100)</f>
        <v>1.9999999000000002</v>
      </c>
      <c r="AX338" s="7"/>
      <c r="AY338" s="6" t="b">
        <f>SUMIF(AS:AS,AS338,AP:AP)=100</f>
        <v>1</v>
      </c>
      <c r="AZ338" s="6" t="b">
        <f>SUMIF(AS:AS,AS338,AE:AE)/COUNTIF(AS:AS,AS338)=AE338</f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>C338&amp;" | "&amp;F338</f>
        <v>90MB1BJ0-C1BAY0 | 10G21222R014050</v>
      </c>
      <c r="BE338" s="55" t="str">
        <f ca="1">C338&amp;" | "&amp;OFFSET($AF338,0,8-COUNTBLANK($AG338:$AN338))</f>
        <v>90MB1BJ0-C1BAY0 | 59MB1BJB-MB0A02S</v>
      </c>
      <c r="BF338" s="57">
        <f ca="1">IFERROR(VLOOKUP($BE338,$BD$5:$BF337,3,0)*$AE338,VLOOKUP($C338,Demanda!$A:$B,2,0)*$AE338)*IF(AT338="Phantom Alt",$BC338,TRUE)</f>
        <v>5000</v>
      </c>
      <c r="BG338" s="57">
        <f ca="1">BF338*(AP338/100)</f>
        <v>0</v>
      </c>
      <c r="BH338" s="57">
        <f>SUMIF(Invoice!A:A,F338,Invoice!B:B)</f>
        <v>10000</v>
      </c>
      <c r="BI338" s="57">
        <f ca="1">SUMIF(AS:AS,AS338,BG:BG)</f>
        <v>5000</v>
      </c>
      <c r="BJ338" s="57">
        <f ca="1">MIN((BI338-SUMIF($AS$5:AS337,AS338,$BJ$5:BJ337)),MAX(0,BH338-SUMIF($F$5:F337,F338,$BJ$5:BJ337)))</f>
        <v>5000</v>
      </c>
      <c r="BK338" s="57">
        <f ca="1">(-SUMIF(AS:AS,AS338,BG:BG)+SUMIF(AS:AS,AS338,BJ:BJ))*(AP338=100)*AR338</f>
        <v>0</v>
      </c>
      <c r="BL338" s="57">
        <f ca="1">MAX(0,SUMIF(Invoice!A:A,F338,Invoice!B:B)-SUMIF(F:F,F338,BJ:BJ))*(COUNTIF(F:F,F338)=COUNTIF($F$5:F338,F338))</f>
        <v>5000</v>
      </c>
    </row>
    <row r="339" spans="1:64" hidden="1">
      <c r="A339" s="43">
        <v>338</v>
      </c>
      <c r="B339" s="35" t="s">
        <v>147</v>
      </c>
      <c r="C339" s="35" t="s">
        <v>146</v>
      </c>
      <c r="D339" s="35">
        <v>2</v>
      </c>
      <c r="E339" s="35">
        <v>1230</v>
      </c>
      <c r="F339" s="64" t="s">
        <v>847</v>
      </c>
      <c r="G339" s="73" t="s">
        <v>848</v>
      </c>
      <c r="H339" s="35" t="s">
        <v>849</v>
      </c>
      <c r="I339" s="35" t="s">
        <v>54</v>
      </c>
      <c r="J339" s="35">
        <v>100</v>
      </c>
      <c r="K339" s="35" t="s">
        <v>489</v>
      </c>
      <c r="L339" s="35" t="s">
        <v>53</v>
      </c>
      <c r="M339" s="35">
        <v>5</v>
      </c>
      <c r="N339" s="35">
        <v>5</v>
      </c>
      <c r="O339" s="35">
        <v>1</v>
      </c>
      <c r="P339" s="35">
        <v>2</v>
      </c>
      <c r="Q339" s="35">
        <v>1</v>
      </c>
      <c r="R339" s="35" t="s">
        <v>122</v>
      </c>
      <c r="S339" s="35" t="s">
        <v>122</v>
      </c>
      <c r="T339" s="36">
        <v>44901</v>
      </c>
      <c r="U339" s="36">
        <v>2958465</v>
      </c>
      <c r="V339" s="35" t="s">
        <v>282</v>
      </c>
      <c r="W339" s="35" t="s">
        <v>145</v>
      </c>
      <c r="X339" s="35"/>
      <c r="Y339" s="35" t="s">
        <v>143</v>
      </c>
      <c r="Z339" s="35">
        <v>7589154</v>
      </c>
      <c r="AA339" s="35">
        <v>564</v>
      </c>
      <c r="AB339" s="35">
        <v>282</v>
      </c>
      <c r="AC339" s="35"/>
      <c r="AE339" s="51">
        <f>M339/O339</f>
        <v>5</v>
      </c>
      <c r="AG339" s="6" t="str">
        <f>C339</f>
        <v>90MB1BJ0-C1BAY0</v>
      </c>
      <c r="AH339" s="6" t="str">
        <f>IF($D339&lt;=AH$4,"",IF(AND($D338=AH$4,$D339&gt;AH$4),$F338,AH338))</f>
        <v>59MB1BJB-MB0A02S</v>
      </c>
      <c r="AI339" s="6" t="str">
        <f>IF($D339&lt;=AI$4,"",IF(AND($D338=AI$4,$D339&gt;AI$4),$F338,AI338))</f>
        <v/>
      </c>
      <c r="AJ339" s="6" t="str">
        <f>IF($D339&lt;=AJ$4,"",IF(AND($D338=AJ$4,$D339&gt;AJ$4),$F338,AJ338))</f>
        <v/>
      </c>
      <c r="AK339" s="6" t="str">
        <f>IF($D339&lt;=AK$4,"",IF(AND($D338=AK$4,$D339&gt;AK$4),$F338,AK338))</f>
        <v/>
      </c>
      <c r="AL339" s="6" t="str">
        <f>IF($D339&lt;=AL$4,"",IF(AND($D338=AL$4,$D339&gt;AL$4),$F338,AL338))</f>
        <v/>
      </c>
      <c r="AM339" s="6" t="str">
        <f>IF($D339&lt;=AM$4,"",IF(AND($D338=AM$4,$D339&gt;AM$4),$F338,AM338))</f>
        <v/>
      </c>
      <c r="AN339" s="6" t="str">
        <f>IF($D339&lt;=AN$4,"",IF(AND($D338=AN$4,$D339&gt;AN$4),$F338,AN338))</f>
        <v/>
      </c>
      <c r="AO339" s="6" t="str">
        <f>CONCATENATE(AG339," | ",AH339," | ",AI339," | ",AJ339," | ",AK339," | ",AL339," | ",AM339," | ",AN339)</f>
        <v xml:space="preserve">90MB1BJ0-C1BAY0 | 59MB1BJB-MB0A02S |  |  |  |  |  | </v>
      </c>
      <c r="AP339" s="6">
        <f>IF(TRIM(H339)="",100,J339)</f>
        <v>100</v>
      </c>
      <c r="AQ339" s="4"/>
      <c r="AR339" s="6" t="b">
        <f>NOT(TRIM(W339)&lt;&gt;"F")</f>
        <v>1</v>
      </c>
      <c r="AS339" s="6" t="str">
        <f>$B339&amp;" | "&amp;$AO339&amp;" | "&amp;IF(TRIM(H339)="","uniq"&amp;ROW(),TRIM(H339))</f>
        <v>461E | 90MB1BJ0-C1BAY0 | 59MB1BJB-MB0A02S |  |  |  |  |  |  | C3</v>
      </c>
      <c r="AT339" s="63">
        <f>IF(NOT(AR339),IF(TRIM($H339)="","Assembly","Phantom Alt"),VLOOKUP(F339,ZPCS04!B:G,6,0))</f>
        <v>665</v>
      </c>
      <c r="AU339" s="7"/>
      <c r="AV339" s="38">
        <f ca="1">IF(TRIM($W339)="F",OFFSET($A$5,MATCH($AS339,$AS$5:$AS339,0)-1,0),$A339)</f>
        <v>340</v>
      </c>
      <c r="AW339" s="38">
        <f ca="1">IFERROR(OFFSET(ZPCS04!$A$1,MATCH(F339,ZPCS04!B:B,0)-1,0),100)</f>
        <v>2</v>
      </c>
      <c r="AX339" s="7"/>
      <c r="AY339" s="6" t="b">
        <f>SUMIF(AS:AS,AS339,AP:AP)=100</f>
        <v>1</v>
      </c>
      <c r="AZ339" s="6" t="b">
        <f>SUMIF(AS:AS,AS339,AE:AE)/COUNTIF(AS:AS,AS339)=AE339</f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>C339&amp;" | "&amp;F339</f>
        <v>90MB1BJ0-C1BAY0 | 10G21222R014010</v>
      </c>
      <c r="BE339" s="55" t="str">
        <f ca="1">C339&amp;" | "&amp;OFFSET($AF339,0,8-COUNTBLANK($AG339:$AN339))</f>
        <v>90MB1BJ0-C1BAY0 | 59MB1BJB-MB0A02S</v>
      </c>
      <c r="BF339" s="57">
        <f ca="1">IFERROR(VLOOKUP($BE339,$BD$5:$BF338,3,0)*$AE339,VLOOKUP($C339,Demanda!$A:$B,2,0)*$AE339)*IF(AT339="Phantom Alt",$BC339,TRUE)</f>
        <v>5000</v>
      </c>
      <c r="BG339" s="57">
        <f ca="1">BF339*(AP339/100)</f>
        <v>5000</v>
      </c>
      <c r="BH339" s="57">
        <f>SUMIF(Invoice!A:A,F339,Invoice!B:B)</f>
        <v>0</v>
      </c>
      <c r="BI339" s="57">
        <f ca="1">SUMIF(AS:AS,AS339,BG:BG)</f>
        <v>5000</v>
      </c>
      <c r="BJ339" s="57">
        <f ca="1">MIN((BI339-SUMIF($AS$5:AS338,AS339,$BJ$5:BJ338)),MAX(0,BH339-SUMIF($F$5:F338,F339,$BJ$5:BJ338)))</f>
        <v>0</v>
      </c>
      <c r="BK339" s="57">
        <f ca="1">(-SUMIF(AS:AS,AS339,BG:BG)+SUMIF(AS:AS,AS339,BJ:BJ))*(AP339=100)*AR339</f>
        <v>0</v>
      </c>
      <c r="BL339" s="57">
        <f ca="1">MAX(0,SUMIF(Invoice!A:A,F339,Invoice!B:B)-SUMIF(F:F,F339,BJ:BJ))*(COUNTIF(F:F,F339)=COUNTIF($F$5:F339,F339))</f>
        <v>0</v>
      </c>
    </row>
    <row r="340" spans="1:64" hidden="1">
      <c r="A340" s="43">
        <v>339</v>
      </c>
      <c r="B340" s="35" t="s">
        <v>147</v>
      </c>
      <c r="C340" s="35" t="s">
        <v>146</v>
      </c>
      <c r="D340" s="35">
        <v>2</v>
      </c>
      <c r="E340" s="35">
        <v>1230</v>
      </c>
      <c r="F340" s="64" t="s">
        <v>850</v>
      </c>
      <c r="G340" s="73" t="s">
        <v>851</v>
      </c>
      <c r="H340" s="35" t="s">
        <v>849</v>
      </c>
      <c r="I340" s="35" t="s">
        <v>55</v>
      </c>
      <c r="J340" s="35">
        <v>0</v>
      </c>
      <c r="K340" s="35" t="s">
        <v>489</v>
      </c>
      <c r="L340" s="35" t="s">
        <v>53</v>
      </c>
      <c r="M340" s="35">
        <v>5</v>
      </c>
      <c r="N340" s="35"/>
      <c r="O340" s="35">
        <v>1</v>
      </c>
      <c r="P340" s="35">
        <v>2</v>
      </c>
      <c r="Q340" s="35">
        <v>3</v>
      </c>
      <c r="R340" s="35" t="s">
        <v>122</v>
      </c>
      <c r="S340" s="35" t="s">
        <v>122</v>
      </c>
      <c r="T340" s="36">
        <v>44901</v>
      </c>
      <c r="U340" s="36">
        <v>2958465</v>
      </c>
      <c r="V340" s="35" t="s">
        <v>282</v>
      </c>
      <c r="W340" s="35" t="s">
        <v>145</v>
      </c>
      <c r="X340" s="35"/>
      <c r="Y340" s="35" t="s">
        <v>143</v>
      </c>
      <c r="Z340" s="35">
        <v>7589154</v>
      </c>
      <c r="AA340" s="35">
        <v>568</v>
      </c>
      <c r="AB340" s="35">
        <v>284</v>
      </c>
      <c r="AC340" s="35"/>
      <c r="AE340" s="51">
        <f>M340/O340</f>
        <v>5</v>
      </c>
      <c r="AG340" s="6" t="str">
        <f>C340</f>
        <v>90MB1BJ0-C1BAY0</v>
      </c>
      <c r="AH340" s="6" t="str">
        <f>IF($D340&lt;=AH$4,"",IF(AND($D339=AH$4,$D340&gt;AH$4),$F339,AH339))</f>
        <v>59MB1BJB-MB0A02S</v>
      </c>
      <c r="AI340" s="6" t="str">
        <f>IF($D340&lt;=AI$4,"",IF(AND($D339=AI$4,$D340&gt;AI$4),$F339,AI339))</f>
        <v/>
      </c>
      <c r="AJ340" s="6" t="str">
        <f>IF($D340&lt;=AJ$4,"",IF(AND($D339=AJ$4,$D340&gt;AJ$4),$F339,AJ339))</f>
        <v/>
      </c>
      <c r="AK340" s="6" t="str">
        <f>IF($D340&lt;=AK$4,"",IF(AND($D339=AK$4,$D340&gt;AK$4),$F339,AK339))</f>
        <v/>
      </c>
      <c r="AL340" s="6" t="str">
        <f>IF($D340&lt;=AL$4,"",IF(AND($D339=AL$4,$D340&gt;AL$4),$F339,AL339))</f>
        <v/>
      </c>
      <c r="AM340" s="6" t="str">
        <f>IF($D340&lt;=AM$4,"",IF(AND($D339=AM$4,$D340&gt;AM$4),$F339,AM339))</f>
        <v/>
      </c>
      <c r="AN340" s="6" t="str">
        <f>IF($D340&lt;=AN$4,"",IF(AND($D339=AN$4,$D340&gt;AN$4),$F339,AN339))</f>
        <v/>
      </c>
      <c r="AO340" s="6" t="str">
        <f>CONCATENATE(AG340," | ",AH340," | ",AI340," | ",AJ340," | ",AK340," | ",AL340," | ",AM340," | ",AN340)</f>
        <v xml:space="preserve">90MB1BJ0-C1BAY0 | 59MB1BJB-MB0A02S |  |  |  |  |  | </v>
      </c>
      <c r="AP340" s="6">
        <f>IF(TRIM(H340)="",100,J340)</f>
        <v>0</v>
      </c>
      <c r="AQ340" s="4"/>
      <c r="AR340" s="6" t="b">
        <f>NOT(TRIM(W340)&lt;&gt;"F")</f>
        <v>1</v>
      </c>
      <c r="AS340" s="6" t="str">
        <f>$B340&amp;" | "&amp;$AO340&amp;" | "&amp;IF(TRIM(H340)="","uniq"&amp;ROW(),TRIM(H340))</f>
        <v>461E | 90MB1BJ0-C1BAY0 | 59MB1BJB-MB0A02S |  |  |  |  |  |  | C3</v>
      </c>
      <c r="AT340" s="63">
        <f>IF(NOT(AR340),IF(TRIM($H340)="","Assembly","Phantom Alt"),VLOOKUP(F340,ZPCS04!B:G,6,0))</f>
        <v>665</v>
      </c>
      <c r="AU340" s="7"/>
      <c r="AV340" s="38">
        <f ca="1">IF(TRIM($W340)="F",OFFSET($A$5,MATCH($AS340,$AS$5:$AS340,0)-1,0),$A340)</f>
        <v>340</v>
      </c>
      <c r="AW340" s="38">
        <f ca="1">IFERROR(OFFSET(ZPCS04!$A$1,MATCH(F340,ZPCS04!B:B,0)-1,0),100)</f>
        <v>2</v>
      </c>
      <c r="AX340" s="7"/>
      <c r="AY340" s="6" t="b">
        <f>SUMIF(AS:AS,AS340,AP:AP)=100</f>
        <v>1</v>
      </c>
      <c r="AZ340" s="6" t="b">
        <f>SUMIF(AS:AS,AS340,AE:AE)/COUNTIF(AS:AS,AS340)=AE340</f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>C340&amp;" | "&amp;F340</f>
        <v>90MB1BJ0-C1BAY0 | 10G21222R014020</v>
      </c>
      <c r="BE340" s="55" t="str">
        <f ca="1">C340&amp;" | "&amp;OFFSET($AF340,0,8-COUNTBLANK($AG340:$AN340))</f>
        <v>90MB1BJ0-C1BAY0 | 59MB1BJB-MB0A02S</v>
      </c>
      <c r="BF340" s="57">
        <f ca="1">IFERROR(VLOOKUP($BE340,$BD$5:$BF339,3,0)*$AE340,VLOOKUP($C340,Demanda!$A:$B,2,0)*$AE340)*IF(AT340="Phantom Alt",$BC340,TRUE)</f>
        <v>5000</v>
      </c>
      <c r="BG340" s="57">
        <f ca="1">BF340*(AP340/100)</f>
        <v>0</v>
      </c>
      <c r="BH340" s="57">
        <f>SUMIF(Invoice!A:A,F340,Invoice!B:B)</f>
        <v>0</v>
      </c>
      <c r="BI340" s="57">
        <f ca="1">SUMIF(AS:AS,AS340,BG:BG)</f>
        <v>5000</v>
      </c>
      <c r="BJ340" s="57">
        <f ca="1">MIN((BI340-SUMIF($AS$5:AS339,AS340,$BJ$5:BJ339)),MAX(0,BH340-SUMIF($F$5:F339,F340,$BJ$5:BJ339)))</f>
        <v>0</v>
      </c>
      <c r="BK340" s="57">
        <f ca="1">(-SUMIF(AS:AS,AS340,BG:BG)+SUMIF(AS:AS,AS340,BJ:BJ))*(AP340=100)*AR340</f>
        <v>0</v>
      </c>
      <c r="BL340" s="57">
        <f ca="1">MAX(0,SUMIF(Invoice!A:A,F340,Invoice!B:B)-SUMIF(F:F,F340,BJ:BJ))*(COUNTIF(F:F,F340)=COUNTIF($F$5:F340,F340))</f>
        <v>0</v>
      </c>
    </row>
    <row r="341" spans="1:64" hidden="1">
      <c r="A341" s="43">
        <v>342</v>
      </c>
      <c r="B341" s="35" t="s">
        <v>147</v>
      </c>
      <c r="C341" s="35" t="s">
        <v>146</v>
      </c>
      <c r="D341" s="35">
        <v>2</v>
      </c>
      <c r="E341" s="35">
        <v>1240</v>
      </c>
      <c r="F341" s="64" t="s">
        <v>857</v>
      </c>
      <c r="G341" s="73" t="s">
        <v>858</v>
      </c>
      <c r="H341" s="35" t="s">
        <v>856</v>
      </c>
      <c r="I341" s="35" t="s">
        <v>55</v>
      </c>
      <c r="J341" s="35">
        <v>0</v>
      </c>
      <c r="K341" s="35" t="s">
        <v>489</v>
      </c>
      <c r="L341" s="35" t="s">
        <v>53</v>
      </c>
      <c r="M341" s="35">
        <v>1</v>
      </c>
      <c r="N341" s="35"/>
      <c r="O341" s="35">
        <v>1</v>
      </c>
      <c r="P341" s="35">
        <v>2</v>
      </c>
      <c r="Q341" s="35">
        <v>2</v>
      </c>
      <c r="R341" s="35" t="s">
        <v>73</v>
      </c>
      <c r="S341" s="35" t="s">
        <v>73</v>
      </c>
      <c r="T341" s="36">
        <v>44901</v>
      </c>
      <c r="U341" s="36">
        <v>2958465</v>
      </c>
      <c r="V341" s="35" t="s">
        <v>282</v>
      </c>
      <c r="W341" s="35" t="s">
        <v>145</v>
      </c>
      <c r="X341" s="35"/>
      <c r="Y341" s="35" t="s">
        <v>143</v>
      </c>
      <c r="Z341" s="35">
        <v>7589154</v>
      </c>
      <c r="AA341" s="35">
        <v>572</v>
      </c>
      <c r="AB341" s="35">
        <v>286</v>
      </c>
      <c r="AC341" s="35"/>
      <c r="AE341" s="51">
        <f>M341/O341</f>
        <v>1</v>
      </c>
      <c r="AG341" s="6" t="str">
        <f>C341</f>
        <v>90MB1BJ0-C1BAY0</v>
      </c>
      <c r="AH341" s="6" t="str">
        <f>IF($D341&lt;=AH$4,"",IF(AND($D340=AH$4,$D341&gt;AH$4),$F340,AH340))</f>
        <v>59MB1BJB-MB0A02S</v>
      </c>
      <c r="AI341" s="6" t="str">
        <f>IF($D341&lt;=AI$4,"",IF(AND($D340=AI$4,$D341&gt;AI$4),$F340,AI340))</f>
        <v/>
      </c>
      <c r="AJ341" s="6" t="str">
        <f>IF($D341&lt;=AJ$4,"",IF(AND($D340=AJ$4,$D341&gt;AJ$4),$F340,AJ340))</f>
        <v/>
      </c>
      <c r="AK341" s="6" t="str">
        <f>IF($D341&lt;=AK$4,"",IF(AND($D340=AK$4,$D341&gt;AK$4),$F340,AK340))</f>
        <v/>
      </c>
      <c r="AL341" s="6" t="str">
        <f>IF($D341&lt;=AL$4,"",IF(AND($D340=AL$4,$D341&gt;AL$4),$F340,AL340))</f>
        <v/>
      </c>
      <c r="AM341" s="6" t="str">
        <f>IF($D341&lt;=AM$4,"",IF(AND($D340=AM$4,$D341&gt;AM$4),$F340,AM340))</f>
        <v/>
      </c>
      <c r="AN341" s="6" t="str">
        <f>IF($D341&lt;=AN$4,"",IF(AND($D340=AN$4,$D341&gt;AN$4),$F340,AN340))</f>
        <v/>
      </c>
      <c r="AO341" s="6" t="str">
        <f>CONCATENATE(AG341," | ",AH341," | ",AI341," | ",AJ341," | ",AK341," | ",AL341," | ",AM341," | ",AN341)</f>
        <v xml:space="preserve">90MB1BJ0-C1BAY0 | 59MB1BJB-MB0A02S |  |  |  |  |  | </v>
      </c>
      <c r="AP341" s="6">
        <f>IF(TRIM(H341)="",100,J341)</f>
        <v>0</v>
      </c>
      <c r="AQ341" s="4"/>
      <c r="AR341" s="6" t="b">
        <f>NOT(TRIM(W341)&lt;&gt;"F")</f>
        <v>1</v>
      </c>
      <c r="AS341" s="6" t="str">
        <f>$B341&amp;" | "&amp;$AO341&amp;" | "&amp;IF(TRIM(H341)="","uniq"&amp;ROW(),TRIM(H341))</f>
        <v>461E | 90MB1BJ0-C1BAY0 | 59MB1BJB-MB0A02S |  |  |  |  |  |  | C4</v>
      </c>
      <c r="AT341" s="63">
        <f>IF(NOT(AR341),IF(TRIM($H341)="","Assembly","Phantom Alt"),VLOOKUP(F341,ZPCS04!B:G,6,0))</f>
        <v>960</v>
      </c>
      <c r="AU341" s="7"/>
      <c r="AV341" s="38">
        <f ca="1">IF(TRIM($W341)="F",OFFSET($A$5,MATCH($AS341,$AS$5:$AS341,0)-1,0),$A341)</f>
        <v>342</v>
      </c>
      <c r="AW341" s="38">
        <f ca="1">IFERROR(OFFSET(ZPCS04!$A$1,MATCH(F341,ZPCS04!B:B,0)-1,0),100)</f>
        <v>1.9999999000000002</v>
      </c>
      <c r="AX341" s="7"/>
      <c r="AY341" s="6" t="b">
        <f>SUMIF(AS:AS,AS341,AP:AP)=100</f>
        <v>1</v>
      </c>
      <c r="AZ341" s="6" t="b">
        <f>SUMIF(AS:AS,AS341,AE:AE)/COUNTIF(AS:AS,AS341)=AE341</f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>C341&amp;" | "&amp;F341</f>
        <v>90MB1BJ0-C1BAY0 | 10G212232114020</v>
      </c>
      <c r="BE341" s="55" t="str">
        <f ca="1">C341&amp;" | "&amp;OFFSET($AF341,0,8-COUNTBLANK($AG341:$AN341))</f>
        <v>90MB1BJ0-C1BAY0 | 59MB1BJB-MB0A02S</v>
      </c>
      <c r="BF341" s="57">
        <f ca="1">IFERROR(VLOOKUP($BE341,$BD$5:$BF340,3,0)*$AE341,VLOOKUP($C341,Demanda!$A:$B,2,0)*$AE341)*IF(AT341="Phantom Alt",$BC341,TRUE)</f>
        <v>1000</v>
      </c>
      <c r="BG341" s="57">
        <f ca="1">BF341*(AP341/100)</f>
        <v>0</v>
      </c>
      <c r="BH341" s="57">
        <f>SUMIF(Invoice!A:A,F341,Invoice!B:B)</f>
        <v>10000</v>
      </c>
      <c r="BI341" s="57">
        <f ca="1">SUMIF(AS:AS,AS341,BG:BG)</f>
        <v>1000</v>
      </c>
      <c r="BJ341" s="57">
        <f ca="1">MIN((BI341-SUMIF($AS$5:AS340,AS341,$BJ$5:BJ340)),MAX(0,BH341-SUMIF($F$5:F340,F341,$BJ$5:BJ340)))</f>
        <v>1000</v>
      </c>
      <c r="BK341" s="57">
        <f ca="1">(-SUMIF(AS:AS,AS341,BG:BG)+SUMIF(AS:AS,AS341,BJ:BJ))*(AP341=100)*AR341</f>
        <v>0</v>
      </c>
      <c r="BL341" s="57">
        <f ca="1">MAX(0,SUMIF(Invoice!A:A,F341,Invoice!B:B)-SUMIF(F:F,F341,BJ:BJ))*(COUNTIF(F:F,F341)=COUNTIF($F$5:F341,F341))</f>
        <v>9000</v>
      </c>
    </row>
    <row r="342" spans="1:64" hidden="1">
      <c r="A342" s="43">
        <v>341</v>
      </c>
      <c r="B342" s="35" t="s">
        <v>147</v>
      </c>
      <c r="C342" s="35" t="s">
        <v>146</v>
      </c>
      <c r="D342" s="35">
        <v>2</v>
      </c>
      <c r="E342" s="35">
        <v>1240</v>
      </c>
      <c r="F342" s="64" t="s">
        <v>854</v>
      </c>
      <c r="G342" s="73" t="s">
        <v>855</v>
      </c>
      <c r="H342" s="35" t="s">
        <v>856</v>
      </c>
      <c r="I342" s="35" t="s">
        <v>54</v>
      </c>
      <c r="J342" s="35">
        <v>100</v>
      </c>
      <c r="K342" s="35" t="s">
        <v>489</v>
      </c>
      <c r="L342" s="35" t="s">
        <v>53</v>
      </c>
      <c r="M342" s="35">
        <v>1</v>
      </c>
      <c r="N342" s="35">
        <v>1</v>
      </c>
      <c r="O342" s="35">
        <v>1</v>
      </c>
      <c r="P342" s="35">
        <v>2</v>
      </c>
      <c r="Q342" s="35">
        <v>1</v>
      </c>
      <c r="R342" s="35" t="s">
        <v>73</v>
      </c>
      <c r="S342" s="35" t="s">
        <v>73</v>
      </c>
      <c r="T342" s="36">
        <v>44901</v>
      </c>
      <c r="U342" s="36">
        <v>2958465</v>
      </c>
      <c r="V342" s="35" t="s">
        <v>282</v>
      </c>
      <c r="W342" s="35" t="s">
        <v>145</v>
      </c>
      <c r="X342" s="35"/>
      <c r="Y342" s="35" t="s">
        <v>143</v>
      </c>
      <c r="Z342" s="35">
        <v>7589154</v>
      </c>
      <c r="AA342" s="35">
        <v>570</v>
      </c>
      <c r="AB342" s="35">
        <v>285</v>
      </c>
      <c r="AC342" s="35"/>
      <c r="AE342" s="51">
        <f>M342/O342</f>
        <v>1</v>
      </c>
      <c r="AG342" s="6" t="str">
        <f>C342</f>
        <v>90MB1BJ0-C1BAY0</v>
      </c>
      <c r="AH342" s="6" t="str">
        <f>IF($D342&lt;=AH$4,"",IF(AND($D341=AH$4,$D342&gt;AH$4),$F341,AH341))</f>
        <v>59MB1BJB-MB0A02S</v>
      </c>
      <c r="AI342" s="6" t="str">
        <f>IF($D342&lt;=AI$4,"",IF(AND($D341=AI$4,$D342&gt;AI$4),$F341,AI341))</f>
        <v/>
      </c>
      <c r="AJ342" s="6" t="str">
        <f>IF($D342&lt;=AJ$4,"",IF(AND($D341=AJ$4,$D342&gt;AJ$4),$F341,AJ341))</f>
        <v/>
      </c>
      <c r="AK342" s="6" t="str">
        <f>IF($D342&lt;=AK$4,"",IF(AND($D341=AK$4,$D342&gt;AK$4),$F341,AK341))</f>
        <v/>
      </c>
      <c r="AL342" s="6" t="str">
        <f>IF($D342&lt;=AL$4,"",IF(AND($D341=AL$4,$D342&gt;AL$4),$F341,AL341))</f>
        <v/>
      </c>
      <c r="AM342" s="6" t="str">
        <f>IF($D342&lt;=AM$4,"",IF(AND($D341=AM$4,$D342&gt;AM$4),$F341,AM341))</f>
        <v/>
      </c>
      <c r="AN342" s="6" t="str">
        <f>IF($D342&lt;=AN$4,"",IF(AND($D341=AN$4,$D342&gt;AN$4),$F341,AN341))</f>
        <v/>
      </c>
      <c r="AO342" s="6" t="str">
        <f>CONCATENATE(AG342," | ",AH342," | ",AI342," | ",AJ342," | ",AK342," | ",AL342," | ",AM342," | ",AN342)</f>
        <v xml:space="preserve">90MB1BJ0-C1BAY0 | 59MB1BJB-MB0A02S |  |  |  |  |  | </v>
      </c>
      <c r="AP342" s="6">
        <f>IF(TRIM(H342)="",100,J342)</f>
        <v>100</v>
      </c>
      <c r="AQ342" s="4"/>
      <c r="AR342" s="6" t="b">
        <f>NOT(TRIM(W342)&lt;&gt;"F")</f>
        <v>1</v>
      </c>
      <c r="AS342" s="6" t="str">
        <f>$B342&amp;" | "&amp;$AO342&amp;" | "&amp;IF(TRIM(H342)="","uniq"&amp;ROW(),TRIM(H342))</f>
        <v>461E | 90MB1BJ0-C1BAY0 | 59MB1BJB-MB0A02S |  |  |  |  |  |  | C4</v>
      </c>
      <c r="AT342" s="63">
        <f>IF(NOT(AR342),IF(TRIM($H342)="","Assembly","Phantom Alt"),VLOOKUP(F342,ZPCS04!B:G,6,0))</f>
        <v>960</v>
      </c>
      <c r="AU342" s="7"/>
      <c r="AV342" s="38">
        <f ca="1">IF(TRIM($W342)="F",OFFSET($A$5,MATCH($AS342,$AS$5:$AS342,0)-1,0),$A342)</f>
        <v>342</v>
      </c>
      <c r="AW342" s="38">
        <f ca="1">IFERROR(OFFSET(ZPCS04!$A$1,MATCH(F342,ZPCS04!B:B,0)-1,0),100)</f>
        <v>2</v>
      </c>
      <c r="AX342" s="7"/>
      <c r="AY342" s="6" t="b">
        <f>SUMIF(AS:AS,AS342,AP:AP)=100</f>
        <v>1</v>
      </c>
      <c r="AZ342" s="6" t="b">
        <f>SUMIF(AS:AS,AS342,AE:AE)/COUNTIF(AS:AS,AS342)=AE342</f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>C342&amp;" | "&amp;F342</f>
        <v>90MB1BJ0-C1BAY0 | 10G212232114010</v>
      </c>
      <c r="BE342" s="55" t="str">
        <f ca="1">C342&amp;" | "&amp;OFFSET($AF342,0,8-COUNTBLANK($AG342:$AN342))</f>
        <v>90MB1BJ0-C1BAY0 | 59MB1BJB-MB0A02S</v>
      </c>
      <c r="BF342" s="57">
        <f ca="1">IFERROR(VLOOKUP($BE342,$BD$5:$BF341,3,0)*$AE342,VLOOKUP($C342,Demanda!$A:$B,2,0)*$AE342)*IF(AT342="Phantom Alt",$BC342,TRUE)</f>
        <v>1000</v>
      </c>
      <c r="BG342" s="57">
        <f ca="1">BF342*(AP342/100)</f>
        <v>1000</v>
      </c>
      <c r="BH342" s="57">
        <f>SUMIF(Invoice!A:A,F342,Invoice!B:B)</f>
        <v>0</v>
      </c>
      <c r="BI342" s="57">
        <f ca="1">SUMIF(AS:AS,AS342,BG:BG)</f>
        <v>1000</v>
      </c>
      <c r="BJ342" s="57">
        <f ca="1">MIN((BI342-SUMIF($AS$5:AS341,AS342,$BJ$5:BJ341)),MAX(0,BH342-SUMIF($F$5:F341,F342,$BJ$5:BJ341)))</f>
        <v>0</v>
      </c>
      <c r="BK342" s="57">
        <f ca="1">(-SUMIF(AS:AS,AS342,BG:BG)+SUMIF(AS:AS,AS342,BJ:BJ))*(AP342=100)*AR342</f>
        <v>0</v>
      </c>
      <c r="BL342" s="57">
        <f ca="1">MAX(0,SUMIF(Invoice!A:A,F342,Invoice!B:B)-SUMIF(F:F,F342,BJ:BJ))*(COUNTIF(F:F,F342)=COUNTIF($F$5:F342,F342))</f>
        <v>0</v>
      </c>
    </row>
    <row r="343" spans="1:64" hidden="1">
      <c r="A343" s="43">
        <v>345</v>
      </c>
      <c r="B343" s="35" t="s">
        <v>147</v>
      </c>
      <c r="C343" s="35" t="s">
        <v>146</v>
      </c>
      <c r="D343" s="35">
        <v>2</v>
      </c>
      <c r="E343" s="35">
        <v>1250</v>
      </c>
      <c r="F343" s="64" t="s">
        <v>864</v>
      </c>
      <c r="G343" s="73" t="s">
        <v>865</v>
      </c>
      <c r="H343" s="35" t="s">
        <v>861</v>
      </c>
      <c r="I343" s="35" t="s">
        <v>55</v>
      </c>
      <c r="J343" s="35">
        <v>0</v>
      </c>
      <c r="K343" s="35" t="s">
        <v>150</v>
      </c>
      <c r="L343" s="35" t="s">
        <v>53</v>
      </c>
      <c r="M343" s="35">
        <v>1</v>
      </c>
      <c r="N343" s="35"/>
      <c r="O343" s="35">
        <v>1</v>
      </c>
      <c r="P343" s="35">
        <v>2</v>
      </c>
      <c r="Q343" s="35">
        <v>2</v>
      </c>
      <c r="R343" s="35" t="s">
        <v>73</v>
      </c>
      <c r="S343" s="35" t="s">
        <v>73</v>
      </c>
      <c r="T343" s="36">
        <v>44901</v>
      </c>
      <c r="U343" s="36">
        <v>2958465</v>
      </c>
      <c r="V343" s="35" t="s">
        <v>282</v>
      </c>
      <c r="W343" s="35" t="s">
        <v>145</v>
      </c>
      <c r="X343" s="35"/>
      <c r="Y343" s="35" t="s">
        <v>143</v>
      </c>
      <c r="Z343" s="35">
        <v>7589154</v>
      </c>
      <c r="AA343" s="35">
        <v>576</v>
      </c>
      <c r="AB343" s="35">
        <v>288</v>
      </c>
      <c r="AC343" s="35" t="s">
        <v>144</v>
      </c>
      <c r="AE343" s="51">
        <f>M343/O343</f>
        <v>1</v>
      </c>
      <c r="AG343" s="6" t="str">
        <f>C343</f>
        <v>90MB1BJ0-C1BAY0</v>
      </c>
      <c r="AH343" s="6" t="str">
        <f>IF($D343&lt;=AH$4,"",IF(AND($D342=AH$4,$D343&gt;AH$4),$F342,AH342))</f>
        <v>59MB1BJB-MB0A02S</v>
      </c>
      <c r="AI343" s="6" t="str">
        <f>IF($D343&lt;=AI$4,"",IF(AND($D342=AI$4,$D343&gt;AI$4),$F342,AI342))</f>
        <v/>
      </c>
      <c r="AJ343" s="6" t="str">
        <f>IF($D343&lt;=AJ$4,"",IF(AND($D342=AJ$4,$D343&gt;AJ$4),$F342,AJ342))</f>
        <v/>
      </c>
      <c r="AK343" s="6" t="str">
        <f>IF($D343&lt;=AK$4,"",IF(AND($D342=AK$4,$D343&gt;AK$4),$F342,AK342))</f>
        <v/>
      </c>
      <c r="AL343" s="6" t="str">
        <f>IF($D343&lt;=AL$4,"",IF(AND($D342=AL$4,$D343&gt;AL$4),$F342,AL342))</f>
        <v/>
      </c>
      <c r="AM343" s="6" t="str">
        <f>IF($D343&lt;=AM$4,"",IF(AND($D342=AM$4,$D343&gt;AM$4),$F342,AM342))</f>
        <v/>
      </c>
      <c r="AN343" s="6" t="str">
        <f>IF($D343&lt;=AN$4,"",IF(AND($D342=AN$4,$D343&gt;AN$4),$F342,AN342))</f>
        <v/>
      </c>
      <c r="AO343" s="6" t="str">
        <f>CONCATENATE(AG343," | ",AH343," | ",AI343," | ",AJ343," | ",AK343," | ",AL343," | ",AM343," | ",AN343)</f>
        <v xml:space="preserve">90MB1BJ0-C1BAY0 | 59MB1BJB-MB0A02S |  |  |  |  |  | </v>
      </c>
      <c r="AP343" s="6">
        <f>IF(TRIM(H343)="",100,J343)</f>
        <v>0</v>
      </c>
      <c r="AQ343" s="4"/>
      <c r="AR343" s="6" t="b">
        <f>NOT(TRIM(W343)&lt;&gt;"F")</f>
        <v>1</v>
      </c>
      <c r="AS343" s="6" t="str">
        <f>$B343&amp;" | "&amp;$AO343&amp;" | "&amp;IF(TRIM(H343)="","uniq"&amp;ROW(),TRIM(H343))</f>
        <v>461E | 90MB1BJ0-C1BAY0 | 59MB1BJB-MB0A02S |  |  |  |  |  |  | C5</v>
      </c>
      <c r="AT343" s="63">
        <f>IF(NOT(AR343),IF(TRIM($H343)="","Assembly","Phantom Alt"),VLOOKUP(F343,ZPCS04!B:G,6,0))</f>
        <v>1264</v>
      </c>
      <c r="AU343" s="7"/>
      <c r="AV343" s="38">
        <f ca="1">IF(TRIM($W343)="F",OFFSET($A$5,MATCH($AS343,$AS$5:$AS343,0)-1,0),$A343)</f>
        <v>345</v>
      </c>
      <c r="AW343" s="38">
        <f ca="1">IFERROR(OFFSET(ZPCS04!$A$1,MATCH(F343,ZPCS04!B:B,0)-1,0),100)</f>
        <v>1.9999999000000002</v>
      </c>
      <c r="AX343" s="7"/>
      <c r="AY343" s="6" t="b">
        <f>SUMIF(AS:AS,AS343,AP:AP)=100</f>
        <v>1</v>
      </c>
      <c r="AZ343" s="6" t="b">
        <f>SUMIF(AS:AS,AS343,AE:AE)/COUNTIF(AS:AS,AS343)=AE343</f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>C343&amp;" | "&amp;F343</f>
        <v>90MB1BJ0-C1BAY0 | 10G212232214050</v>
      </c>
      <c r="BE343" s="55" t="str">
        <f ca="1">C343&amp;" | "&amp;OFFSET($AF343,0,8-COUNTBLANK($AG343:$AN343))</f>
        <v>90MB1BJ0-C1BAY0 | 59MB1BJB-MB0A02S</v>
      </c>
      <c r="BF343" s="57">
        <f ca="1">IFERROR(VLOOKUP($BE343,$BD$5:$BF342,3,0)*$AE343,VLOOKUP($C343,Demanda!$A:$B,2,0)*$AE343)*IF(AT343="Phantom Alt",$BC343,TRUE)</f>
        <v>1000</v>
      </c>
      <c r="BG343" s="57">
        <f ca="1">BF343*(AP343/100)</f>
        <v>0</v>
      </c>
      <c r="BH343" s="57">
        <f>SUMIF(Invoice!A:A,F343,Invoice!B:B)</f>
        <v>10000</v>
      </c>
      <c r="BI343" s="57">
        <f ca="1">SUMIF(AS:AS,AS343,BG:BG)</f>
        <v>1000</v>
      </c>
      <c r="BJ343" s="57">
        <f ca="1">MIN((BI343-SUMIF($AS$5:AS342,AS343,$BJ$5:BJ342)),MAX(0,BH343-SUMIF($F$5:F342,F343,$BJ$5:BJ342)))</f>
        <v>1000</v>
      </c>
      <c r="BK343" s="57">
        <f ca="1">(-SUMIF(AS:AS,AS343,BG:BG)+SUMIF(AS:AS,AS343,BJ:BJ))*(AP343=100)*AR343</f>
        <v>0</v>
      </c>
      <c r="BL343" s="57">
        <f ca="1">MAX(0,SUMIF(Invoice!A:A,F343,Invoice!B:B)-SUMIF(F:F,F343,BJ:BJ))*(COUNTIF(F:F,F343)=COUNTIF($F$5:F343,F343))</f>
        <v>9000</v>
      </c>
    </row>
    <row r="344" spans="1:64" hidden="1">
      <c r="A344" s="43">
        <v>343</v>
      </c>
      <c r="B344" s="35" t="s">
        <v>147</v>
      </c>
      <c r="C344" s="35" t="s">
        <v>146</v>
      </c>
      <c r="D344" s="35">
        <v>2</v>
      </c>
      <c r="E344" s="35">
        <v>1250</v>
      </c>
      <c r="F344" s="64" t="s">
        <v>859</v>
      </c>
      <c r="G344" s="73" t="s">
        <v>860</v>
      </c>
      <c r="H344" s="35" t="s">
        <v>861</v>
      </c>
      <c r="I344" s="35" t="s">
        <v>55</v>
      </c>
      <c r="J344" s="35">
        <v>0</v>
      </c>
      <c r="K344" s="35" t="s">
        <v>489</v>
      </c>
      <c r="L344" s="35" t="s">
        <v>53</v>
      </c>
      <c r="M344" s="35">
        <v>1</v>
      </c>
      <c r="N344" s="35"/>
      <c r="O344" s="35">
        <v>1</v>
      </c>
      <c r="P344" s="35">
        <v>2</v>
      </c>
      <c r="Q344" s="35">
        <v>3</v>
      </c>
      <c r="R344" s="35" t="s">
        <v>73</v>
      </c>
      <c r="S344" s="35" t="s">
        <v>73</v>
      </c>
      <c r="T344" s="36">
        <v>44901</v>
      </c>
      <c r="U344" s="36">
        <v>2958465</v>
      </c>
      <c r="V344" s="35" t="s">
        <v>282</v>
      </c>
      <c r="W344" s="35" t="s">
        <v>145</v>
      </c>
      <c r="X344" s="35"/>
      <c r="Y344" s="35" t="s">
        <v>143</v>
      </c>
      <c r="Z344" s="35">
        <v>7589154</v>
      </c>
      <c r="AA344" s="35">
        <v>578</v>
      </c>
      <c r="AB344" s="35">
        <v>289</v>
      </c>
      <c r="AC344" s="35"/>
      <c r="AE344" s="51">
        <f>M344/O344</f>
        <v>1</v>
      </c>
      <c r="AG344" s="6" t="str">
        <f>C344</f>
        <v>90MB1BJ0-C1BAY0</v>
      </c>
      <c r="AH344" s="6" t="str">
        <f>IF($D344&lt;=AH$4,"",IF(AND($D343=AH$4,$D344&gt;AH$4),$F343,AH343))</f>
        <v>59MB1BJB-MB0A02S</v>
      </c>
      <c r="AI344" s="6" t="str">
        <f>IF($D344&lt;=AI$4,"",IF(AND($D343=AI$4,$D344&gt;AI$4),$F343,AI343))</f>
        <v/>
      </c>
      <c r="AJ344" s="6" t="str">
        <f>IF($D344&lt;=AJ$4,"",IF(AND($D343=AJ$4,$D344&gt;AJ$4),$F343,AJ343))</f>
        <v/>
      </c>
      <c r="AK344" s="6" t="str">
        <f>IF($D344&lt;=AK$4,"",IF(AND($D343=AK$4,$D344&gt;AK$4),$F343,AK343))</f>
        <v/>
      </c>
      <c r="AL344" s="6" t="str">
        <f>IF($D344&lt;=AL$4,"",IF(AND($D343=AL$4,$D344&gt;AL$4),$F343,AL343))</f>
        <v/>
      </c>
      <c r="AM344" s="6" t="str">
        <f>IF($D344&lt;=AM$4,"",IF(AND($D343=AM$4,$D344&gt;AM$4),$F343,AM343))</f>
        <v/>
      </c>
      <c r="AN344" s="6" t="str">
        <f>IF($D344&lt;=AN$4,"",IF(AND($D343=AN$4,$D344&gt;AN$4),$F343,AN343))</f>
        <v/>
      </c>
      <c r="AO344" s="6" t="str">
        <f>CONCATENATE(AG344," | ",AH344," | ",AI344," | ",AJ344," | ",AK344," | ",AL344," | ",AM344," | ",AN344)</f>
        <v xml:space="preserve">90MB1BJ0-C1BAY0 | 59MB1BJB-MB0A02S |  |  |  |  |  | </v>
      </c>
      <c r="AP344" s="6">
        <f>IF(TRIM(H344)="",100,J344)</f>
        <v>0</v>
      </c>
      <c r="AQ344" s="4"/>
      <c r="AR344" s="6" t="b">
        <f>NOT(TRIM(W344)&lt;&gt;"F")</f>
        <v>1</v>
      </c>
      <c r="AS344" s="6" t="str">
        <f>$B344&amp;" | "&amp;$AO344&amp;" | "&amp;IF(TRIM(H344)="","uniq"&amp;ROW(),TRIM(H344))</f>
        <v>461E | 90MB1BJ0-C1BAY0 | 59MB1BJB-MB0A02S |  |  |  |  |  |  | C5</v>
      </c>
      <c r="AT344" s="63">
        <f>IF(NOT(AR344),IF(TRIM($H344)="","Assembly","Phantom Alt"),VLOOKUP(F344,ZPCS04!B:G,6,0))</f>
        <v>1264</v>
      </c>
      <c r="AU344" s="7"/>
      <c r="AV344" s="38">
        <f ca="1">IF(TRIM($W344)="F",OFFSET($A$5,MATCH($AS344,$AS$5:$AS344,0)-1,0),$A344)</f>
        <v>345</v>
      </c>
      <c r="AW344" s="38">
        <f ca="1">IFERROR(OFFSET(ZPCS04!$A$1,MATCH(F344,ZPCS04!B:B,0)-1,0),100)</f>
        <v>2</v>
      </c>
      <c r="AX344" s="7"/>
      <c r="AY344" s="6" t="b">
        <f>SUMIF(AS:AS,AS344,AP:AP)=100</f>
        <v>1</v>
      </c>
      <c r="AZ344" s="6" t="b">
        <f>SUMIF(AS:AS,AS344,AE:AE)/COUNTIF(AS:AS,AS344)=AE344</f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>C344&amp;" | "&amp;F344</f>
        <v>90MB1BJ0-C1BAY0 | 10G212232214010</v>
      </c>
      <c r="BE344" s="55" t="str">
        <f ca="1">C344&amp;" | "&amp;OFFSET($AF344,0,8-COUNTBLANK($AG344:$AN344))</f>
        <v>90MB1BJ0-C1BAY0 | 59MB1BJB-MB0A02S</v>
      </c>
      <c r="BF344" s="57">
        <f ca="1">IFERROR(VLOOKUP($BE344,$BD$5:$BF343,3,0)*$AE344,VLOOKUP($C344,Demanda!$A:$B,2,0)*$AE344)*IF(AT344="Phantom Alt",$BC344,TRUE)</f>
        <v>1000</v>
      </c>
      <c r="BG344" s="57">
        <f ca="1">BF344*(AP344/100)</f>
        <v>0</v>
      </c>
      <c r="BH344" s="57">
        <f>SUMIF(Invoice!A:A,F344,Invoice!B:B)</f>
        <v>0</v>
      </c>
      <c r="BI344" s="57">
        <f ca="1">SUMIF(AS:AS,AS344,BG:BG)</f>
        <v>1000</v>
      </c>
      <c r="BJ344" s="57">
        <f ca="1">MIN((BI344-SUMIF($AS$5:AS343,AS344,$BJ$5:BJ343)),MAX(0,BH344-SUMIF($F$5:F343,F344,$BJ$5:BJ343)))</f>
        <v>0</v>
      </c>
      <c r="BK344" s="57">
        <f ca="1">(-SUMIF(AS:AS,AS344,BG:BG)+SUMIF(AS:AS,AS344,BJ:BJ))*(AP344=100)*AR344</f>
        <v>0</v>
      </c>
      <c r="BL344" s="57">
        <f ca="1">MAX(0,SUMIF(Invoice!A:A,F344,Invoice!B:B)-SUMIF(F:F,F344,BJ:BJ))*(COUNTIF(F:F,F344)=COUNTIF($F$5:F344,F344))</f>
        <v>0</v>
      </c>
    </row>
    <row r="345" spans="1:64" hidden="1">
      <c r="A345" s="43">
        <v>344</v>
      </c>
      <c r="B345" s="35" t="s">
        <v>147</v>
      </c>
      <c r="C345" s="35" t="s">
        <v>146</v>
      </c>
      <c r="D345" s="35">
        <v>2</v>
      </c>
      <c r="E345" s="35">
        <v>1250</v>
      </c>
      <c r="F345" s="64" t="s">
        <v>862</v>
      </c>
      <c r="G345" s="73" t="s">
        <v>863</v>
      </c>
      <c r="H345" s="35" t="s">
        <v>861</v>
      </c>
      <c r="I345" s="35" t="s">
        <v>54</v>
      </c>
      <c r="J345" s="35">
        <v>100</v>
      </c>
      <c r="K345" s="35" t="s">
        <v>489</v>
      </c>
      <c r="L345" s="35" t="s">
        <v>53</v>
      </c>
      <c r="M345" s="35">
        <v>1</v>
      </c>
      <c r="N345" s="35">
        <v>1</v>
      </c>
      <c r="O345" s="35">
        <v>1</v>
      </c>
      <c r="P345" s="35">
        <v>2</v>
      </c>
      <c r="Q345" s="35">
        <v>1</v>
      </c>
      <c r="R345" s="35" t="s">
        <v>73</v>
      </c>
      <c r="S345" s="35" t="s">
        <v>73</v>
      </c>
      <c r="T345" s="36">
        <v>44901</v>
      </c>
      <c r="U345" s="36">
        <v>2958465</v>
      </c>
      <c r="V345" s="35" t="s">
        <v>282</v>
      </c>
      <c r="W345" s="35" t="s">
        <v>145</v>
      </c>
      <c r="X345" s="35"/>
      <c r="Y345" s="35" t="s">
        <v>143</v>
      </c>
      <c r="Z345" s="35">
        <v>7589154</v>
      </c>
      <c r="AA345" s="35">
        <v>574</v>
      </c>
      <c r="AB345" s="35">
        <v>287</v>
      </c>
      <c r="AC345" s="35"/>
      <c r="AE345" s="51">
        <f>M345/O345</f>
        <v>1</v>
      </c>
      <c r="AG345" s="6" t="str">
        <f>C345</f>
        <v>90MB1BJ0-C1BAY0</v>
      </c>
      <c r="AH345" s="6" t="str">
        <f>IF($D345&lt;=AH$4,"",IF(AND($D344=AH$4,$D345&gt;AH$4),$F344,AH344))</f>
        <v>59MB1BJB-MB0A02S</v>
      </c>
      <c r="AI345" s="6" t="str">
        <f>IF($D345&lt;=AI$4,"",IF(AND($D344=AI$4,$D345&gt;AI$4),$F344,AI344))</f>
        <v/>
      </c>
      <c r="AJ345" s="6" t="str">
        <f>IF($D345&lt;=AJ$4,"",IF(AND($D344=AJ$4,$D345&gt;AJ$4),$F344,AJ344))</f>
        <v/>
      </c>
      <c r="AK345" s="6" t="str">
        <f>IF($D345&lt;=AK$4,"",IF(AND($D344=AK$4,$D345&gt;AK$4),$F344,AK344))</f>
        <v/>
      </c>
      <c r="AL345" s="6" t="str">
        <f>IF($D345&lt;=AL$4,"",IF(AND($D344=AL$4,$D345&gt;AL$4),$F344,AL344))</f>
        <v/>
      </c>
      <c r="AM345" s="6" t="str">
        <f>IF($D345&lt;=AM$4,"",IF(AND($D344=AM$4,$D345&gt;AM$4),$F344,AM344))</f>
        <v/>
      </c>
      <c r="AN345" s="6" t="str">
        <f>IF($D345&lt;=AN$4,"",IF(AND($D344=AN$4,$D345&gt;AN$4),$F344,AN344))</f>
        <v/>
      </c>
      <c r="AO345" s="6" t="str">
        <f>CONCATENATE(AG345," | ",AH345," | ",AI345," | ",AJ345," | ",AK345," | ",AL345," | ",AM345," | ",AN345)</f>
        <v xml:space="preserve">90MB1BJ0-C1BAY0 | 59MB1BJB-MB0A02S |  |  |  |  |  | </v>
      </c>
      <c r="AP345" s="6">
        <f>IF(TRIM(H345)="",100,J345)</f>
        <v>100</v>
      </c>
      <c r="AQ345" s="4"/>
      <c r="AR345" s="6" t="b">
        <f>NOT(TRIM(W345)&lt;&gt;"F")</f>
        <v>1</v>
      </c>
      <c r="AS345" s="6" t="str">
        <f>$B345&amp;" | "&amp;$AO345&amp;" | "&amp;IF(TRIM(H345)="","uniq"&amp;ROW(),TRIM(H345))</f>
        <v>461E | 90MB1BJ0-C1BAY0 | 59MB1BJB-MB0A02S |  |  |  |  |  |  | C5</v>
      </c>
      <c r="AT345" s="63">
        <f>IF(NOT(AR345),IF(TRIM($H345)="","Assembly","Phantom Alt"),VLOOKUP(F345,ZPCS04!B:G,6,0))</f>
        <v>1264</v>
      </c>
      <c r="AU345" s="7"/>
      <c r="AV345" s="38">
        <f ca="1">IF(TRIM($W345)="F",OFFSET($A$5,MATCH($AS345,$AS$5:$AS345,0)-1,0),$A345)</f>
        <v>345</v>
      </c>
      <c r="AW345" s="38">
        <f ca="1">IFERROR(OFFSET(ZPCS04!$A$1,MATCH(F345,ZPCS04!B:B,0)-1,0),100)</f>
        <v>2</v>
      </c>
      <c r="AX345" s="7"/>
      <c r="AY345" s="6" t="b">
        <f>SUMIF(AS:AS,AS345,AP:AP)=100</f>
        <v>1</v>
      </c>
      <c r="AZ345" s="6" t="b">
        <f>SUMIF(AS:AS,AS345,AE:AE)/COUNTIF(AS:AS,AS345)=AE345</f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>C345&amp;" | "&amp;F345</f>
        <v>90MB1BJ0-C1BAY0 | 10G212232214020</v>
      </c>
      <c r="BE345" s="55" t="str">
        <f ca="1">C345&amp;" | "&amp;OFFSET($AF345,0,8-COUNTBLANK($AG345:$AN345))</f>
        <v>90MB1BJ0-C1BAY0 | 59MB1BJB-MB0A02S</v>
      </c>
      <c r="BF345" s="57">
        <f ca="1">IFERROR(VLOOKUP($BE345,$BD$5:$BF344,3,0)*$AE345,VLOOKUP($C345,Demanda!$A:$B,2,0)*$AE345)*IF(AT345="Phantom Alt",$BC345,TRUE)</f>
        <v>1000</v>
      </c>
      <c r="BG345" s="57">
        <f ca="1">BF345*(AP345/100)</f>
        <v>1000</v>
      </c>
      <c r="BH345" s="57">
        <f>SUMIF(Invoice!A:A,F345,Invoice!B:B)</f>
        <v>0</v>
      </c>
      <c r="BI345" s="57">
        <f ca="1">SUMIF(AS:AS,AS345,BG:BG)</f>
        <v>1000</v>
      </c>
      <c r="BJ345" s="57">
        <f ca="1">MIN((BI345-SUMIF($AS$5:AS344,AS345,$BJ$5:BJ344)),MAX(0,BH345-SUMIF($F$5:F344,F345,$BJ$5:BJ344)))</f>
        <v>0</v>
      </c>
      <c r="BK345" s="57">
        <f ca="1">(-SUMIF(AS:AS,AS345,BG:BG)+SUMIF(AS:AS,AS345,BJ:BJ))*(AP345=100)*AR345</f>
        <v>0</v>
      </c>
      <c r="BL345" s="57">
        <f ca="1">MAX(0,SUMIF(Invoice!A:A,F345,Invoice!B:B)-SUMIF(F:F,F345,BJ:BJ))*(COUNTIF(F:F,F345)=COUNTIF($F$5:F345,F345))</f>
        <v>0</v>
      </c>
    </row>
    <row r="346" spans="1:64" hidden="1">
      <c r="A346" s="43">
        <v>346</v>
      </c>
      <c r="B346" s="35" t="s">
        <v>147</v>
      </c>
      <c r="C346" s="35" t="s">
        <v>146</v>
      </c>
      <c r="D346" s="35">
        <v>2</v>
      </c>
      <c r="E346" s="35">
        <v>1260</v>
      </c>
      <c r="F346" s="64" t="s">
        <v>866</v>
      </c>
      <c r="G346" s="73" t="s">
        <v>867</v>
      </c>
      <c r="H346" s="35" t="s">
        <v>868</v>
      </c>
      <c r="I346" s="35" t="s">
        <v>55</v>
      </c>
      <c r="J346" s="35">
        <v>0</v>
      </c>
      <c r="K346" s="35" t="s">
        <v>489</v>
      </c>
      <c r="L346" s="35" t="s">
        <v>53</v>
      </c>
      <c r="M346" s="35">
        <v>2</v>
      </c>
      <c r="N346" s="35"/>
      <c r="O346" s="35">
        <v>1</v>
      </c>
      <c r="P346" s="35">
        <v>2</v>
      </c>
      <c r="Q346" s="35">
        <v>3</v>
      </c>
      <c r="R346" s="35" t="s">
        <v>122</v>
      </c>
      <c r="S346" s="35" t="s">
        <v>122</v>
      </c>
      <c r="T346" s="36">
        <v>44901</v>
      </c>
      <c r="U346" s="36">
        <v>2958465</v>
      </c>
      <c r="V346" s="35" t="s">
        <v>282</v>
      </c>
      <c r="W346" s="35" t="s">
        <v>145</v>
      </c>
      <c r="X346" s="35"/>
      <c r="Y346" s="35" t="s">
        <v>143</v>
      </c>
      <c r="Z346" s="35">
        <v>7589154</v>
      </c>
      <c r="AA346" s="35">
        <v>584</v>
      </c>
      <c r="AB346" s="35">
        <v>292</v>
      </c>
      <c r="AC346" s="35"/>
      <c r="AE346" s="51">
        <f>M346/O346</f>
        <v>2</v>
      </c>
      <c r="AG346" s="6" t="str">
        <f>C346</f>
        <v>90MB1BJ0-C1BAY0</v>
      </c>
      <c r="AH346" s="6" t="str">
        <f>IF($D346&lt;=AH$4,"",IF(AND($D345=AH$4,$D346&gt;AH$4),$F345,AH345))</f>
        <v>59MB1BJB-MB0A02S</v>
      </c>
      <c r="AI346" s="6" t="str">
        <f>IF($D346&lt;=AI$4,"",IF(AND($D345=AI$4,$D346&gt;AI$4),$F345,AI345))</f>
        <v/>
      </c>
      <c r="AJ346" s="6" t="str">
        <f>IF($D346&lt;=AJ$4,"",IF(AND($D345=AJ$4,$D346&gt;AJ$4),$F345,AJ345))</f>
        <v/>
      </c>
      <c r="AK346" s="6" t="str">
        <f>IF($D346&lt;=AK$4,"",IF(AND($D345=AK$4,$D346&gt;AK$4),$F345,AK345))</f>
        <v/>
      </c>
      <c r="AL346" s="6" t="str">
        <f>IF($D346&lt;=AL$4,"",IF(AND($D345=AL$4,$D346&gt;AL$4),$F345,AL345))</f>
        <v/>
      </c>
      <c r="AM346" s="6" t="str">
        <f>IF($D346&lt;=AM$4,"",IF(AND($D345=AM$4,$D346&gt;AM$4),$F345,AM345))</f>
        <v/>
      </c>
      <c r="AN346" s="6" t="str">
        <f>IF($D346&lt;=AN$4,"",IF(AND($D345=AN$4,$D346&gt;AN$4),$F345,AN345))</f>
        <v/>
      </c>
      <c r="AO346" s="6" t="str">
        <f>CONCATENATE(AG346," | ",AH346," | ",AI346," | ",AJ346," | ",AK346," | ",AL346," | ",AM346," | ",AN346)</f>
        <v xml:space="preserve">90MB1BJ0-C1BAY0 | 59MB1BJB-MB0A02S |  |  |  |  |  | </v>
      </c>
      <c r="AP346" s="6">
        <f>IF(TRIM(H346)="",100,J346)</f>
        <v>0</v>
      </c>
      <c r="AQ346" s="4"/>
      <c r="AR346" s="6" t="b">
        <f>NOT(TRIM(W346)&lt;&gt;"F")</f>
        <v>1</v>
      </c>
      <c r="AS346" s="6" t="str">
        <f>$B346&amp;" | "&amp;$AO346&amp;" | "&amp;IF(TRIM(H346)="","uniq"&amp;ROW(),TRIM(H346))</f>
        <v>461E | 90MB1BJ0-C1BAY0 | 59MB1BJB-MB0A02S |  |  |  |  |  |  | C6</v>
      </c>
      <c r="AT346" s="63">
        <f>IF(NOT(AR346),IF(TRIM($H346)="","Assembly","Phantom Alt"),VLOOKUP(F346,ZPCS04!B:G,6,0))</f>
        <v>668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1.9999999000000002</v>
      </c>
      <c r="AX346" s="7"/>
      <c r="AY346" s="6" t="b">
        <f>SUMIF(AS:AS,AS346,AP:AP)=100</f>
        <v>1</v>
      </c>
      <c r="AZ346" s="6" t="b">
        <f>SUMIF(AS:AS,AS346,AE:AE)/COUNTIF(AS:AS,AS346)=AE346</f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>C346&amp;" | "&amp;F346</f>
        <v>90MB1BJ0-C1BAY0 | 10G212249114010</v>
      </c>
      <c r="BE346" s="55" t="str">
        <f ca="1">C346&amp;" | "&amp;OFFSET($AF346,0,8-COUNTBLANK($AG346:$AN346))</f>
        <v>90MB1BJ0-C1BAY0 | 59MB1BJB-MB0A02S</v>
      </c>
      <c r="BF346" s="57">
        <f ca="1">IFERROR(VLOOKUP($BE346,$BD$5:$BF345,3,0)*$AE346,VLOOKUP($C346,Demanda!$A:$B,2,0)*$AE346)*IF(AT346="Phantom Alt",$BC346,TRUE)</f>
        <v>2000</v>
      </c>
      <c r="BG346" s="57">
        <f ca="1">BF346*(AP346/100)</f>
        <v>0</v>
      </c>
      <c r="BH346" s="57">
        <f>SUMIF(Invoice!A:A,F346,Invoice!B:B)</f>
        <v>10000</v>
      </c>
      <c r="BI346" s="57">
        <f ca="1">SUMIF(AS:AS,AS346,BG:BG)</f>
        <v>2000</v>
      </c>
      <c r="BJ346" s="57">
        <f ca="1">MIN((BI346-SUMIF($AS$5:AS345,AS346,$BJ$5:BJ345)),MAX(0,BH346-SUMIF($F$5:F345,F346,$BJ$5:BJ345)))</f>
        <v>2000</v>
      </c>
      <c r="BK346" s="57">
        <f ca="1">(-SUMIF(AS:AS,AS346,BG:BG)+SUMIF(AS:AS,AS346,BJ:BJ))*(AP346=100)*AR346</f>
        <v>0</v>
      </c>
      <c r="BL346" s="57">
        <f ca="1">MAX(0,SUMIF(Invoice!A:A,F346,Invoice!B:B)-SUMIF(F:F,F346,BJ:BJ))*(COUNTIF(F:F,F346)=COUNTIF($F$5:F346,F346))</f>
        <v>8000</v>
      </c>
    </row>
    <row r="347" spans="1:64" hidden="1">
      <c r="A347" s="43">
        <v>347</v>
      </c>
      <c r="B347" s="35" t="s">
        <v>147</v>
      </c>
      <c r="C347" s="35" t="s">
        <v>146</v>
      </c>
      <c r="D347" s="35">
        <v>2</v>
      </c>
      <c r="E347" s="35">
        <v>1260</v>
      </c>
      <c r="F347" s="64" t="s">
        <v>869</v>
      </c>
      <c r="G347" s="73" t="s">
        <v>870</v>
      </c>
      <c r="H347" s="35" t="s">
        <v>868</v>
      </c>
      <c r="I347" s="35" t="s">
        <v>54</v>
      </c>
      <c r="J347" s="35">
        <v>100</v>
      </c>
      <c r="K347" s="35" t="s">
        <v>489</v>
      </c>
      <c r="L347" s="35" t="s">
        <v>53</v>
      </c>
      <c r="M347" s="35">
        <v>2</v>
      </c>
      <c r="N347" s="35">
        <v>2</v>
      </c>
      <c r="O347" s="35">
        <v>1</v>
      </c>
      <c r="P347" s="35">
        <v>2</v>
      </c>
      <c r="Q347" s="35">
        <v>1</v>
      </c>
      <c r="R347" s="35" t="s">
        <v>122</v>
      </c>
      <c r="S347" s="35" t="s">
        <v>122</v>
      </c>
      <c r="T347" s="36">
        <v>44901</v>
      </c>
      <c r="U347" s="36">
        <v>2958465</v>
      </c>
      <c r="V347" s="35" t="s">
        <v>282</v>
      </c>
      <c r="W347" s="35" t="s">
        <v>145</v>
      </c>
      <c r="X347" s="35"/>
      <c r="Y347" s="35" t="s">
        <v>143</v>
      </c>
      <c r="Z347" s="35">
        <v>7589154</v>
      </c>
      <c r="AA347" s="35">
        <v>580</v>
      </c>
      <c r="AB347" s="35">
        <v>290</v>
      </c>
      <c r="AC347" s="35"/>
      <c r="AE347" s="51">
        <f>M347/O347</f>
        <v>2</v>
      </c>
      <c r="AG347" s="6" t="str">
        <f>C347</f>
        <v>90MB1BJ0-C1BAY0</v>
      </c>
      <c r="AH347" s="6" t="str">
        <f>IF($D347&lt;=AH$4,"",IF(AND($D346=AH$4,$D347&gt;AH$4),$F346,AH346))</f>
        <v>59MB1BJB-MB0A02S</v>
      </c>
      <c r="AI347" s="6" t="str">
        <f>IF($D347&lt;=AI$4,"",IF(AND($D346=AI$4,$D347&gt;AI$4),$F346,AI346))</f>
        <v/>
      </c>
      <c r="AJ347" s="6" t="str">
        <f>IF($D347&lt;=AJ$4,"",IF(AND($D346=AJ$4,$D347&gt;AJ$4),$F346,AJ346))</f>
        <v/>
      </c>
      <c r="AK347" s="6" t="str">
        <f>IF($D347&lt;=AK$4,"",IF(AND($D346=AK$4,$D347&gt;AK$4),$F346,AK346))</f>
        <v/>
      </c>
      <c r="AL347" s="6" t="str">
        <f>IF($D347&lt;=AL$4,"",IF(AND($D346=AL$4,$D347&gt;AL$4),$F346,AL346))</f>
        <v/>
      </c>
      <c r="AM347" s="6" t="str">
        <f>IF($D347&lt;=AM$4,"",IF(AND($D346=AM$4,$D347&gt;AM$4),$F346,AM346))</f>
        <v/>
      </c>
      <c r="AN347" s="6" t="str">
        <f>IF($D347&lt;=AN$4,"",IF(AND($D346=AN$4,$D347&gt;AN$4),$F346,AN346))</f>
        <v/>
      </c>
      <c r="AO347" s="6" t="str">
        <f>CONCATENATE(AG347," | ",AH347," | ",AI347," | ",AJ347," | ",AK347," | ",AL347," | ",AM347," | ",AN347)</f>
        <v xml:space="preserve">90MB1BJ0-C1BAY0 | 59MB1BJB-MB0A02S |  |  |  |  |  | </v>
      </c>
      <c r="AP347" s="6">
        <f>IF(TRIM(H347)="",100,J347)</f>
        <v>100</v>
      </c>
      <c r="AQ347" s="4"/>
      <c r="AR347" s="6" t="b">
        <f>NOT(TRIM(W347)&lt;&gt;"F")</f>
        <v>1</v>
      </c>
      <c r="AS347" s="6" t="str">
        <f>$B347&amp;" | "&amp;$AO347&amp;" | "&amp;IF(TRIM(H347)="","uniq"&amp;ROW(),TRIM(H347))</f>
        <v>461E | 90MB1BJ0-C1BAY0 | 59MB1BJB-MB0A02S |  |  |  |  |  |  | C6</v>
      </c>
      <c r="AT347" s="63">
        <f>IF(NOT(AR347),IF(TRIM($H347)="","Assembly","Phantom Alt"),VLOOKUP(F347,ZPCS04!B:G,6,0))</f>
        <v>668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>SUMIF(AS:AS,AS347,AP:AP)=100</f>
        <v>1</v>
      </c>
      <c r="AZ347" s="6" t="b">
        <f>SUMIF(AS:AS,AS347,AE:AE)/COUNTIF(AS:AS,AS347)=AE347</f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>C347&amp;" | "&amp;F347</f>
        <v>90MB1BJ0-C1BAY0 | 10G212249114020</v>
      </c>
      <c r="BE347" s="55" t="str">
        <f ca="1">C347&amp;" | "&amp;OFFSET($AF347,0,8-COUNTBLANK($AG347:$AN347))</f>
        <v>90MB1BJ0-C1BAY0 | 59MB1BJB-MB0A02S</v>
      </c>
      <c r="BF347" s="57">
        <f ca="1">IFERROR(VLOOKUP($BE347,$BD$5:$BF346,3,0)*$AE347,VLOOKUP($C347,Demanda!$A:$B,2,0)*$AE347)*IF(AT347="Phantom Alt",$BC347,TRUE)</f>
        <v>2000</v>
      </c>
      <c r="BG347" s="57">
        <f ca="1">BF347*(AP347/100)</f>
        <v>2000</v>
      </c>
      <c r="BH347" s="57">
        <f>SUMIF(Invoice!A:A,F347,Invoice!B:B)</f>
        <v>0</v>
      </c>
      <c r="BI347" s="57">
        <f ca="1">SUMIF(AS:AS,AS347,BG:BG)</f>
        <v>2000</v>
      </c>
      <c r="BJ347" s="57">
        <f ca="1">MIN((BI347-SUMIF($AS$5:AS346,AS347,$BJ$5:BJ346)),MAX(0,BH347-SUMIF($F$5:F346,F347,$BJ$5:BJ346)))</f>
        <v>0</v>
      </c>
      <c r="BK347" s="57">
        <f ca="1">(-SUMIF(AS:AS,AS347,BG:BG)+SUMIF(AS:AS,AS347,BJ:BJ))*(AP347=100)*AR347</f>
        <v>0</v>
      </c>
      <c r="BL347" s="57">
        <f ca="1">MAX(0,SUMIF(Invoice!A:A,F347,Invoice!B:B)-SUMIF(F:F,F347,BJ:BJ))*(COUNTIF(F:F,F347)=COUNTIF($F$5:F347,F347))</f>
        <v>0</v>
      </c>
    </row>
    <row r="348" spans="1:64" hidden="1">
      <c r="A348" s="43">
        <v>348</v>
      </c>
      <c r="B348" s="35" t="s">
        <v>147</v>
      </c>
      <c r="C348" s="35" t="s">
        <v>146</v>
      </c>
      <c r="D348" s="35">
        <v>2</v>
      </c>
      <c r="E348" s="35">
        <v>1260</v>
      </c>
      <c r="F348" s="64" t="s">
        <v>871</v>
      </c>
      <c r="G348" s="73" t="s">
        <v>872</v>
      </c>
      <c r="H348" s="35" t="s">
        <v>868</v>
      </c>
      <c r="I348" s="35" t="s">
        <v>55</v>
      </c>
      <c r="J348" s="35">
        <v>0</v>
      </c>
      <c r="K348" s="35" t="s">
        <v>150</v>
      </c>
      <c r="L348" s="35" t="s">
        <v>53</v>
      </c>
      <c r="M348" s="35">
        <v>2</v>
      </c>
      <c r="N348" s="35"/>
      <c r="O348" s="35">
        <v>1</v>
      </c>
      <c r="P348" s="35">
        <v>2</v>
      </c>
      <c r="Q348" s="35">
        <v>2</v>
      </c>
      <c r="R348" s="35" t="s">
        <v>73</v>
      </c>
      <c r="S348" s="35" t="s">
        <v>73</v>
      </c>
      <c r="T348" s="36">
        <v>44901</v>
      </c>
      <c r="U348" s="36">
        <v>2958465</v>
      </c>
      <c r="V348" s="35" t="s">
        <v>282</v>
      </c>
      <c r="W348" s="35" t="s">
        <v>145</v>
      </c>
      <c r="X348" s="35"/>
      <c r="Y348" s="35" t="s">
        <v>143</v>
      </c>
      <c r="Z348" s="35">
        <v>7589154</v>
      </c>
      <c r="AA348" s="35">
        <v>582</v>
      </c>
      <c r="AB348" s="35">
        <v>291</v>
      </c>
      <c r="AC348" s="35"/>
      <c r="AE348" s="51">
        <f>M348/O348</f>
        <v>2</v>
      </c>
      <c r="AG348" s="6" t="str">
        <f>C348</f>
        <v>90MB1BJ0-C1BAY0</v>
      </c>
      <c r="AH348" s="6" t="str">
        <f>IF($D348&lt;=AH$4,"",IF(AND($D347=AH$4,$D348&gt;AH$4),$F347,AH347))</f>
        <v>59MB1BJB-MB0A02S</v>
      </c>
      <c r="AI348" s="6" t="str">
        <f>IF($D348&lt;=AI$4,"",IF(AND($D347=AI$4,$D348&gt;AI$4),$F347,AI347))</f>
        <v/>
      </c>
      <c r="AJ348" s="6" t="str">
        <f>IF($D348&lt;=AJ$4,"",IF(AND($D347=AJ$4,$D348&gt;AJ$4),$F347,AJ347))</f>
        <v/>
      </c>
      <c r="AK348" s="6" t="str">
        <f>IF($D348&lt;=AK$4,"",IF(AND($D347=AK$4,$D348&gt;AK$4),$F347,AK347))</f>
        <v/>
      </c>
      <c r="AL348" s="6" t="str">
        <f>IF($D348&lt;=AL$4,"",IF(AND($D347=AL$4,$D348&gt;AL$4),$F347,AL347))</f>
        <v/>
      </c>
      <c r="AM348" s="6" t="str">
        <f>IF($D348&lt;=AM$4,"",IF(AND($D347=AM$4,$D348&gt;AM$4),$F347,AM347))</f>
        <v/>
      </c>
      <c r="AN348" s="6" t="str">
        <f>IF($D348&lt;=AN$4,"",IF(AND($D347=AN$4,$D348&gt;AN$4),$F347,AN347))</f>
        <v/>
      </c>
      <c r="AO348" s="6" t="str">
        <f>CONCATENATE(AG348," | ",AH348," | ",AI348," | ",AJ348," | ",AK348," | ",AL348," | ",AM348," | ",AN348)</f>
        <v xml:space="preserve">90MB1BJ0-C1BAY0 | 59MB1BJB-MB0A02S |  |  |  |  |  | </v>
      </c>
      <c r="AP348" s="6">
        <f>IF(TRIM(H348)="",100,J348)</f>
        <v>0</v>
      </c>
      <c r="AQ348" s="4"/>
      <c r="AR348" s="6" t="b">
        <f>NOT(TRIM(W348)&lt;&gt;"F")</f>
        <v>1</v>
      </c>
      <c r="AS348" s="6" t="str">
        <f>$B348&amp;" | "&amp;$AO348&amp;" | "&amp;IF(TRIM(H348)="","uniq"&amp;ROW(),TRIM(H348))</f>
        <v>461E | 90MB1BJ0-C1BAY0 | 59MB1BJB-MB0A02S |  |  |  |  |  |  | C6</v>
      </c>
      <c r="AT348" s="63">
        <f>IF(NOT(AR348),IF(TRIM($H348)="","Assembly","Phantom Alt"),VLOOKUP(F348,ZPCS04!B:G,6,0))</f>
        <v>668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>SUMIF(AS:AS,AS348,AP:AP)=100</f>
        <v>1</v>
      </c>
      <c r="AZ348" s="6" t="b">
        <f>SUMIF(AS:AS,AS348,AE:AE)/COUNTIF(AS:AS,AS348)=AE348</f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>C348&amp;" | "&amp;F348</f>
        <v>90MB1BJ0-C1BAY0 | 10G212249114050</v>
      </c>
      <c r="BE348" s="55" t="str">
        <f ca="1">C348&amp;" | "&amp;OFFSET($AF348,0,8-COUNTBLANK($AG348:$AN348))</f>
        <v>90MB1BJ0-C1BAY0 | 59MB1BJB-MB0A02S</v>
      </c>
      <c r="BF348" s="57">
        <f ca="1">IFERROR(VLOOKUP($BE348,$BD$5:$BF347,3,0)*$AE348,VLOOKUP($C348,Demanda!$A:$B,2,0)*$AE348)*IF(AT348="Phantom Alt",$BC348,TRUE)</f>
        <v>2000</v>
      </c>
      <c r="BG348" s="57">
        <f ca="1">BF348*(AP348/100)</f>
        <v>0</v>
      </c>
      <c r="BH348" s="57">
        <f>SUMIF(Invoice!A:A,F348,Invoice!B:B)</f>
        <v>0</v>
      </c>
      <c r="BI348" s="57">
        <f ca="1">SUMIF(AS:AS,AS348,BG:BG)</f>
        <v>2000</v>
      </c>
      <c r="BJ348" s="57">
        <f ca="1">MIN((BI348-SUMIF($AS$5:AS347,AS348,$BJ$5:BJ347)),MAX(0,BH348-SUMIF($F$5:F347,F348,$BJ$5:BJ347)))</f>
        <v>0</v>
      </c>
      <c r="BK348" s="57">
        <f ca="1">(-SUMIF(AS:AS,AS348,BG:BG)+SUMIF(AS:AS,AS348,BJ:BJ))*(AP348=100)*AR348</f>
        <v>0</v>
      </c>
      <c r="BL348" s="57">
        <f ca="1">MAX(0,SUMIF(Invoice!A:A,F348,Invoice!B:B)-SUMIF(F:F,F348,BJ:BJ))*(COUNTIF(F:F,F348)=COUNTIF($F$5:F348,F348))</f>
        <v>0</v>
      </c>
    </row>
    <row r="349" spans="1:64" hidden="1">
      <c r="A349" s="43">
        <v>349</v>
      </c>
      <c r="B349" s="35" t="s">
        <v>147</v>
      </c>
      <c r="C349" s="35" t="s">
        <v>146</v>
      </c>
      <c r="D349" s="35">
        <v>2</v>
      </c>
      <c r="E349" s="35">
        <v>1270</v>
      </c>
      <c r="F349" s="64" t="s">
        <v>873</v>
      </c>
      <c r="G349" s="73" t="s">
        <v>874</v>
      </c>
      <c r="H349" s="35" t="s">
        <v>875</v>
      </c>
      <c r="I349" s="35" t="s">
        <v>55</v>
      </c>
      <c r="J349" s="35">
        <v>0</v>
      </c>
      <c r="K349" s="35" t="s">
        <v>150</v>
      </c>
      <c r="L349" s="35" t="s">
        <v>53</v>
      </c>
      <c r="M349" s="35">
        <v>2</v>
      </c>
      <c r="N349" s="35"/>
      <c r="O349" s="35">
        <v>1</v>
      </c>
      <c r="P349" s="35">
        <v>2</v>
      </c>
      <c r="Q349" s="35">
        <v>3</v>
      </c>
      <c r="R349" s="35" t="s">
        <v>73</v>
      </c>
      <c r="S349" s="35" t="s">
        <v>73</v>
      </c>
      <c r="T349" s="36">
        <v>44901</v>
      </c>
      <c r="U349" s="36">
        <v>2958465</v>
      </c>
      <c r="V349" s="35" t="s">
        <v>282</v>
      </c>
      <c r="W349" s="35" t="s">
        <v>145</v>
      </c>
      <c r="X349" s="35"/>
      <c r="Y349" s="35" t="s">
        <v>143</v>
      </c>
      <c r="Z349" s="35">
        <v>7589154</v>
      </c>
      <c r="AA349" s="35">
        <v>590</v>
      </c>
      <c r="AB349" s="35">
        <v>295</v>
      </c>
      <c r="AC349" s="35"/>
      <c r="AE349" s="51">
        <f>M349/O349</f>
        <v>2</v>
      </c>
      <c r="AG349" s="6" t="str">
        <f>C349</f>
        <v>90MB1BJ0-C1BAY0</v>
      </c>
      <c r="AH349" s="6" t="str">
        <f>IF($D349&lt;=AH$4,"",IF(AND($D348=AH$4,$D349&gt;AH$4),$F348,AH348))</f>
        <v>59MB1BJB-MB0A02S</v>
      </c>
      <c r="AI349" s="6" t="str">
        <f>IF($D349&lt;=AI$4,"",IF(AND($D348=AI$4,$D349&gt;AI$4),$F348,AI348))</f>
        <v/>
      </c>
      <c r="AJ349" s="6" t="str">
        <f>IF($D349&lt;=AJ$4,"",IF(AND($D348=AJ$4,$D349&gt;AJ$4),$F348,AJ348))</f>
        <v/>
      </c>
      <c r="AK349" s="6" t="str">
        <f>IF($D349&lt;=AK$4,"",IF(AND($D348=AK$4,$D349&gt;AK$4),$F348,AK348))</f>
        <v/>
      </c>
      <c r="AL349" s="6" t="str">
        <f>IF($D349&lt;=AL$4,"",IF(AND($D348=AL$4,$D349&gt;AL$4),$F348,AL348))</f>
        <v/>
      </c>
      <c r="AM349" s="6" t="str">
        <f>IF($D349&lt;=AM$4,"",IF(AND($D348=AM$4,$D349&gt;AM$4),$F348,AM348))</f>
        <v/>
      </c>
      <c r="AN349" s="6" t="str">
        <f>IF($D349&lt;=AN$4,"",IF(AND($D348=AN$4,$D349&gt;AN$4),$F348,AN348))</f>
        <v/>
      </c>
      <c r="AO349" s="6" t="str">
        <f>CONCATENATE(AG349," | ",AH349," | ",AI349," | ",AJ349," | ",AK349," | ",AL349," | ",AM349," | ",AN349)</f>
        <v xml:space="preserve">90MB1BJ0-C1BAY0 | 59MB1BJB-MB0A02S |  |  |  |  |  | </v>
      </c>
      <c r="AP349" s="6">
        <f>IF(TRIM(H349)="",100,J349)</f>
        <v>0</v>
      </c>
      <c r="AQ349" s="4"/>
      <c r="AR349" s="6" t="b">
        <f>NOT(TRIM(W349)&lt;&gt;"F")</f>
        <v>1</v>
      </c>
      <c r="AS349" s="6" t="str">
        <f>$B349&amp;" | "&amp;$AO349&amp;" | "&amp;IF(TRIM(H349)="","uniq"&amp;ROW(),TRIM(H349))</f>
        <v>461E | 90MB1BJ0-C1BAY0 | 59MB1BJB-MB0A02S |  |  |  |  |  |  | C7</v>
      </c>
      <c r="AT349" s="63">
        <f>IF(NOT(AR349),IF(TRIM($H349)="","Assembly","Phantom Alt"),VLOOKUP(F349,ZPCS04!B:G,6,0))</f>
        <v>670</v>
      </c>
      <c r="AU349" s="7"/>
      <c r="AV349" s="38">
        <f ca="1">IF(TRIM($W349)="F",OFFSET($A$5,MATCH($AS349,$AS$5:$AS349,0)-1,0),$A349)</f>
        <v>349</v>
      </c>
      <c r="AW349" s="38">
        <f ca="1">IFERROR(OFFSET(ZPCS04!$A$1,MATCH(F349,ZPCS04!B:B,0)-1,0),100)</f>
        <v>1.9999999000000002</v>
      </c>
      <c r="AX349" s="7"/>
      <c r="AY349" s="6" t="b">
        <f>SUMIF(AS:AS,AS349,AP:AP)=100</f>
        <v>1</v>
      </c>
      <c r="AZ349" s="6" t="b">
        <f>SUMIF(AS:AS,AS349,AE:AE)/COUNTIF(AS:AS,AS349)=AE349</f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>C349&amp;" | "&amp;F349</f>
        <v>90MB1BJ0-C1BAY0 | 10G212255014010</v>
      </c>
      <c r="BE349" s="55" t="str">
        <f ca="1">C349&amp;" | "&amp;OFFSET($AF349,0,8-COUNTBLANK($AG349:$AN349))</f>
        <v>90MB1BJ0-C1BAY0 | 59MB1BJB-MB0A02S</v>
      </c>
      <c r="BF349" s="57">
        <f ca="1">IFERROR(VLOOKUP($BE349,$BD$5:$BF348,3,0)*$AE349,VLOOKUP($C349,Demanda!$A:$B,2,0)*$AE349)*IF(AT349="Phantom Alt",$BC349,TRUE)</f>
        <v>2000</v>
      </c>
      <c r="BG349" s="57">
        <f ca="1">BF349*(AP349/100)</f>
        <v>0</v>
      </c>
      <c r="BH349" s="57">
        <f>SUMIF(Invoice!A:A,F349,Invoice!B:B)</f>
        <v>10000</v>
      </c>
      <c r="BI349" s="57">
        <f ca="1">SUMIF(AS:AS,AS349,BG:BG)</f>
        <v>2000</v>
      </c>
      <c r="BJ349" s="57">
        <f ca="1">MIN((BI349-SUMIF($AS$5:AS348,AS349,$BJ$5:BJ348)),MAX(0,BH349-SUMIF($F$5:F348,F349,$BJ$5:BJ348)))</f>
        <v>2000</v>
      </c>
      <c r="BK349" s="57">
        <f ca="1">(-SUMIF(AS:AS,AS349,BG:BG)+SUMIF(AS:AS,AS349,BJ:BJ))*(AP349=100)*AR349</f>
        <v>0</v>
      </c>
      <c r="BL349" s="57">
        <f ca="1">MAX(0,SUMIF(Invoice!A:A,F349,Invoice!B:B)-SUMIF(F:F,F349,BJ:BJ))*(COUNTIF(F:F,F349)=COUNTIF($F$5:F349,F349))</f>
        <v>8000</v>
      </c>
    </row>
    <row r="350" spans="1:64" hidden="1">
      <c r="A350" s="43">
        <v>350</v>
      </c>
      <c r="B350" s="35" t="s">
        <v>147</v>
      </c>
      <c r="C350" s="35" t="s">
        <v>146</v>
      </c>
      <c r="D350" s="35">
        <v>2</v>
      </c>
      <c r="E350" s="35">
        <v>1270</v>
      </c>
      <c r="F350" s="64" t="s">
        <v>876</v>
      </c>
      <c r="G350" s="73" t="s">
        <v>877</v>
      </c>
      <c r="H350" s="35" t="s">
        <v>875</v>
      </c>
      <c r="I350" s="35" t="s">
        <v>55</v>
      </c>
      <c r="J350" s="35">
        <v>0</v>
      </c>
      <c r="K350" s="35" t="s">
        <v>150</v>
      </c>
      <c r="L350" s="35" t="s">
        <v>53</v>
      </c>
      <c r="M350" s="35">
        <v>2</v>
      </c>
      <c r="N350" s="35"/>
      <c r="O350" s="35">
        <v>1</v>
      </c>
      <c r="P350" s="35">
        <v>2</v>
      </c>
      <c r="Q350" s="35">
        <v>2</v>
      </c>
      <c r="R350" s="35" t="s">
        <v>73</v>
      </c>
      <c r="S350" s="35" t="s">
        <v>73</v>
      </c>
      <c r="T350" s="36">
        <v>44901</v>
      </c>
      <c r="U350" s="36">
        <v>2958465</v>
      </c>
      <c r="V350" s="35" t="s">
        <v>282</v>
      </c>
      <c r="W350" s="35" t="s">
        <v>145</v>
      </c>
      <c r="X350" s="35"/>
      <c r="Y350" s="35" t="s">
        <v>143</v>
      </c>
      <c r="Z350" s="35">
        <v>7589154</v>
      </c>
      <c r="AA350" s="35">
        <v>588</v>
      </c>
      <c r="AB350" s="35">
        <v>294</v>
      </c>
      <c r="AC350" s="35"/>
      <c r="AE350" s="51">
        <f>M350/O350</f>
        <v>2</v>
      </c>
      <c r="AG350" s="6" t="str">
        <f>C350</f>
        <v>90MB1BJ0-C1BAY0</v>
      </c>
      <c r="AH350" s="6" t="str">
        <f>IF($D350&lt;=AH$4,"",IF(AND($D349=AH$4,$D350&gt;AH$4),$F349,AH349))</f>
        <v>59MB1BJB-MB0A02S</v>
      </c>
      <c r="AI350" s="6" t="str">
        <f>IF($D350&lt;=AI$4,"",IF(AND($D349=AI$4,$D350&gt;AI$4),$F349,AI349))</f>
        <v/>
      </c>
      <c r="AJ350" s="6" t="str">
        <f>IF($D350&lt;=AJ$4,"",IF(AND($D349=AJ$4,$D350&gt;AJ$4),$F349,AJ349))</f>
        <v/>
      </c>
      <c r="AK350" s="6" t="str">
        <f>IF($D350&lt;=AK$4,"",IF(AND($D349=AK$4,$D350&gt;AK$4),$F349,AK349))</f>
        <v/>
      </c>
      <c r="AL350" s="6" t="str">
        <f>IF($D350&lt;=AL$4,"",IF(AND($D349=AL$4,$D350&gt;AL$4),$F349,AL349))</f>
        <v/>
      </c>
      <c r="AM350" s="6" t="str">
        <f>IF($D350&lt;=AM$4,"",IF(AND($D349=AM$4,$D350&gt;AM$4),$F349,AM349))</f>
        <v/>
      </c>
      <c r="AN350" s="6" t="str">
        <f>IF($D350&lt;=AN$4,"",IF(AND($D349=AN$4,$D350&gt;AN$4),$F349,AN349))</f>
        <v/>
      </c>
      <c r="AO350" s="6" t="str">
        <f>CONCATENATE(AG350," | ",AH350," | ",AI350," | ",AJ350," | ",AK350," | ",AL350," | ",AM350," | ",AN350)</f>
        <v xml:space="preserve">90MB1BJ0-C1BAY0 | 59MB1BJB-MB0A02S |  |  |  |  |  | </v>
      </c>
      <c r="AP350" s="6">
        <f>IF(TRIM(H350)="",100,J350)</f>
        <v>0</v>
      </c>
      <c r="AQ350" s="4"/>
      <c r="AR350" s="6" t="b">
        <f>NOT(TRIM(W350)&lt;&gt;"F")</f>
        <v>1</v>
      </c>
      <c r="AS350" s="6" t="str">
        <f>$B350&amp;" | "&amp;$AO350&amp;" | "&amp;IF(TRIM(H350)="","uniq"&amp;ROW(),TRIM(H350))</f>
        <v>461E | 90MB1BJ0-C1BAY0 | 59MB1BJB-MB0A02S |  |  |  |  |  |  | C7</v>
      </c>
      <c r="AT350" s="63">
        <f>IF(NOT(AR350),IF(TRIM($H350)="","Assembly","Phantom Alt"),VLOOKUP(F350,ZPCS04!B:G,6,0))</f>
        <v>670</v>
      </c>
      <c r="AU350" s="7"/>
      <c r="AV350" s="38">
        <f ca="1">IF(TRIM($W350)="F",OFFSET($A$5,MATCH($AS350,$AS$5:$AS350,0)-1,0),$A350)</f>
        <v>349</v>
      </c>
      <c r="AW350" s="38">
        <f ca="1">IFERROR(OFFSET(ZPCS04!$A$1,MATCH(F350,ZPCS04!B:B,0)-1,0),100)</f>
        <v>2</v>
      </c>
      <c r="AX350" s="7"/>
      <c r="AY350" s="6" t="b">
        <f>SUMIF(AS:AS,AS350,AP:AP)=100</f>
        <v>1</v>
      </c>
      <c r="AZ350" s="6" t="b">
        <f>SUMIF(AS:AS,AS350,AE:AE)/COUNTIF(AS:AS,AS350)=AE350</f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>C350&amp;" | "&amp;F350</f>
        <v>90MB1BJ0-C1BAY0 | 10G212255014020</v>
      </c>
      <c r="BE350" s="55" t="str">
        <f ca="1">C350&amp;" | "&amp;OFFSET($AF350,0,8-COUNTBLANK($AG350:$AN350))</f>
        <v>90MB1BJ0-C1BAY0 | 59MB1BJB-MB0A02S</v>
      </c>
      <c r="BF350" s="57">
        <f ca="1">IFERROR(VLOOKUP($BE350,$BD$5:$BF349,3,0)*$AE350,VLOOKUP($C350,Demanda!$A:$B,2,0)*$AE350)*IF(AT350="Phantom Alt",$BC350,TRUE)</f>
        <v>2000</v>
      </c>
      <c r="BG350" s="57">
        <f ca="1">BF350*(AP350/100)</f>
        <v>0</v>
      </c>
      <c r="BH350" s="57">
        <f>SUMIF(Invoice!A:A,F350,Invoice!B:B)</f>
        <v>0</v>
      </c>
      <c r="BI350" s="57">
        <f ca="1">SUMIF(AS:AS,AS350,BG:BG)</f>
        <v>2000</v>
      </c>
      <c r="BJ350" s="57">
        <f ca="1">MIN((BI350-SUMIF($AS$5:AS349,AS350,$BJ$5:BJ349)),MAX(0,BH350-SUMIF($F$5:F349,F350,$BJ$5:BJ349)))</f>
        <v>0</v>
      </c>
      <c r="BK350" s="57">
        <f ca="1">(-SUMIF(AS:AS,AS350,BG:BG)+SUMIF(AS:AS,AS350,BJ:BJ))*(AP350=100)*AR350</f>
        <v>0</v>
      </c>
      <c r="BL350" s="57">
        <f ca="1">MAX(0,SUMIF(Invoice!A:A,F350,Invoice!B:B)-SUMIF(F:F,F350,BJ:BJ))*(COUNTIF(F:F,F350)=COUNTIF($F$5:F350,F350))</f>
        <v>0</v>
      </c>
    </row>
    <row r="351" spans="1:64" hidden="1">
      <c r="A351" s="43">
        <v>351</v>
      </c>
      <c r="B351" s="35" t="s">
        <v>147</v>
      </c>
      <c r="C351" s="35" t="s">
        <v>146</v>
      </c>
      <c r="D351" s="35">
        <v>2</v>
      </c>
      <c r="E351" s="35">
        <v>1270</v>
      </c>
      <c r="F351" s="64" t="s">
        <v>878</v>
      </c>
      <c r="G351" s="73" t="s">
        <v>879</v>
      </c>
      <c r="H351" s="35" t="s">
        <v>875</v>
      </c>
      <c r="I351" s="35" t="s">
        <v>54</v>
      </c>
      <c r="J351" s="35">
        <v>100</v>
      </c>
      <c r="K351" s="35" t="s">
        <v>150</v>
      </c>
      <c r="L351" s="35" t="s">
        <v>53</v>
      </c>
      <c r="M351" s="35">
        <v>2</v>
      </c>
      <c r="N351" s="35">
        <v>2</v>
      </c>
      <c r="O351" s="35">
        <v>1</v>
      </c>
      <c r="P351" s="35">
        <v>2</v>
      </c>
      <c r="Q351" s="35">
        <v>1</v>
      </c>
      <c r="R351" s="35" t="s">
        <v>73</v>
      </c>
      <c r="S351" s="35" t="s">
        <v>73</v>
      </c>
      <c r="T351" s="36">
        <v>44901</v>
      </c>
      <c r="U351" s="36">
        <v>2958465</v>
      </c>
      <c r="V351" s="35" t="s">
        <v>282</v>
      </c>
      <c r="W351" s="35" t="s">
        <v>145</v>
      </c>
      <c r="X351" s="35"/>
      <c r="Y351" s="35" t="s">
        <v>143</v>
      </c>
      <c r="Z351" s="35">
        <v>7589154</v>
      </c>
      <c r="AA351" s="35">
        <v>586</v>
      </c>
      <c r="AB351" s="35">
        <v>293</v>
      </c>
      <c r="AC351" s="35"/>
      <c r="AE351" s="51">
        <f>M351/O351</f>
        <v>2</v>
      </c>
      <c r="AG351" s="6" t="str">
        <f>C351</f>
        <v>90MB1BJ0-C1BAY0</v>
      </c>
      <c r="AH351" s="6" t="str">
        <f>IF($D351&lt;=AH$4,"",IF(AND($D350=AH$4,$D351&gt;AH$4),$F350,AH350))</f>
        <v>59MB1BJB-MB0A02S</v>
      </c>
      <c r="AI351" s="6" t="str">
        <f>IF($D351&lt;=AI$4,"",IF(AND($D350=AI$4,$D351&gt;AI$4),$F350,AI350))</f>
        <v/>
      </c>
      <c r="AJ351" s="6" t="str">
        <f>IF($D351&lt;=AJ$4,"",IF(AND($D350=AJ$4,$D351&gt;AJ$4),$F350,AJ350))</f>
        <v/>
      </c>
      <c r="AK351" s="6" t="str">
        <f>IF($D351&lt;=AK$4,"",IF(AND($D350=AK$4,$D351&gt;AK$4),$F350,AK350))</f>
        <v/>
      </c>
      <c r="AL351" s="6" t="str">
        <f>IF($D351&lt;=AL$4,"",IF(AND($D350=AL$4,$D351&gt;AL$4),$F350,AL350))</f>
        <v/>
      </c>
      <c r="AM351" s="6" t="str">
        <f>IF($D351&lt;=AM$4,"",IF(AND($D350=AM$4,$D351&gt;AM$4),$F350,AM350))</f>
        <v/>
      </c>
      <c r="AN351" s="6" t="str">
        <f>IF($D351&lt;=AN$4,"",IF(AND($D350=AN$4,$D351&gt;AN$4),$F350,AN350))</f>
        <v/>
      </c>
      <c r="AO351" s="6" t="str">
        <f>CONCATENATE(AG351," | ",AH351," | ",AI351," | ",AJ351," | ",AK351," | ",AL351," | ",AM351," | ",AN351)</f>
        <v xml:space="preserve">90MB1BJ0-C1BAY0 | 59MB1BJB-MB0A02S |  |  |  |  |  | </v>
      </c>
      <c r="AP351" s="6">
        <f>IF(TRIM(H351)="",100,J351)</f>
        <v>100</v>
      </c>
      <c r="AQ351" s="4"/>
      <c r="AR351" s="6" t="b">
        <f>NOT(TRIM(W351)&lt;&gt;"F")</f>
        <v>1</v>
      </c>
      <c r="AS351" s="6" t="str">
        <f>$B351&amp;" | "&amp;$AO351&amp;" | "&amp;IF(TRIM(H351)="","uniq"&amp;ROW(),TRIM(H351))</f>
        <v>461E | 90MB1BJ0-C1BAY0 | 59MB1BJB-MB0A02S |  |  |  |  |  |  | C7</v>
      </c>
      <c r="AT351" s="63">
        <f>IF(NOT(AR351),IF(TRIM($H351)="","Assembly","Phantom Alt"),VLOOKUP(F351,ZPCS04!B:G,6,0))</f>
        <v>670</v>
      </c>
      <c r="AU351" s="7"/>
      <c r="AV351" s="38">
        <f ca="1">IF(TRIM($W351)="F",OFFSET($A$5,MATCH($AS351,$AS$5:$AS351,0)-1,0),$A351)</f>
        <v>349</v>
      </c>
      <c r="AW351" s="38">
        <f ca="1">IFERROR(OFFSET(ZPCS04!$A$1,MATCH(F351,ZPCS04!B:B,0)-1,0),100)</f>
        <v>2</v>
      </c>
      <c r="AX351" s="7"/>
      <c r="AY351" s="6" t="b">
        <f>SUMIF(AS:AS,AS351,AP:AP)=100</f>
        <v>1</v>
      </c>
      <c r="AZ351" s="6" t="b">
        <f>SUMIF(AS:AS,AS351,AE:AE)/COUNTIF(AS:AS,AS351)=AE351</f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>C351&amp;" | "&amp;F351</f>
        <v>90MB1BJ0-C1BAY0 | 10G212255014050</v>
      </c>
      <c r="BE351" s="55" t="str">
        <f ca="1">C351&amp;" | "&amp;OFFSET($AF351,0,8-COUNTBLANK($AG351:$AN351))</f>
        <v>90MB1BJ0-C1BAY0 | 59MB1BJB-MB0A02S</v>
      </c>
      <c r="BF351" s="57">
        <f ca="1">IFERROR(VLOOKUP($BE351,$BD$5:$BF350,3,0)*$AE351,VLOOKUP($C351,Demanda!$A:$B,2,0)*$AE351)*IF(AT351="Phantom Alt",$BC351,TRUE)</f>
        <v>2000</v>
      </c>
      <c r="BG351" s="57">
        <f ca="1">BF351*(AP351/100)</f>
        <v>2000</v>
      </c>
      <c r="BH351" s="57">
        <f>SUMIF(Invoice!A:A,F351,Invoice!B:B)</f>
        <v>0</v>
      </c>
      <c r="BI351" s="57">
        <f ca="1">SUMIF(AS:AS,AS351,BG:BG)</f>
        <v>2000</v>
      </c>
      <c r="BJ351" s="57">
        <f ca="1">MIN((BI351-SUMIF($AS$5:AS350,AS351,$BJ$5:BJ350)),MAX(0,BH351-SUMIF($F$5:F350,F351,$BJ$5:BJ350)))</f>
        <v>0</v>
      </c>
      <c r="BK351" s="57">
        <f ca="1">(-SUMIF(AS:AS,AS351,BG:BG)+SUMIF(AS:AS,AS351,BJ:BJ))*(AP351=100)*AR351</f>
        <v>0</v>
      </c>
      <c r="BL351" s="57">
        <f ca="1">MAX(0,SUMIF(Invoice!A:A,F351,Invoice!B:B)-SUMIF(F:F,F351,BJ:BJ))*(COUNTIF(F:F,F351)=COUNTIF($F$5:F351,F351))</f>
        <v>0</v>
      </c>
    </row>
    <row r="352" spans="1:64" hidden="1">
      <c r="A352" s="43">
        <v>352</v>
      </c>
      <c r="B352" s="35" t="s">
        <v>147</v>
      </c>
      <c r="C352" s="35" t="s">
        <v>146</v>
      </c>
      <c r="D352" s="35">
        <v>2</v>
      </c>
      <c r="E352" s="35">
        <v>1280</v>
      </c>
      <c r="F352" s="64" t="s">
        <v>880</v>
      </c>
      <c r="G352" s="73" t="s">
        <v>881</v>
      </c>
      <c r="H352" s="35" t="s">
        <v>882</v>
      </c>
      <c r="I352" s="35" t="s">
        <v>54</v>
      </c>
      <c r="J352" s="35">
        <v>100</v>
      </c>
      <c r="K352" s="35" t="s">
        <v>489</v>
      </c>
      <c r="L352" s="35" t="s">
        <v>53</v>
      </c>
      <c r="M352" s="35">
        <v>2</v>
      </c>
      <c r="N352" s="35">
        <v>2</v>
      </c>
      <c r="O352" s="35">
        <v>1</v>
      </c>
      <c r="P352" s="35">
        <v>2</v>
      </c>
      <c r="Q352" s="35">
        <v>1</v>
      </c>
      <c r="R352" s="35" t="s">
        <v>73</v>
      </c>
      <c r="S352" s="35" t="s">
        <v>73</v>
      </c>
      <c r="T352" s="36">
        <v>44901</v>
      </c>
      <c r="U352" s="36">
        <v>2958465</v>
      </c>
      <c r="V352" s="35" t="s">
        <v>282</v>
      </c>
      <c r="W352" s="35" t="s">
        <v>145</v>
      </c>
      <c r="X352" s="35"/>
      <c r="Y352" s="35" t="s">
        <v>143</v>
      </c>
      <c r="Z352" s="35">
        <v>7589154</v>
      </c>
      <c r="AA352" s="35">
        <v>592</v>
      </c>
      <c r="AB352" s="35">
        <v>296</v>
      </c>
      <c r="AC352" s="35"/>
      <c r="AE352" s="51">
        <f>M352/O352</f>
        <v>2</v>
      </c>
      <c r="AG352" s="6" t="str">
        <f>C352</f>
        <v>90MB1BJ0-C1BAY0</v>
      </c>
      <c r="AH352" s="6" t="str">
        <f>IF($D352&lt;=AH$4,"",IF(AND($D351=AH$4,$D352&gt;AH$4),$F351,AH351))</f>
        <v>59MB1BJB-MB0A02S</v>
      </c>
      <c r="AI352" s="6" t="str">
        <f>IF($D352&lt;=AI$4,"",IF(AND($D351=AI$4,$D352&gt;AI$4),$F351,AI351))</f>
        <v/>
      </c>
      <c r="AJ352" s="6" t="str">
        <f>IF($D352&lt;=AJ$4,"",IF(AND($D351=AJ$4,$D352&gt;AJ$4),$F351,AJ351))</f>
        <v/>
      </c>
      <c r="AK352" s="6" t="str">
        <f>IF($D352&lt;=AK$4,"",IF(AND($D351=AK$4,$D352&gt;AK$4),$F351,AK351))</f>
        <v/>
      </c>
      <c r="AL352" s="6" t="str">
        <f>IF($D352&lt;=AL$4,"",IF(AND($D351=AL$4,$D352&gt;AL$4),$F351,AL351))</f>
        <v/>
      </c>
      <c r="AM352" s="6" t="str">
        <f>IF($D352&lt;=AM$4,"",IF(AND($D351=AM$4,$D352&gt;AM$4),$F351,AM351))</f>
        <v/>
      </c>
      <c r="AN352" s="6" t="str">
        <f>IF($D352&lt;=AN$4,"",IF(AND($D351=AN$4,$D352&gt;AN$4),$F351,AN351))</f>
        <v/>
      </c>
      <c r="AO352" s="6" t="str">
        <f>CONCATENATE(AG352," | ",AH352," | ",AI352," | ",AJ352," | ",AK352," | ",AL352," | ",AM352," | ",AN352)</f>
        <v xml:space="preserve">90MB1BJ0-C1BAY0 | 59MB1BJB-MB0A02S |  |  |  |  |  | </v>
      </c>
      <c r="AP352" s="6">
        <f>IF(TRIM(H352)="",100,J352)</f>
        <v>100</v>
      </c>
      <c r="AQ352" s="4"/>
      <c r="AR352" s="6" t="b">
        <f>NOT(TRIM(W352)&lt;&gt;"F")</f>
        <v>1</v>
      </c>
      <c r="AS352" s="6" t="str">
        <f>$B352&amp;" | "&amp;$AO352&amp;" | "&amp;IF(TRIM(H352)="","uniq"&amp;ROW(),TRIM(H352))</f>
        <v>461E | 90MB1BJ0-C1BAY0 | 59MB1BJB-MB0A02S |  |  |  |  |  |  | C8</v>
      </c>
      <c r="AT352" s="63">
        <f>IF(NOT(AR352),IF(TRIM($H352)="","Assembly","Phantom Alt"),VLOOKUP(F352,ZPCS04!B:G,6,0))</f>
        <v>671</v>
      </c>
      <c r="AU352" s="7"/>
      <c r="AV352" s="38">
        <f ca="1">IF(TRIM($W352)="F",OFFSET($A$5,MATCH($AS352,$AS$5:$AS352,0)-1,0),$A352)</f>
        <v>352</v>
      </c>
      <c r="AW352" s="38">
        <f ca="1">IFERROR(OFFSET(ZPCS04!$A$1,MATCH(F352,ZPCS04!B:B,0)-1,0),100)</f>
        <v>1.9999999000000002</v>
      </c>
      <c r="AX352" s="7"/>
      <c r="AY352" s="6" t="b">
        <f>SUMIF(AS:AS,AS352,AP:AP)=100</f>
        <v>1</v>
      </c>
      <c r="AZ352" s="6" t="b">
        <f>SUMIF(AS:AS,AS352,AE:AE)/COUNTIF(AS:AS,AS352)=AE352</f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>C352&amp;" | "&amp;F352</f>
        <v>90MB1BJ0-C1BAY0 | 10G212255214010</v>
      </c>
      <c r="BE352" s="55" t="str">
        <f ca="1">C352&amp;" | "&amp;OFFSET($AF352,0,8-COUNTBLANK($AG352:$AN352))</f>
        <v>90MB1BJ0-C1BAY0 | 59MB1BJB-MB0A02S</v>
      </c>
      <c r="BF352" s="57">
        <f ca="1">IFERROR(VLOOKUP($BE352,$BD$5:$BF351,3,0)*$AE352,VLOOKUP($C352,Demanda!$A:$B,2,0)*$AE352)*IF(AT352="Phantom Alt",$BC352,TRUE)</f>
        <v>2000</v>
      </c>
      <c r="BG352" s="57">
        <f ca="1">BF352*(AP352/100)</f>
        <v>2000</v>
      </c>
      <c r="BH352" s="57">
        <f>SUMIF(Invoice!A:A,F352,Invoice!B:B)</f>
        <v>10000</v>
      </c>
      <c r="BI352" s="57">
        <f ca="1">SUMIF(AS:AS,AS352,BG:BG)</f>
        <v>2000</v>
      </c>
      <c r="BJ352" s="57">
        <f ca="1">MIN((BI352-SUMIF($AS$5:AS351,AS352,$BJ$5:BJ351)),MAX(0,BH352-SUMIF($F$5:F351,F352,$BJ$5:BJ351)))</f>
        <v>2000</v>
      </c>
      <c r="BK352" s="57">
        <f ca="1">(-SUMIF(AS:AS,AS352,BG:BG)+SUMIF(AS:AS,AS352,BJ:BJ))*(AP352=100)*AR352</f>
        <v>0</v>
      </c>
      <c r="BL352" s="57">
        <f ca="1">MAX(0,SUMIF(Invoice!A:A,F352,Invoice!B:B)-SUMIF(F:F,F352,BJ:BJ))*(COUNTIF(F:F,F352)=COUNTIF($F$5:F352,F352))</f>
        <v>8000</v>
      </c>
    </row>
    <row r="353" spans="1:64" hidden="1">
      <c r="A353" s="43">
        <v>353</v>
      </c>
      <c r="B353" s="35" t="s">
        <v>147</v>
      </c>
      <c r="C353" s="35" t="s">
        <v>146</v>
      </c>
      <c r="D353" s="35">
        <v>2</v>
      </c>
      <c r="E353" s="35">
        <v>1280</v>
      </c>
      <c r="F353" s="64" t="s">
        <v>883</v>
      </c>
      <c r="G353" s="73" t="s">
        <v>884</v>
      </c>
      <c r="H353" s="35" t="s">
        <v>882</v>
      </c>
      <c r="I353" s="35" t="s">
        <v>55</v>
      </c>
      <c r="J353" s="35">
        <v>0</v>
      </c>
      <c r="K353" s="35" t="s">
        <v>150</v>
      </c>
      <c r="L353" s="35" t="s">
        <v>53</v>
      </c>
      <c r="M353" s="35">
        <v>2</v>
      </c>
      <c r="N353" s="35"/>
      <c r="O353" s="35">
        <v>1</v>
      </c>
      <c r="P353" s="35">
        <v>2</v>
      </c>
      <c r="Q353" s="35">
        <v>2</v>
      </c>
      <c r="R353" s="35" t="s">
        <v>73</v>
      </c>
      <c r="S353" s="35" t="s">
        <v>73</v>
      </c>
      <c r="T353" s="36">
        <v>44901</v>
      </c>
      <c r="U353" s="36">
        <v>2958465</v>
      </c>
      <c r="V353" s="35" t="s">
        <v>282</v>
      </c>
      <c r="W353" s="35" t="s">
        <v>145</v>
      </c>
      <c r="X353" s="35"/>
      <c r="Y353" s="35" t="s">
        <v>143</v>
      </c>
      <c r="Z353" s="35">
        <v>7589154</v>
      </c>
      <c r="AA353" s="35">
        <v>594</v>
      </c>
      <c r="AB353" s="35">
        <v>297</v>
      </c>
      <c r="AC353" s="35"/>
      <c r="AE353" s="51">
        <f>M353/O353</f>
        <v>2</v>
      </c>
      <c r="AG353" s="6" t="str">
        <f>C353</f>
        <v>90MB1BJ0-C1BAY0</v>
      </c>
      <c r="AH353" s="6" t="str">
        <f>IF($D353&lt;=AH$4,"",IF(AND($D352=AH$4,$D353&gt;AH$4),$F352,AH352))</f>
        <v>59MB1BJB-MB0A02S</v>
      </c>
      <c r="AI353" s="6" t="str">
        <f>IF($D353&lt;=AI$4,"",IF(AND($D352=AI$4,$D353&gt;AI$4),$F352,AI352))</f>
        <v/>
      </c>
      <c r="AJ353" s="6" t="str">
        <f>IF($D353&lt;=AJ$4,"",IF(AND($D352=AJ$4,$D353&gt;AJ$4),$F352,AJ352))</f>
        <v/>
      </c>
      <c r="AK353" s="6" t="str">
        <f>IF($D353&lt;=AK$4,"",IF(AND($D352=AK$4,$D353&gt;AK$4),$F352,AK352))</f>
        <v/>
      </c>
      <c r="AL353" s="6" t="str">
        <f>IF($D353&lt;=AL$4,"",IF(AND($D352=AL$4,$D353&gt;AL$4),$F352,AL352))</f>
        <v/>
      </c>
      <c r="AM353" s="6" t="str">
        <f>IF($D353&lt;=AM$4,"",IF(AND($D352=AM$4,$D353&gt;AM$4),$F352,AM352))</f>
        <v/>
      </c>
      <c r="AN353" s="6" t="str">
        <f>IF($D353&lt;=AN$4,"",IF(AND($D352=AN$4,$D353&gt;AN$4),$F352,AN352))</f>
        <v/>
      </c>
      <c r="AO353" s="6" t="str">
        <f>CONCATENATE(AG353," | ",AH353," | ",AI353," | ",AJ353," | ",AK353," | ",AL353," | ",AM353," | ",AN353)</f>
        <v xml:space="preserve">90MB1BJ0-C1BAY0 | 59MB1BJB-MB0A02S |  |  |  |  |  | </v>
      </c>
      <c r="AP353" s="6">
        <f>IF(TRIM(H353)="",100,J353)</f>
        <v>0</v>
      </c>
      <c r="AQ353" s="4"/>
      <c r="AR353" s="6" t="b">
        <f>NOT(TRIM(W353)&lt;&gt;"F")</f>
        <v>1</v>
      </c>
      <c r="AS353" s="6" t="str">
        <f>$B353&amp;" | "&amp;$AO353&amp;" | "&amp;IF(TRIM(H353)="","uniq"&amp;ROW(),TRIM(H353))</f>
        <v>461E | 90MB1BJ0-C1BAY0 | 59MB1BJB-MB0A02S |  |  |  |  |  |  | C8</v>
      </c>
      <c r="AT353" s="63">
        <f>IF(NOT(AR353),IF(TRIM($H353)="","Assembly","Phantom Alt"),VLOOKUP(F353,ZPCS04!B:G,6,0))</f>
        <v>671</v>
      </c>
      <c r="AU353" s="7"/>
      <c r="AV353" s="38">
        <f ca="1">IF(TRIM($W353)="F",OFFSET($A$5,MATCH($AS353,$AS$5:$AS353,0)-1,0),$A353)</f>
        <v>352</v>
      </c>
      <c r="AW353" s="38">
        <f ca="1">IFERROR(OFFSET(ZPCS04!$A$1,MATCH(F353,ZPCS04!B:B,0)-1,0),100)</f>
        <v>2</v>
      </c>
      <c r="AX353" s="7"/>
      <c r="AY353" s="6" t="b">
        <f>SUMIF(AS:AS,AS353,AP:AP)=100</f>
        <v>1</v>
      </c>
      <c r="AZ353" s="6" t="b">
        <f>SUMIF(AS:AS,AS353,AE:AE)/COUNTIF(AS:AS,AS353)=AE353</f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>C353&amp;" | "&amp;F353</f>
        <v>90MB1BJ0-C1BAY0 | 10G212255214020</v>
      </c>
      <c r="BE353" s="55" t="str">
        <f ca="1">C353&amp;" | "&amp;OFFSET($AF353,0,8-COUNTBLANK($AG353:$AN353))</f>
        <v>90MB1BJ0-C1BAY0 | 59MB1BJB-MB0A02S</v>
      </c>
      <c r="BF353" s="57">
        <f ca="1">IFERROR(VLOOKUP($BE353,$BD$5:$BF352,3,0)*$AE353,VLOOKUP($C353,Demanda!$A:$B,2,0)*$AE353)*IF(AT353="Phantom Alt",$BC353,TRUE)</f>
        <v>2000</v>
      </c>
      <c r="BG353" s="57">
        <f ca="1">BF353*(AP353/100)</f>
        <v>0</v>
      </c>
      <c r="BH353" s="57">
        <f>SUMIF(Invoice!A:A,F353,Invoice!B:B)</f>
        <v>0</v>
      </c>
      <c r="BI353" s="57">
        <f ca="1">SUMIF(AS:AS,AS353,BG:BG)</f>
        <v>2000</v>
      </c>
      <c r="BJ353" s="57">
        <f ca="1">MIN((BI353-SUMIF($AS$5:AS352,AS353,$BJ$5:BJ352)),MAX(0,BH353-SUMIF($F$5:F352,F353,$BJ$5:BJ352)))</f>
        <v>0</v>
      </c>
      <c r="BK353" s="57">
        <f ca="1">(-SUMIF(AS:AS,AS353,BG:BG)+SUMIF(AS:AS,AS353,BJ:BJ))*(AP353=100)*AR353</f>
        <v>0</v>
      </c>
      <c r="BL353" s="57">
        <f ca="1">MAX(0,SUMIF(Invoice!A:A,F353,Invoice!B:B)-SUMIF(F:F,F353,BJ:BJ))*(COUNTIF(F:F,F353)=COUNTIF($F$5:F353,F353))</f>
        <v>0</v>
      </c>
    </row>
    <row r="354" spans="1:64" hidden="1">
      <c r="A354" s="43">
        <v>354</v>
      </c>
      <c r="B354" s="35" t="s">
        <v>147</v>
      </c>
      <c r="C354" s="35" t="s">
        <v>146</v>
      </c>
      <c r="D354" s="35">
        <v>2</v>
      </c>
      <c r="E354" s="35">
        <v>1280</v>
      </c>
      <c r="F354" s="64" t="s">
        <v>885</v>
      </c>
      <c r="G354" s="73" t="s">
        <v>886</v>
      </c>
      <c r="H354" s="35" t="s">
        <v>882</v>
      </c>
      <c r="I354" s="35" t="s">
        <v>55</v>
      </c>
      <c r="J354" s="35">
        <v>0</v>
      </c>
      <c r="K354" s="35" t="s">
        <v>150</v>
      </c>
      <c r="L354" s="35" t="s">
        <v>53</v>
      </c>
      <c r="M354" s="35">
        <v>2</v>
      </c>
      <c r="N354" s="35"/>
      <c r="O354" s="35">
        <v>1</v>
      </c>
      <c r="P354" s="35">
        <v>2</v>
      </c>
      <c r="Q354" s="35">
        <v>3</v>
      </c>
      <c r="R354" s="35" t="s">
        <v>73</v>
      </c>
      <c r="S354" s="35" t="s">
        <v>73</v>
      </c>
      <c r="T354" s="36">
        <v>44901</v>
      </c>
      <c r="U354" s="36">
        <v>2958465</v>
      </c>
      <c r="V354" s="35" t="s">
        <v>282</v>
      </c>
      <c r="W354" s="35" t="s">
        <v>145</v>
      </c>
      <c r="X354" s="35"/>
      <c r="Y354" s="35" t="s">
        <v>143</v>
      </c>
      <c r="Z354" s="35">
        <v>7589154</v>
      </c>
      <c r="AA354" s="35">
        <v>596</v>
      </c>
      <c r="AB354" s="35">
        <v>298</v>
      </c>
      <c r="AC354" s="35" t="s">
        <v>144</v>
      </c>
      <c r="AE354" s="51">
        <f>M354/O354</f>
        <v>2</v>
      </c>
      <c r="AG354" s="6" t="str">
        <f>C354</f>
        <v>90MB1BJ0-C1BAY0</v>
      </c>
      <c r="AH354" s="6" t="str">
        <f>IF($D354&lt;=AH$4,"",IF(AND($D353=AH$4,$D354&gt;AH$4),$F353,AH353))</f>
        <v>59MB1BJB-MB0A02S</v>
      </c>
      <c r="AI354" s="6" t="str">
        <f>IF($D354&lt;=AI$4,"",IF(AND($D353=AI$4,$D354&gt;AI$4),$F353,AI353))</f>
        <v/>
      </c>
      <c r="AJ354" s="6" t="str">
        <f>IF($D354&lt;=AJ$4,"",IF(AND($D353=AJ$4,$D354&gt;AJ$4),$F353,AJ353))</f>
        <v/>
      </c>
      <c r="AK354" s="6" t="str">
        <f>IF($D354&lt;=AK$4,"",IF(AND($D353=AK$4,$D354&gt;AK$4),$F353,AK353))</f>
        <v/>
      </c>
      <c r="AL354" s="6" t="str">
        <f>IF($D354&lt;=AL$4,"",IF(AND($D353=AL$4,$D354&gt;AL$4),$F353,AL353))</f>
        <v/>
      </c>
      <c r="AM354" s="6" t="str">
        <f>IF($D354&lt;=AM$4,"",IF(AND($D353=AM$4,$D354&gt;AM$4),$F353,AM353))</f>
        <v/>
      </c>
      <c r="AN354" s="6" t="str">
        <f>IF($D354&lt;=AN$4,"",IF(AND($D353=AN$4,$D354&gt;AN$4),$F353,AN353))</f>
        <v/>
      </c>
      <c r="AO354" s="6" t="str">
        <f>CONCATENATE(AG354," | ",AH354," | ",AI354," | ",AJ354," | ",AK354," | ",AL354," | ",AM354," | ",AN354)</f>
        <v xml:space="preserve">90MB1BJ0-C1BAY0 | 59MB1BJB-MB0A02S |  |  |  |  |  | </v>
      </c>
      <c r="AP354" s="6">
        <f>IF(TRIM(H354)="",100,J354)</f>
        <v>0</v>
      </c>
      <c r="AQ354" s="4"/>
      <c r="AR354" s="6" t="b">
        <f>NOT(TRIM(W354)&lt;&gt;"F")</f>
        <v>1</v>
      </c>
      <c r="AS354" s="6" t="str">
        <f>$B354&amp;" | "&amp;$AO354&amp;" | "&amp;IF(TRIM(H354)="","uniq"&amp;ROW(),TRIM(H354))</f>
        <v>461E | 90MB1BJ0-C1BAY0 | 59MB1BJB-MB0A02S |  |  |  |  |  |  | C8</v>
      </c>
      <c r="AT354" s="63">
        <f>IF(NOT(AR354),IF(TRIM($H354)="","Assembly","Phantom Alt"),VLOOKUP(F354,ZPCS04!B:G,6,0))</f>
        <v>671</v>
      </c>
      <c r="AU354" s="7"/>
      <c r="AV354" s="38">
        <f ca="1">IF(TRIM($W354)="F",OFFSET($A$5,MATCH($AS354,$AS$5:$AS354,0)-1,0),$A354)</f>
        <v>352</v>
      </c>
      <c r="AW354" s="38">
        <f ca="1">IFERROR(OFFSET(ZPCS04!$A$1,MATCH(F354,ZPCS04!B:B,0)-1,0),100)</f>
        <v>2</v>
      </c>
      <c r="AX354" s="7"/>
      <c r="AY354" s="6" t="b">
        <f>SUMIF(AS:AS,AS354,AP:AP)=100</f>
        <v>1</v>
      </c>
      <c r="AZ354" s="6" t="b">
        <f>SUMIF(AS:AS,AS354,AE:AE)/COUNTIF(AS:AS,AS354)=AE354</f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>C354&amp;" | "&amp;F354</f>
        <v>90MB1BJ0-C1BAY0 | 10G212255214050</v>
      </c>
      <c r="BE354" s="55" t="str">
        <f ca="1">C354&amp;" | "&amp;OFFSET($AF354,0,8-COUNTBLANK($AG354:$AN354))</f>
        <v>90MB1BJ0-C1BAY0 | 59MB1BJB-MB0A02S</v>
      </c>
      <c r="BF354" s="57">
        <f ca="1">IFERROR(VLOOKUP($BE354,$BD$5:$BF353,3,0)*$AE354,VLOOKUP($C354,Demanda!$A:$B,2,0)*$AE354)*IF(AT354="Phantom Alt",$BC354,TRUE)</f>
        <v>2000</v>
      </c>
      <c r="BG354" s="57">
        <f ca="1">BF354*(AP354/100)</f>
        <v>0</v>
      </c>
      <c r="BH354" s="57">
        <f>SUMIF(Invoice!A:A,F354,Invoice!B:B)</f>
        <v>0</v>
      </c>
      <c r="BI354" s="57">
        <f ca="1">SUMIF(AS:AS,AS354,BG:BG)</f>
        <v>2000</v>
      </c>
      <c r="BJ354" s="57">
        <f ca="1">MIN((BI354-SUMIF($AS$5:AS353,AS354,$BJ$5:BJ353)),MAX(0,BH354-SUMIF($F$5:F353,F354,$BJ$5:BJ353)))</f>
        <v>0</v>
      </c>
      <c r="BK354" s="57">
        <f ca="1">(-SUMIF(AS:AS,AS354,BG:BG)+SUMIF(AS:AS,AS354,BJ:BJ))*(AP354=100)*AR354</f>
        <v>0</v>
      </c>
      <c r="BL354" s="57">
        <f ca="1">MAX(0,SUMIF(Invoice!A:A,F354,Invoice!B:B)-SUMIF(F:F,F354,BJ:BJ))*(COUNTIF(F:F,F354)=COUNTIF($F$5:F354,F354))</f>
        <v>0</v>
      </c>
    </row>
    <row r="355" spans="1:64" hidden="1">
      <c r="A355" s="43">
        <v>355</v>
      </c>
      <c r="B355" s="35" t="s">
        <v>147</v>
      </c>
      <c r="C355" s="35" t="s">
        <v>146</v>
      </c>
      <c r="D355" s="35">
        <v>2</v>
      </c>
      <c r="E355" s="35">
        <v>1290</v>
      </c>
      <c r="F355" s="64" t="s">
        <v>887</v>
      </c>
      <c r="G355" s="73" t="s">
        <v>888</v>
      </c>
      <c r="H355" s="35" t="s">
        <v>889</v>
      </c>
      <c r="I355" s="35" t="s">
        <v>54</v>
      </c>
      <c r="J355" s="35">
        <v>100</v>
      </c>
      <c r="K355" s="35" t="s">
        <v>489</v>
      </c>
      <c r="L355" s="35" t="s">
        <v>53</v>
      </c>
      <c r="M355" s="35">
        <v>21</v>
      </c>
      <c r="N355" s="35">
        <v>21</v>
      </c>
      <c r="O355" s="35">
        <v>1</v>
      </c>
      <c r="P355" s="35">
        <v>2</v>
      </c>
      <c r="Q355" s="35">
        <v>1</v>
      </c>
      <c r="R355" s="35" t="s">
        <v>73</v>
      </c>
      <c r="S355" s="35" t="s">
        <v>73</v>
      </c>
      <c r="T355" s="36">
        <v>44901</v>
      </c>
      <c r="U355" s="36">
        <v>2958465</v>
      </c>
      <c r="V355" s="35" t="s">
        <v>282</v>
      </c>
      <c r="W355" s="35" t="s">
        <v>145</v>
      </c>
      <c r="X355" s="35"/>
      <c r="Y355" s="35" t="s">
        <v>143</v>
      </c>
      <c r="Z355" s="35">
        <v>7589154</v>
      </c>
      <c r="AA355" s="35">
        <v>598</v>
      </c>
      <c r="AB355" s="35">
        <v>299</v>
      </c>
      <c r="AC355" s="35"/>
      <c r="AE355" s="51">
        <f>M355/O355</f>
        <v>21</v>
      </c>
      <c r="AG355" s="6" t="str">
        <f>C355</f>
        <v>90MB1BJ0-C1BAY0</v>
      </c>
      <c r="AH355" s="6" t="str">
        <f>IF($D355&lt;=AH$4,"",IF(AND($D354=AH$4,$D355&gt;AH$4),$F354,AH354))</f>
        <v>59MB1BJB-MB0A02S</v>
      </c>
      <c r="AI355" s="6" t="str">
        <f>IF($D355&lt;=AI$4,"",IF(AND($D354=AI$4,$D355&gt;AI$4),$F354,AI354))</f>
        <v/>
      </c>
      <c r="AJ355" s="6" t="str">
        <f>IF($D355&lt;=AJ$4,"",IF(AND($D354=AJ$4,$D355&gt;AJ$4),$F354,AJ354))</f>
        <v/>
      </c>
      <c r="AK355" s="6" t="str">
        <f>IF($D355&lt;=AK$4,"",IF(AND($D354=AK$4,$D355&gt;AK$4),$F354,AK354))</f>
        <v/>
      </c>
      <c r="AL355" s="6" t="str">
        <f>IF($D355&lt;=AL$4,"",IF(AND($D354=AL$4,$D355&gt;AL$4),$F354,AL354))</f>
        <v/>
      </c>
      <c r="AM355" s="6" t="str">
        <f>IF($D355&lt;=AM$4,"",IF(AND($D354=AM$4,$D355&gt;AM$4),$F354,AM354))</f>
        <v/>
      </c>
      <c r="AN355" s="6" t="str">
        <f>IF($D355&lt;=AN$4,"",IF(AND($D354=AN$4,$D355&gt;AN$4),$F354,AN354))</f>
        <v/>
      </c>
      <c r="AO355" s="6" t="str">
        <f>CONCATENATE(AG355," | ",AH355," | ",AI355," | ",AJ355," | ",AK355," | ",AL355," | ",AM355," | ",AN355)</f>
        <v xml:space="preserve">90MB1BJ0-C1BAY0 | 59MB1BJB-MB0A02S |  |  |  |  |  | </v>
      </c>
      <c r="AP355" s="6">
        <f>IF(TRIM(H355)="",100,J355)</f>
        <v>100</v>
      </c>
      <c r="AQ355" s="4"/>
      <c r="AR355" s="6" t="b">
        <f>NOT(TRIM(W355)&lt;&gt;"F")</f>
        <v>1</v>
      </c>
      <c r="AS355" s="6" t="str">
        <f>$B355&amp;" | "&amp;$AO355&amp;" | "&amp;IF(TRIM(H355)="","uniq"&amp;ROW(),TRIM(H355))</f>
        <v>461E | 90MB1BJ0-C1BAY0 | 59MB1BJB-MB0A02S |  |  |  |  |  |  | C9</v>
      </c>
      <c r="AT355" s="63">
        <f>IF(NOT(AR355),IF(TRIM($H355)="","Assembly","Phantom Alt"),VLOOKUP(F355,ZPCS04!B:G,6,0))</f>
        <v>672</v>
      </c>
      <c r="AU355" s="7"/>
      <c r="AV355" s="38">
        <f ca="1">IF(TRIM($W355)="F",OFFSET($A$5,MATCH($AS355,$AS$5:$AS355,0)-1,0),$A355)</f>
        <v>355</v>
      </c>
      <c r="AW355" s="38">
        <f ca="1">IFERROR(OFFSET(ZPCS04!$A$1,MATCH(F355,ZPCS04!B:B,0)-1,0),100)</f>
        <v>1.9999997</v>
      </c>
      <c r="AX355" s="7"/>
      <c r="AY355" s="6" t="b">
        <f>SUMIF(AS:AS,AS355,AP:AP)=100</f>
        <v>1</v>
      </c>
      <c r="AZ355" s="6" t="b">
        <f>SUMIF(AS:AS,AS355,AE:AE)/COUNTIF(AS:AS,AS355)=AE355</f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>C355&amp;" | "&amp;F355</f>
        <v>90MB1BJ0-C1BAY0 | 10G212270114010</v>
      </c>
      <c r="BE355" s="55" t="str">
        <f ca="1">C355&amp;" | "&amp;OFFSET($AF355,0,8-COUNTBLANK($AG355:$AN355))</f>
        <v>90MB1BJ0-C1BAY0 | 59MB1BJB-MB0A02S</v>
      </c>
      <c r="BF355" s="57">
        <f ca="1">IFERROR(VLOOKUP($BE355,$BD$5:$BF354,3,0)*$AE355,VLOOKUP($C355,Demanda!$A:$B,2,0)*$AE355)*IF(AT355="Phantom Alt",$BC355,TRUE)</f>
        <v>21000</v>
      </c>
      <c r="BG355" s="57">
        <f ca="1">BF355*(AP355/100)</f>
        <v>21000</v>
      </c>
      <c r="BH355" s="57">
        <f>SUMIF(Invoice!A:A,F355,Invoice!B:B)</f>
        <v>30000</v>
      </c>
      <c r="BI355" s="57">
        <f ca="1">SUMIF(AS:AS,AS355,BG:BG)</f>
        <v>21000</v>
      </c>
      <c r="BJ355" s="57">
        <f ca="1">MIN((BI355-SUMIF($AS$5:AS354,AS355,$BJ$5:BJ354)),MAX(0,BH355-SUMIF($F$5:F354,F355,$BJ$5:BJ354)))</f>
        <v>21000</v>
      </c>
      <c r="BK355" s="57">
        <f ca="1">(-SUMIF(AS:AS,AS355,BG:BG)+SUMIF(AS:AS,AS355,BJ:BJ))*(AP355=100)*AR355</f>
        <v>0</v>
      </c>
      <c r="BL355" s="57">
        <f ca="1">MAX(0,SUMIF(Invoice!A:A,F355,Invoice!B:B)-SUMIF(F:F,F355,BJ:BJ))*(COUNTIF(F:F,F355)=COUNTIF($F$5:F355,F355))</f>
        <v>9000</v>
      </c>
    </row>
    <row r="356" spans="1:64" hidden="1">
      <c r="A356" s="43">
        <v>356</v>
      </c>
      <c r="B356" s="35" t="s">
        <v>147</v>
      </c>
      <c r="C356" s="35" t="s">
        <v>146</v>
      </c>
      <c r="D356" s="35">
        <v>2</v>
      </c>
      <c r="E356" s="35">
        <v>1290</v>
      </c>
      <c r="F356" s="64" t="s">
        <v>890</v>
      </c>
      <c r="G356" s="73" t="s">
        <v>891</v>
      </c>
      <c r="H356" s="35" t="s">
        <v>889</v>
      </c>
      <c r="I356" s="35" t="s">
        <v>55</v>
      </c>
      <c r="J356" s="35">
        <v>0</v>
      </c>
      <c r="K356" s="35" t="s">
        <v>150</v>
      </c>
      <c r="L356" s="35" t="s">
        <v>53</v>
      </c>
      <c r="M356" s="35">
        <v>21</v>
      </c>
      <c r="N356" s="35"/>
      <c r="O356" s="35">
        <v>1</v>
      </c>
      <c r="P356" s="35">
        <v>2</v>
      </c>
      <c r="Q356" s="35">
        <v>2</v>
      </c>
      <c r="R356" s="35" t="s">
        <v>73</v>
      </c>
      <c r="S356" s="35" t="s">
        <v>73</v>
      </c>
      <c r="T356" s="36">
        <v>44901</v>
      </c>
      <c r="U356" s="36">
        <v>2958465</v>
      </c>
      <c r="V356" s="35" t="s">
        <v>282</v>
      </c>
      <c r="W356" s="35" t="s">
        <v>145</v>
      </c>
      <c r="X356" s="35"/>
      <c r="Y356" s="35" t="s">
        <v>143</v>
      </c>
      <c r="Z356" s="35">
        <v>7589154</v>
      </c>
      <c r="AA356" s="35">
        <v>600</v>
      </c>
      <c r="AB356" s="35">
        <v>300</v>
      </c>
      <c r="AC356" s="35"/>
      <c r="AE356" s="51">
        <f>M356/O356</f>
        <v>21</v>
      </c>
      <c r="AG356" s="6" t="str">
        <f>C356</f>
        <v>90MB1BJ0-C1BAY0</v>
      </c>
      <c r="AH356" s="6" t="str">
        <f>IF($D356&lt;=AH$4,"",IF(AND($D355=AH$4,$D356&gt;AH$4),$F355,AH355))</f>
        <v>59MB1BJB-MB0A02S</v>
      </c>
      <c r="AI356" s="6" t="str">
        <f>IF($D356&lt;=AI$4,"",IF(AND($D355=AI$4,$D356&gt;AI$4),$F355,AI355))</f>
        <v/>
      </c>
      <c r="AJ356" s="6" t="str">
        <f>IF($D356&lt;=AJ$4,"",IF(AND($D355=AJ$4,$D356&gt;AJ$4),$F355,AJ355))</f>
        <v/>
      </c>
      <c r="AK356" s="6" t="str">
        <f>IF($D356&lt;=AK$4,"",IF(AND($D355=AK$4,$D356&gt;AK$4),$F355,AK355))</f>
        <v/>
      </c>
      <c r="AL356" s="6" t="str">
        <f>IF($D356&lt;=AL$4,"",IF(AND($D355=AL$4,$D356&gt;AL$4),$F355,AL355))</f>
        <v/>
      </c>
      <c r="AM356" s="6" t="str">
        <f>IF($D356&lt;=AM$4,"",IF(AND($D355=AM$4,$D356&gt;AM$4),$F355,AM355))</f>
        <v/>
      </c>
      <c r="AN356" s="6" t="str">
        <f>IF($D356&lt;=AN$4,"",IF(AND($D355=AN$4,$D356&gt;AN$4),$F355,AN355))</f>
        <v/>
      </c>
      <c r="AO356" s="6" t="str">
        <f>CONCATENATE(AG356," | ",AH356," | ",AI356," | ",AJ356," | ",AK356," | ",AL356," | ",AM356," | ",AN356)</f>
        <v xml:space="preserve">90MB1BJ0-C1BAY0 | 59MB1BJB-MB0A02S |  |  |  |  |  | </v>
      </c>
      <c r="AP356" s="6">
        <f>IF(TRIM(H356)="",100,J356)</f>
        <v>0</v>
      </c>
      <c r="AQ356" s="4"/>
      <c r="AR356" s="6" t="b">
        <f>NOT(TRIM(W356)&lt;&gt;"F")</f>
        <v>1</v>
      </c>
      <c r="AS356" s="6" t="str">
        <f>$B356&amp;" | "&amp;$AO356&amp;" | "&amp;IF(TRIM(H356)="","uniq"&amp;ROW(),TRIM(H356))</f>
        <v>461E | 90MB1BJ0-C1BAY0 | 59MB1BJB-MB0A02S |  |  |  |  |  |  | C9</v>
      </c>
      <c r="AT356" s="63">
        <f>IF(NOT(AR356),IF(TRIM($H356)="","Assembly","Phantom Alt"),VLOOKUP(F356,ZPCS04!B:G,6,0))</f>
        <v>672</v>
      </c>
      <c r="AU356" s="7"/>
      <c r="AV356" s="38">
        <f ca="1">IF(TRIM($W356)="F",OFFSET($A$5,MATCH($AS356,$AS$5:$AS356,0)-1,0),$A356)</f>
        <v>355</v>
      </c>
      <c r="AW356" s="38">
        <f ca="1">IFERROR(OFFSET(ZPCS04!$A$1,MATCH(F356,ZPCS04!B:B,0)-1,0),100)</f>
        <v>2</v>
      </c>
      <c r="AX356" s="7"/>
      <c r="AY356" s="6" t="b">
        <f>SUMIF(AS:AS,AS356,AP:AP)=100</f>
        <v>1</v>
      </c>
      <c r="AZ356" s="6" t="b">
        <f>SUMIF(AS:AS,AS356,AE:AE)/COUNTIF(AS:AS,AS356)=AE356</f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>C356&amp;" | "&amp;F356</f>
        <v>90MB1BJ0-C1BAY0 | 10G212270114020</v>
      </c>
      <c r="BE356" s="55" t="str">
        <f ca="1">C356&amp;" | "&amp;OFFSET($AF356,0,8-COUNTBLANK($AG356:$AN356))</f>
        <v>90MB1BJ0-C1BAY0 | 59MB1BJB-MB0A02S</v>
      </c>
      <c r="BF356" s="57">
        <f ca="1">IFERROR(VLOOKUP($BE356,$BD$5:$BF355,3,0)*$AE356,VLOOKUP($C356,Demanda!$A:$B,2,0)*$AE356)*IF(AT356="Phantom Alt",$BC356,TRUE)</f>
        <v>21000</v>
      </c>
      <c r="BG356" s="57">
        <f ca="1">BF356*(AP356/100)</f>
        <v>0</v>
      </c>
      <c r="BH356" s="57">
        <f>SUMIF(Invoice!A:A,F356,Invoice!B:B)</f>
        <v>0</v>
      </c>
      <c r="BI356" s="57">
        <f ca="1">SUMIF(AS:AS,AS356,BG:BG)</f>
        <v>21000</v>
      </c>
      <c r="BJ356" s="57">
        <f ca="1">MIN((BI356-SUMIF($AS$5:AS355,AS356,$BJ$5:BJ355)),MAX(0,BH356-SUMIF($F$5:F355,F356,$BJ$5:BJ355)))</f>
        <v>0</v>
      </c>
      <c r="BK356" s="57">
        <f ca="1">(-SUMIF(AS:AS,AS356,BG:BG)+SUMIF(AS:AS,AS356,BJ:BJ))*(AP356=100)*AR356</f>
        <v>0</v>
      </c>
      <c r="BL356" s="57">
        <f ca="1">MAX(0,SUMIF(Invoice!A:A,F356,Invoice!B:B)-SUMIF(F:F,F356,BJ:BJ))*(COUNTIF(F:F,F356)=COUNTIF($F$5:F356,F356))</f>
        <v>0</v>
      </c>
    </row>
    <row r="357" spans="1:64" hidden="1">
      <c r="A357" s="43">
        <v>357</v>
      </c>
      <c r="B357" s="35" t="s">
        <v>147</v>
      </c>
      <c r="C357" s="35" t="s">
        <v>146</v>
      </c>
      <c r="D357" s="35">
        <v>2</v>
      </c>
      <c r="E357" s="35">
        <v>1290</v>
      </c>
      <c r="F357" s="64" t="s">
        <v>892</v>
      </c>
      <c r="G357" s="73" t="s">
        <v>893</v>
      </c>
      <c r="H357" s="35" t="s">
        <v>889</v>
      </c>
      <c r="I357" s="35" t="s">
        <v>55</v>
      </c>
      <c r="J357" s="35">
        <v>0</v>
      </c>
      <c r="K357" s="35" t="s">
        <v>150</v>
      </c>
      <c r="L357" s="35" t="s">
        <v>53</v>
      </c>
      <c r="M357" s="35">
        <v>21</v>
      </c>
      <c r="N357" s="35"/>
      <c r="O357" s="35">
        <v>1</v>
      </c>
      <c r="P357" s="35">
        <v>2</v>
      </c>
      <c r="Q357" s="35">
        <v>3</v>
      </c>
      <c r="R357" s="35" t="s">
        <v>73</v>
      </c>
      <c r="S357" s="35" t="s">
        <v>73</v>
      </c>
      <c r="T357" s="36">
        <v>44901</v>
      </c>
      <c r="U357" s="36">
        <v>2958465</v>
      </c>
      <c r="V357" s="35" t="s">
        <v>282</v>
      </c>
      <c r="W357" s="35" t="s">
        <v>145</v>
      </c>
      <c r="X357" s="35"/>
      <c r="Y357" s="35" t="s">
        <v>143</v>
      </c>
      <c r="Z357" s="35">
        <v>7589154</v>
      </c>
      <c r="AA357" s="35">
        <v>602</v>
      </c>
      <c r="AB357" s="35">
        <v>301</v>
      </c>
      <c r="AC357" s="35" t="s">
        <v>144</v>
      </c>
      <c r="AE357" s="51">
        <f>M357/O357</f>
        <v>21</v>
      </c>
      <c r="AG357" s="6" t="str">
        <f>C357</f>
        <v>90MB1BJ0-C1BAY0</v>
      </c>
      <c r="AH357" s="6" t="str">
        <f>IF($D357&lt;=AH$4,"",IF(AND($D356=AH$4,$D357&gt;AH$4),$F356,AH356))</f>
        <v>59MB1BJB-MB0A02S</v>
      </c>
      <c r="AI357" s="6" t="str">
        <f>IF($D357&lt;=AI$4,"",IF(AND($D356=AI$4,$D357&gt;AI$4),$F356,AI356))</f>
        <v/>
      </c>
      <c r="AJ357" s="6" t="str">
        <f>IF($D357&lt;=AJ$4,"",IF(AND($D356=AJ$4,$D357&gt;AJ$4),$F356,AJ356))</f>
        <v/>
      </c>
      <c r="AK357" s="6" t="str">
        <f>IF($D357&lt;=AK$4,"",IF(AND($D356=AK$4,$D357&gt;AK$4),$F356,AK356))</f>
        <v/>
      </c>
      <c r="AL357" s="6" t="str">
        <f>IF($D357&lt;=AL$4,"",IF(AND($D356=AL$4,$D357&gt;AL$4),$F356,AL356))</f>
        <v/>
      </c>
      <c r="AM357" s="6" t="str">
        <f>IF($D357&lt;=AM$4,"",IF(AND($D356=AM$4,$D357&gt;AM$4),$F356,AM356))</f>
        <v/>
      </c>
      <c r="AN357" s="6" t="str">
        <f>IF($D357&lt;=AN$4,"",IF(AND($D356=AN$4,$D357&gt;AN$4),$F356,AN356))</f>
        <v/>
      </c>
      <c r="AO357" s="6" t="str">
        <f>CONCATENATE(AG357," | ",AH357," | ",AI357," | ",AJ357," | ",AK357," | ",AL357," | ",AM357," | ",AN357)</f>
        <v xml:space="preserve">90MB1BJ0-C1BAY0 | 59MB1BJB-MB0A02S |  |  |  |  |  | </v>
      </c>
      <c r="AP357" s="6">
        <f>IF(TRIM(H357)="",100,J357)</f>
        <v>0</v>
      </c>
      <c r="AQ357" s="4"/>
      <c r="AR357" s="6" t="b">
        <f>NOT(TRIM(W357)&lt;&gt;"F")</f>
        <v>1</v>
      </c>
      <c r="AS357" s="6" t="str">
        <f>$B357&amp;" | "&amp;$AO357&amp;" | "&amp;IF(TRIM(H357)="","uniq"&amp;ROW(),TRIM(H357))</f>
        <v>461E | 90MB1BJ0-C1BAY0 | 59MB1BJB-MB0A02S |  |  |  |  |  |  | C9</v>
      </c>
      <c r="AT357" s="63">
        <f>IF(NOT(AR357),IF(TRIM($H357)="","Assembly","Phantom Alt"),VLOOKUP(F357,ZPCS04!B:G,6,0))</f>
        <v>672</v>
      </c>
      <c r="AU357" s="7"/>
      <c r="AV357" s="38">
        <f ca="1">IF(TRIM($W357)="F",OFFSET($A$5,MATCH($AS357,$AS$5:$AS357,0)-1,0),$A357)</f>
        <v>355</v>
      </c>
      <c r="AW357" s="38">
        <f ca="1">IFERROR(OFFSET(ZPCS04!$A$1,MATCH(F357,ZPCS04!B:B,0)-1,0),100)</f>
        <v>2</v>
      </c>
      <c r="AX357" s="7"/>
      <c r="AY357" s="6" t="b">
        <f>SUMIF(AS:AS,AS357,AP:AP)=100</f>
        <v>1</v>
      </c>
      <c r="AZ357" s="6" t="b">
        <f>SUMIF(AS:AS,AS357,AE:AE)/COUNTIF(AS:AS,AS357)=AE357</f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>C357&amp;" | "&amp;F357</f>
        <v>90MB1BJ0-C1BAY0 | 10G212270114050</v>
      </c>
      <c r="BE357" s="55" t="str">
        <f ca="1">C357&amp;" | "&amp;OFFSET($AF357,0,8-COUNTBLANK($AG357:$AN357))</f>
        <v>90MB1BJ0-C1BAY0 | 59MB1BJB-MB0A02S</v>
      </c>
      <c r="BF357" s="57">
        <f ca="1">IFERROR(VLOOKUP($BE357,$BD$5:$BF356,3,0)*$AE357,VLOOKUP($C357,Demanda!$A:$B,2,0)*$AE357)*IF(AT357="Phantom Alt",$BC357,TRUE)</f>
        <v>21000</v>
      </c>
      <c r="BG357" s="57">
        <f ca="1">BF357*(AP357/100)</f>
        <v>0</v>
      </c>
      <c r="BH357" s="57">
        <f>SUMIF(Invoice!A:A,F357,Invoice!B:B)</f>
        <v>0</v>
      </c>
      <c r="BI357" s="57">
        <f ca="1">SUMIF(AS:AS,AS357,BG:BG)</f>
        <v>21000</v>
      </c>
      <c r="BJ357" s="57">
        <f ca="1">MIN((BI357-SUMIF($AS$5:AS356,AS357,$BJ$5:BJ356)),MAX(0,BH357-SUMIF($F$5:F356,F357,$BJ$5:BJ356)))</f>
        <v>0</v>
      </c>
      <c r="BK357" s="57">
        <f ca="1">(-SUMIF(AS:AS,AS357,BG:BG)+SUMIF(AS:AS,AS357,BJ:BJ))*(AP357=100)*AR357</f>
        <v>0</v>
      </c>
      <c r="BL357" s="57">
        <f ca="1">MAX(0,SUMIF(Invoice!A:A,F357,Invoice!B:B)-SUMIF(F:F,F357,BJ:BJ))*(COUNTIF(F:F,F357)=COUNTIF($F$5:F357,F357))</f>
        <v>0</v>
      </c>
    </row>
    <row r="358" spans="1:64" hidden="1">
      <c r="A358" s="43">
        <v>358</v>
      </c>
      <c r="B358" s="35" t="s">
        <v>147</v>
      </c>
      <c r="C358" s="35" t="s">
        <v>146</v>
      </c>
      <c r="D358" s="35">
        <v>2</v>
      </c>
      <c r="E358" s="35">
        <v>1300</v>
      </c>
      <c r="F358" s="64" t="s">
        <v>894</v>
      </c>
      <c r="G358" s="73" t="s">
        <v>895</v>
      </c>
      <c r="H358" s="35" t="s">
        <v>896</v>
      </c>
      <c r="I358" s="35" t="s">
        <v>55</v>
      </c>
      <c r="J358" s="35">
        <v>0</v>
      </c>
      <c r="K358" s="35" t="s">
        <v>489</v>
      </c>
      <c r="L358" s="35" t="s">
        <v>53</v>
      </c>
      <c r="M358" s="35">
        <v>1</v>
      </c>
      <c r="N358" s="35"/>
      <c r="O358" s="35">
        <v>1</v>
      </c>
      <c r="P358" s="35">
        <v>2</v>
      </c>
      <c r="Q358" s="35">
        <v>3</v>
      </c>
      <c r="R358" s="35" t="s">
        <v>73</v>
      </c>
      <c r="S358" s="35" t="s">
        <v>73</v>
      </c>
      <c r="T358" s="36">
        <v>44901</v>
      </c>
      <c r="U358" s="36">
        <v>2958465</v>
      </c>
      <c r="V358" s="35" t="s">
        <v>282</v>
      </c>
      <c r="W358" s="35" t="s">
        <v>145</v>
      </c>
      <c r="X358" s="35"/>
      <c r="Y358" s="35" t="s">
        <v>143</v>
      </c>
      <c r="Z358" s="35">
        <v>7589154</v>
      </c>
      <c r="AA358" s="35">
        <v>608</v>
      </c>
      <c r="AB358" s="35">
        <v>304</v>
      </c>
      <c r="AC358" s="35"/>
      <c r="AE358" s="51">
        <f>M358/O358</f>
        <v>1</v>
      </c>
      <c r="AG358" s="6" t="str">
        <f>C358</f>
        <v>90MB1BJ0-C1BAY0</v>
      </c>
      <c r="AH358" s="6" t="str">
        <f>IF($D358&lt;=AH$4,"",IF(AND($D357=AH$4,$D358&gt;AH$4),$F357,AH357))</f>
        <v>59MB1BJB-MB0A02S</v>
      </c>
      <c r="AI358" s="6" t="str">
        <f>IF($D358&lt;=AI$4,"",IF(AND($D357=AI$4,$D358&gt;AI$4),$F357,AI357))</f>
        <v/>
      </c>
      <c r="AJ358" s="6" t="str">
        <f>IF($D358&lt;=AJ$4,"",IF(AND($D357=AJ$4,$D358&gt;AJ$4),$F357,AJ357))</f>
        <v/>
      </c>
      <c r="AK358" s="6" t="str">
        <f>IF($D358&lt;=AK$4,"",IF(AND($D357=AK$4,$D358&gt;AK$4),$F357,AK357))</f>
        <v/>
      </c>
      <c r="AL358" s="6" t="str">
        <f>IF($D358&lt;=AL$4,"",IF(AND($D357=AL$4,$D358&gt;AL$4),$F357,AL357))</f>
        <v/>
      </c>
      <c r="AM358" s="6" t="str">
        <f>IF($D358&lt;=AM$4,"",IF(AND($D357=AM$4,$D358&gt;AM$4),$F357,AM357))</f>
        <v/>
      </c>
      <c r="AN358" s="6" t="str">
        <f>IF($D358&lt;=AN$4,"",IF(AND($D357=AN$4,$D358&gt;AN$4),$F357,AN357))</f>
        <v/>
      </c>
      <c r="AO358" s="6" t="str">
        <f>CONCATENATE(AG358," | ",AH358," | ",AI358," | ",AJ358," | ",AK358," | ",AL358," | ",AM358," | ",AN358)</f>
        <v xml:space="preserve">90MB1BJ0-C1BAY0 | 59MB1BJB-MB0A02S |  |  |  |  |  | </v>
      </c>
      <c r="AP358" s="6">
        <f>IF(TRIM(H358)="",100,J358)</f>
        <v>0</v>
      </c>
      <c r="AQ358" s="4"/>
      <c r="AR358" s="6" t="b">
        <f>NOT(TRIM(W358)&lt;&gt;"F")</f>
        <v>1</v>
      </c>
      <c r="AS358" s="6" t="str">
        <f>$B358&amp;" | "&amp;$AO358&amp;" | "&amp;IF(TRIM(H358)="","uniq"&amp;ROW(),TRIM(H358))</f>
        <v>461E | 90MB1BJ0-C1BAY0 | 59MB1BJB-MB0A02S |  |  |  |  |  |  | D0</v>
      </c>
      <c r="AT358" s="63">
        <f>IF(NOT(AR358),IF(TRIM($H358)="","Assembly","Phantom Alt"),VLOOKUP(F358,ZPCS04!B:G,6,0))</f>
        <v>1265</v>
      </c>
      <c r="AU358" s="7"/>
      <c r="AV358" s="38">
        <f ca="1">IF(TRIM($W358)="F",OFFSET($A$5,MATCH($AS358,$AS$5:$AS358,0)-1,0),$A358)</f>
        <v>358</v>
      </c>
      <c r="AW358" s="38">
        <f ca="1">IFERROR(OFFSET(ZPCS04!$A$1,MATCH(F358,ZPCS04!B:B,0)-1,0),100)</f>
        <v>1.9999999000000002</v>
      </c>
      <c r="AX358" s="7"/>
      <c r="AY358" s="6" t="b">
        <f>SUMIF(AS:AS,AS358,AP:AP)=100</f>
        <v>1</v>
      </c>
      <c r="AZ358" s="6" t="b">
        <f>SUMIF(AS:AS,AS358,AE:AE)/COUNTIF(AS:AS,AS358)=AE358</f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>C358&amp;" | "&amp;F358</f>
        <v>90MB1BJ0-C1BAY0 | 10G212287114010</v>
      </c>
      <c r="BE358" s="55" t="str">
        <f ca="1">C358&amp;" | "&amp;OFFSET($AF358,0,8-COUNTBLANK($AG358:$AN358))</f>
        <v>90MB1BJ0-C1BAY0 | 59MB1BJB-MB0A02S</v>
      </c>
      <c r="BF358" s="57">
        <f ca="1">IFERROR(VLOOKUP($BE358,$BD$5:$BF357,3,0)*$AE358,VLOOKUP($C358,Demanda!$A:$B,2,0)*$AE358)*IF(AT358="Phantom Alt",$BC358,TRUE)</f>
        <v>1000</v>
      </c>
      <c r="BG358" s="57">
        <f ca="1">BF358*(AP358/100)</f>
        <v>0</v>
      </c>
      <c r="BH358" s="57">
        <f>SUMIF(Invoice!A:A,F358,Invoice!B:B)</f>
        <v>10000</v>
      </c>
      <c r="BI358" s="57">
        <f ca="1">SUMIF(AS:AS,AS358,BG:BG)</f>
        <v>1000</v>
      </c>
      <c r="BJ358" s="57">
        <f ca="1">MIN((BI358-SUMIF($AS$5:AS357,AS358,$BJ$5:BJ357)),MAX(0,BH358-SUMIF($F$5:F357,F358,$BJ$5:BJ357)))</f>
        <v>1000</v>
      </c>
      <c r="BK358" s="57">
        <f ca="1">(-SUMIF(AS:AS,AS358,BG:BG)+SUMIF(AS:AS,AS358,BJ:BJ))*(AP358=100)*AR358</f>
        <v>0</v>
      </c>
      <c r="BL358" s="57">
        <f ca="1">MAX(0,SUMIF(Invoice!A:A,F358,Invoice!B:B)-SUMIF(F:F,F358,BJ:BJ))*(COUNTIF(F:F,F358)=COUNTIF($F$5:F358,F358))</f>
        <v>9000</v>
      </c>
    </row>
    <row r="359" spans="1:64" hidden="1">
      <c r="A359" s="43">
        <v>359</v>
      </c>
      <c r="B359" s="35" t="s">
        <v>147</v>
      </c>
      <c r="C359" s="35" t="s">
        <v>146</v>
      </c>
      <c r="D359" s="35">
        <v>2</v>
      </c>
      <c r="E359" s="35">
        <v>1300</v>
      </c>
      <c r="F359" s="64" t="s">
        <v>897</v>
      </c>
      <c r="G359" s="73" t="s">
        <v>898</v>
      </c>
      <c r="H359" s="35" t="s">
        <v>896</v>
      </c>
      <c r="I359" s="35" t="s">
        <v>55</v>
      </c>
      <c r="J359" s="35">
        <v>0</v>
      </c>
      <c r="K359" s="35" t="s">
        <v>150</v>
      </c>
      <c r="L359" s="35" t="s">
        <v>53</v>
      </c>
      <c r="M359" s="35">
        <v>1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44901</v>
      </c>
      <c r="U359" s="36">
        <v>2958465</v>
      </c>
      <c r="V359" s="35" t="s">
        <v>282</v>
      </c>
      <c r="W359" s="35" t="s">
        <v>145</v>
      </c>
      <c r="X359" s="35"/>
      <c r="Y359" s="35" t="s">
        <v>143</v>
      </c>
      <c r="Z359" s="35">
        <v>7589154</v>
      </c>
      <c r="AA359" s="35">
        <v>606</v>
      </c>
      <c r="AB359" s="35">
        <v>303</v>
      </c>
      <c r="AC359" s="35"/>
      <c r="AE359" s="51">
        <f>M359/O359</f>
        <v>1</v>
      </c>
      <c r="AG359" s="6" t="str">
        <f>C359</f>
        <v>90MB1BJ0-C1BAY0</v>
      </c>
      <c r="AH359" s="6" t="str">
        <f>IF($D359&lt;=AH$4,"",IF(AND($D358=AH$4,$D359&gt;AH$4),$F358,AH358))</f>
        <v>59MB1BJB-MB0A02S</v>
      </c>
      <c r="AI359" s="6" t="str">
        <f>IF($D359&lt;=AI$4,"",IF(AND($D358=AI$4,$D359&gt;AI$4),$F358,AI358))</f>
        <v/>
      </c>
      <c r="AJ359" s="6" t="str">
        <f>IF($D359&lt;=AJ$4,"",IF(AND($D358=AJ$4,$D359&gt;AJ$4),$F358,AJ358))</f>
        <v/>
      </c>
      <c r="AK359" s="6" t="str">
        <f>IF($D359&lt;=AK$4,"",IF(AND($D358=AK$4,$D359&gt;AK$4),$F358,AK358))</f>
        <v/>
      </c>
      <c r="AL359" s="6" t="str">
        <f>IF($D359&lt;=AL$4,"",IF(AND($D358=AL$4,$D359&gt;AL$4),$F358,AL358))</f>
        <v/>
      </c>
      <c r="AM359" s="6" t="str">
        <f>IF($D359&lt;=AM$4,"",IF(AND($D358=AM$4,$D359&gt;AM$4),$F358,AM358))</f>
        <v/>
      </c>
      <c r="AN359" s="6" t="str">
        <f>IF($D359&lt;=AN$4,"",IF(AND($D358=AN$4,$D359&gt;AN$4),$F358,AN358))</f>
        <v/>
      </c>
      <c r="AO359" s="6" t="str">
        <f>CONCATENATE(AG359," | ",AH359," | ",AI359," | ",AJ359," | ",AK359," | ",AL359," | ",AM359," | ",AN359)</f>
        <v xml:space="preserve">90MB1BJ0-C1BAY0 | 59MB1BJB-MB0A02S |  |  |  |  |  | </v>
      </c>
      <c r="AP359" s="6">
        <f>IF(TRIM(H359)="",100,J359)</f>
        <v>0</v>
      </c>
      <c r="AQ359" s="4"/>
      <c r="AR359" s="6" t="b">
        <f>NOT(TRIM(W359)&lt;&gt;"F")</f>
        <v>1</v>
      </c>
      <c r="AS359" s="6" t="str">
        <f>$B359&amp;" | "&amp;$AO359&amp;" | "&amp;IF(TRIM(H359)="","uniq"&amp;ROW(),TRIM(H359))</f>
        <v>461E | 90MB1BJ0-C1BAY0 | 59MB1BJB-MB0A02S |  |  |  |  |  |  | D0</v>
      </c>
      <c r="AT359" s="63">
        <f>IF(NOT(AR359),IF(TRIM($H359)="","Assembly","Phantom Alt"),VLOOKUP(F359,ZPCS04!B:G,6,0))</f>
        <v>1265</v>
      </c>
      <c r="AU359" s="7"/>
      <c r="AV359" s="38">
        <f ca="1">IF(TRIM($W359)="F",OFFSET($A$5,MATCH($AS359,$AS$5:$AS359,0)-1,0),$A359)</f>
        <v>358</v>
      </c>
      <c r="AW359" s="38">
        <f ca="1">IFERROR(OFFSET(ZPCS04!$A$1,MATCH(F359,ZPCS04!B:B,0)-1,0),100)</f>
        <v>2</v>
      </c>
      <c r="AX359" s="7"/>
      <c r="AY359" s="6" t="b">
        <f>SUMIF(AS:AS,AS359,AP:AP)=100</f>
        <v>1</v>
      </c>
      <c r="AZ359" s="6" t="b">
        <f>SUMIF(AS:AS,AS359,AE:AE)/COUNTIF(AS:AS,AS359)=AE359</f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>C359&amp;" | "&amp;F359</f>
        <v>90MB1BJ0-C1BAY0 | 10G212287114020</v>
      </c>
      <c r="BE359" s="55" t="str">
        <f ca="1">C359&amp;" | "&amp;OFFSET($AF359,0,8-COUNTBLANK($AG359:$AN359))</f>
        <v>90MB1BJ0-C1BAY0 | 59MB1BJB-MB0A02S</v>
      </c>
      <c r="BF359" s="57">
        <f ca="1">IFERROR(VLOOKUP($BE359,$BD$5:$BF358,3,0)*$AE359,VLOOKUP($C359,Demanda!$A:$B,2,0)*$AE359)*IF(AT359="Phantom Alt",$BC359,TRUE)</f>
        <v>1000</v>
      </c>
      <c r="BG359" s="57">
        <f ca="1">BF359*(AP359/100)</f>
        <v>0</v>
      </c>
      <c r="BH359" s="57">
        <f>SUMIF(Invoice!A:A,F359,Invoice!B:B)</f>
        <v>0</v>
      </c>
      <c r="BI359" s="57">
        <f ca="1">SUMIF(AS:AS,AS359,BG:BG)</f>
        <v>1000</v>
      </c>
      <c r="BJ359" s="57">
        <f ca="1">MIN((BI359-SUMIF($AS$5:AS358,AS359,$BJ$5:BJ358)),MAX(0,BH359-SUMIF($F$5:F358,F359,$BJ$5:BJ358)))</f>
        <v>0</v>
      </c>
      <c r="BK359" s="57">
        <f ca="1">(-SUMIF(AS:AS,AS359,BG:BG)+SUMIF(AS:AS,AS359,BJ:BJ))*(AP359=100)*AR359</f>
        <v>0</v>
      </c>
      <c r="BL359" s="57">
        <f ca="1">MAX(0,SUMIF(Invoice!A:A,F359,Invoice!B:B)-SUMIF(F:F,F359,BJ:BJ))*(COUNTIF(F:F,F359)=COUNTIF($F$5:F359,F359))</f>
        <v>0</v>
      </c>
    </row>
    <row r="360" spans="1:64" hidden="1">
      <c r="A360" s="43">
        <v>360</v>
      </c>
      <c r="B360" s="35" t="s">
        <v>147</v>
      </c>
      <c r="C360" s="35" t="s">
        <v>146</v>
      </c>
      <c r="D360" s="35">
        <v>2</v>
      </c>
      <c r="E360" s="35">
        <v>1300</v>
      </c>
      <c r="F360" s="64" t="s">
        <v>899</v>
      </c>
      <c r="G360" s="73" t="s">
        <v>900</v>
      </c>
      <c r="H360" s="35" t="s">
        <v>896</v>
      </c>
      <c r="I360" s="35" t="s">
        <v>54</v>
      </c>
      <c r="J360" s="35">
        <v>100</v>
      </c>
      <c r="K360" s="35" t="s">
        <v>150</v>
      </c>
      <c r="L360" s="35" t="s">
        <v>53</v>
      </c>
      <c r="M360" s="35">
        <v>1</v>
      </c>
      <c r="N360" s="35">
        <v>1</v>
      </c>
      <c r="O360" s="35">
        <v>1</v>
      </c>
      <c r="P360" s="35">
        <v>2</v>
      </c>
      <c r="Q360" s="35">
        <v>1</v>
      </c>
      <c r="R360" s="35" t="s">
        <v>73</v>
      </c>
      <c r="S360" s="35" t="s">
        <v>73</v>
      </c>
      <c r="T360" s="36">
        <v>44901</v>
      </c>
      <c r="U360" s="36">
        <v>2958465</v>
      </c>
      <c r="V360" s="35" t="s">
        <v>282</v>
      </c>
      <c r="W360" s="35" t="s">
        <v>145</v>
      </c>
      <c r="X360" s="35"/>
      <c r="Y360" s="35" t="s">
        <v>143</v>
      </c>
      <c r="Z360" s="35">
        <v>7589154</v>
      </c>
      <c r="AA360" s="35">
        <v>604</v>
      </c>
      <c r="AB360" s="35">
        <v>302</v>
      </c>
      <c r="AC360" s="35" t="s">
        <v>144</v>
      </c>
      <c r="AE360" s="51">
        <f>M360/O360</f>
        <v>1</v>
      </c>
      <c r="AG360" s="6" t="str">
        <f>C360</f>
        <v>90MB1BJ0-C1BAY0</v>
      </c>
      <c r="AH360" s="6" t="str">
        <f>IF($D360&lt;=AH$4,"",IF(AND($D359=AH$4,$D360&gt;AH$4),$F359,AH359))</f>
        <v>59MB1BJB-MB0A02S</v>
      </c>
      <c r="AI360" s="6" t="str">
        <f>IF($D360&lt;=AI$4,"",IF(AND($D359=AI$4,$D360&gt;AI$4),$F359,AI359))</f>
        <v/>
      </c>
      <c r="AJ360" s="6" t="str">
        <f>IF($D360&lt;=AJ$4,"",IF(AND($D359=AJ$4,$D360&gt;AJ$4),$F359,AJ359))</f>
        <v/>
      </c>
      <c r="AK360" s="6" t="str">
        <f>IF($D360&lt;=AK$4,"",IF(AND($D359=AK$4,$D360&gt;AK$4),$F359,AK359))</f>
        <v/>
      </c>
      <c r="AL360" s="6" t="str">
        <f>IF($D360&lt;=AL$4,"",IF(AND($D359=AL$4,$D360&gt;AL$4),$F359,AL359))</f>
        <v/>
      </c>
      <c r="AM360" s="6" t="str">
        <f>IF($D360&lt;=AM$4,"",IF(AND($D359=AM$4,$D360&gt;AM$4),$F359,AM359))</f>
        <v/>
      </c>
      <c r="AN360" s="6" t="str">
        <f>IF($D360&lt;=AN$4,"",IF(AND($D359=AN$4,$D360&gt;AN$4),$F359,AN359))</f>
        <v/>
      </c>
      <c r="AO360" s="6" t="str">
        <f>CONCATENATE(AG360," | ",AH360," | ",AI360," | ",AJ360," | ",AK360," | ",AL360," | ",AM360," | ",AN360)</f>
        <v xml:space="preserve">90MB1BJ0-C1BAY0 | 59MB1BJB-MB0A02S |  |  |  |  |  | </v>
      </c>
      <c r="AP360" s="6">
        <f>IF(TRIM(H360)="",100,J360)</f>
        <v>100</v>
      </c>
      <c r="AQ360" s="4"/>
      <c r="AR360" s="6" t="b">
        <f>NOT(TRIM(W360)&lt;&gt;"F")</f>
        <v>1</v>
      </c>
      <c r="AS360" s="6" t="str">
        <f>$B360&amp;" | "&amp;$AO360&amp;" | "&amp;IF(TRIM(H360)="","uniq"&amp;ROW(),TRIM(H360))</f>
        <v>461E | 90MB1BJ0-C1BAY0 | 59MB1BJB-MB0A02S |  |  |  |  |  |  | D0</v>
      </c>
      <c r="AT360" s="63">
        <f>IF(NOT(AR360),IF(TRIM($H360)="","Assembly","Phantom Alt"),VLOOKUP(F360,ZPCS04!B:G,6,0))</f>
        <v>1265</v>
      </c>
      <c r="AU360" s="7"/>
      <c r="AV360" s="38">
        <f ca="1">IF(TRIM($W360)="F",OFFSET($A$5,MATCH($AS360,$AS$5:$AS360,0)-1,0),$A360)</f>
        <v>358</v>
      </c>
      <c r="AW360" s="38">
        <f ca="1">IFERROR(OFFSET(ZPCS04!$A$1,MATCH(F360,ZPCS04!B:B,0)-1,0),100)</f>
        <v>2</v>
      </c>
      <c r="AX360" s="7"/>
      <c r="AY360" s="6" t="b">
        <f>SUMIF(AS:AS,AS360,AP:AP)=100</f>
        <v>1</v>
      </c>
      <c r="AZ360" s="6" t="b">
        <f>SUMIF(AS:AS,AS360,AE:AE)/COUNTIF(AS:AS,AS360)=AE360</f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>C360&amp;" | "&amp;F360</f>
        <v>90MB1BJ0-C1BAY0 | 10G212287114050</v>
      </c>
      <c r="BE360" s="55" t="str">
        <f ca="1">C360&amp;" | "&amp;OFFSET($AF360,0,8-COUNTBLANK($AG360:$AN360))</f>
        <v>90MB1BJ0-C1BAY0 | 59MB1BJB-MB0A02S</v>
      </c>
      <c r="BF360" s="57">
        <f ca="1">IFERROR(VLOOKUP($BE360,$BD$5:$BF359,3,0)*$AE360,VLOOKUP($C360,Demanda!$A:$B,2,0)*$AE360)*IF(AT360="Phantom Alt",$BC360,TRUE)</f>
        <v>1000</v>
      </c>
      <c r="BG360" s="57">
        <f ca="1">BF360*(AP360/100)</f>
        <v>1000</v>
      </c>
      <c r="BH360" s="57">
        <f>SUMIF(Invoice!A:A,F360,Invoice!B:B)</f>
        <v>0</v>
      </c>
      <c r="BI360" s="57">
        <f ca="1">SUMIF(AS:AS,AS360,BG:BG)</f>
        <v>1000</v>
      </c>
      <c r="BJ360" s="57">
        <f ca="1">MIN((BI360-SUMIF($AS$5:AS359,AS360,$BJ$5:BJ359)),MAX(0,BH360-SUMIF($F$5:F359,F360,$BJ$5:BJ359)))</f>
        <v>0</v>
      </c>
      <c r="BK360" s="57">
        <f ca="1">(-SUMIF(AS:AS,AS360,BG:BG)+SUMIF(AS:AS,AS360,BJ:BJ))*(AP360=100)*AR360</f>
        <v>0</v>
      </c>
      <c r="BL360" s="57">
        <f ca="1">MAX(0,SUMIF(Invoice!A:A,F360,Invoice!B:B)-SUMIF(F:F,F360,BJ:BJ))*(COUNTIF(F:F,F360)=COUNTIF($F$5:F360,F360))</f>
        <v>0</v>
      </c>
    </row>
    <row r="361" spans="1:64" hidden="1">
      <c r="A361" s="43">
        <v>361</v>
      </c>
      <c r="B361" s="35" t="s">
        <v>147</v>
      </c>
      <c r="C361" s="35" t="s">
        <v>146</v>
      </c>
      <c r="D361" s="35">
        <v>2</v>
      </c>
      <c r="E361" s="35">
        <v>1310</v>
      </c>
      <c r="F361" s="64" t="s">
        <v>901</v>
      </c>
      <c r="G361" s="73" t="s">
        <v>902</v>
      </c>
      <c r="H361" s="35" t="s">
        <v>903</v>
      </c>
      <c r="I361" s="35" t="s">
        <v>54</v>
      </c>
      <c r="J361" s="35">
        <v>100</v>
      </c>
      <c r="K361" s="35" t="s">
        <v>150</v>
      </c>
      <c r="L361" s="35" t="s">
        <v>53</v>
      </c>
      <c r="M361" s="35">
        <v>3</v>
      </c>
      <c r="N361" s="35">
        <v>3</v>
      </c>
      <c r="O361" s="35">
        <v>1</v>
      </c>
      <c r="P361" s="35">
        <v>2</v>
      </c>
      <c r="Q361" s="35">
        <v>1</v>
      </c>
      <c r="R361" s="35" t="s">
        <v>73</v>
      </c>
      <c r="S361" s="35" t="s">
        <v>73</v>
      </c>
      <c r="T361" s="36">
        <v>44901</v>
      </c>
      <c r="U361" s="36">
        <v>2958465</v>
      </c>
      <c r="V361" s="35" t="s">
        <v>282</v>
      </c>
      <c r="W361" s="35" t="s">
        <v>145</v>
      </c>
      <c r="X361" s="35"/>
      <c r="Y361" s="35" t="s">
        <v>143</v>
      </c>
      <c r="Z361" s="35">
        <v>7589154</v>
      </c>
      <c r="AA361" s="35">
        <v>610</v>
      </c>
      <c r="AB361" s="35">
        <v>305</v>
      </c>
      <c r="AC361" s="35"/>
      <c r="AE361" s="51">
        <f>M361/O361</f>
        <v>3</v>
      </c>
      <c r="AG361" s="6" t="str">
        <f>C361</f>
        <v>90MB1BJ0-C1BAY0</v>
      </c>
      <c r="AH361" s="6" t="str">
        <f>IF($D361&lt;=AH$4,"",IF(AND($D360=AH$4,$D361&gt;AH$4),$F360,AH360))</f>
        <v>59MB1BJB-MB0A02S</v>
      </c>
      <c r="AI361" s="6" t="str">
        <f>IF($D361&lt;=AI$4,"",IF(AND($D360=AI$4,$D361&gt;AI$4),$F360,AI360))</f>
        <v/>
      </c>
      <c r="AJ361" s="6" t="str">
        <f>IF($D361&lt;=AJ$4,"",IF(AND($D360=AJ$4,$D361&gt;AJ$4),$F360,AJ360))</f>
        <v/>
      </c>
      <c r="AK361" s="6" t="str">
        <f>IF($D361&lt;=AK$4,"",IF(AND($D360=AK$4,$D361&gt;AK$4),$F360,AK360))</f>
        <v/>
      </c>
      <c r="AL361" s="6" t="str">
        <f>IF($D361&lt;=AL$4,"",IF(AND($D360=AL$4,$D361&gt;AL$4),$F360,AL360))</f>
        <v/>
      </c>
      <c r="AM361" s="6" t="str">
        <f>IF($D361&lt;=AM$4,"",IF(AND($D360=AM$4,$D361&gt;AM$4),$F360,AM360))</f>
        <v/>
      </c>
      <c r="AN361" s="6" t="str">
        <f>IF($D361&lt;=AN$4,"",IF(AND($D360=AN$4,$D361&gt;AN$4),$F360,AN360))</f>
        <v/>
      </c>
      <c r="AO361" s="6" t="str">
        <f>CONCATENATE(AG361," | ",AH361," | ",AI361," | ",AJ361," | ",AK361," | ",AL361," | ",AM361," | ",AN361)</f>
        <v xml:space="preserve">90MB1BJ0-C1BAY0 | 59MB1BJB-MB0A02S |  |  |  |  |  | </v>
      </c>
      <c r="AP361" s="6">
        <f>IF(TRIM(H361)="",100,J361)</f>
        <v>100</v>
      </c>
      <c r="AQ361" s="4"/>
      <c r="AR361" s="6" t="b">
        <f>NOT(TRIM(W361)&lt;&gt;"F")</f>
        <v>1</v>
      </c>
      <c r="AS361" s="6" t="str">
        <f>$B361&amp;" | "&amp;$AO361&amp;" | "&amp;IF(TRIM(H361)="","uniq"&amp;ROW(),TRIM(H361))</f>
        <v>461E | 90MB1BJ0-C1BAY0 | 59MB1BJB-MB0A02S |  |  |  |  |  |  | D1</v>
      </c>
      <c r="AT361" s="63">
        <f>IF(NOT(AR361),IF(TRIM($H361)="","Assembly","Phantom Alt"),VLOOKUP(F361,ZPCS04!B:G,6,0))</f>
        <v>673</v>
      </c>
      <c r="AU361" s="7"/>
      <c r="AV361" s="38">
        <f ca="1">IF(TRIM($W361)="F",OFFSET($A$5,MATCH($AS361,$AS$5:$AS361,0)-1,0),$A361)</f>
        <v>361</v>
      </c>
      <c r="AW361" s="38">
        <f ca="1">IFERROR(OFFSET(ZPCS04!$A$1,MATCH(F361,ZPCS04!B:B,0)-1,0),100)</f>
        <v>1.9999999000000002</v>
      </c>
      <c r="AX361" s="7"/>
      <c r="AY361" s="6" t="b">
        <f>SUMIF(AS:AS,AS361,AP:AP)=100</f>
        <v>1</v>
      </c>
      <c r="AZ361" s="6" t="b">
        <f>SUMIF(AS:AS,AS361,AE:AE)/COUNTIF(AS:AS,AS361)=AE361</f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>C361&amp;" | "&amp;F361</f>
        <v>90MB1BJ0-C1BAY0 | 10G212294114010</v>
      </c>
      <c r="BE361" s="55" t="str">
        <f ca="1">C361&amp;" | "&amp;OFFSET($AF361,0,8-COUNTBLANK($AG361:$AN361))</f>
        <v>90MB1BJ0-C1BAY0 | 59MB1BJB-MB0A02S</v>
      </c>
      <c r="BF361" s="57">
        <f ca="1">IFERROR(VLOOKUP($BE361,$BD$5:$BF360,3,0)*$AE361,VLOOKUP($C361,Demanda!$A:$B,2,0)*$AE361)*IF(AT361="Phantom Alt",$BC361,TRUE)</f>
        <v>3000</v>
      </c>
      <c r="BG361" s="57">
        <f ca="1">BF361*(AP361/100)</f>
        <v>3000</v>
      </c>
      <c r="BH361" s="57">
        <f>SUMIF(Invoice!A:A,F361,Invoice!B:B)</f>
        <v>10000</v>
      </c>
      <c r="BI361" s="57">
        <f ca="1">SUMIF(AS:AS,AS361,BG:BG)</f>
        <v>3000</v>
      </c>
      <c r="BJ361" s="57">
        <f ca="1">MIN((BI361-SUMIF($AS$5:AS360,AS361,$BJ$5:BJ360)),MAX(0,BH361-SUMIF($F$5:F360,F361,$BJ$5:BJ360)))</f>
        <v>3000</v>
      </c>
      <c r="BK361" s="57">
        <f ca="1">(-SUMIF(AS:AS,AS361,BG:BG)+SUMIF(AS:AS,AS361,BJ:BJ))*(AP361=100)*AR361</f>
        <v>0</v>
      </c>
      <c r="BL361" s="57">
        <f ca="1">MAX(0,SUMIF(Invoice!A:A,F361,Invoice!B:B)-SUMIF(F:F,F361,BJ:BJ))*(COUNTIF(F:F,F361)=COUNTIF($F$5:F361,F361))</f>
        <v>7000</v>
      </c>
    </row>
    <row r="362" spans="1:64" hidden="1">
      <c r="A362" s="43">
        <v>362</v>
      </c>
      <c r="B362" s="35" t="s">
        <v>147</v>
      </c>
      <c r="C362" s="35" t="s">
        <v>146</v>
      </c>
      <c r="D362" s="35">
        <v>2</v>
      </c>
      <c r="E362" s="35">
        <v>1310</v>
      </c>
      <c r="F362" s="64" t="s">
        <v>904</v>
      </c>
      <c r="G362" s="73" t="s">
        <v>905</v>
      </c>
      <c r="H362" s="35" t="s">
        <v>903</v>
      </c>
      <c r="I362" s="35" t="s">
        <v>55</v>
      </c>
      <c r="J362" s="35">
        <v>0</v>
      </c>
      <c r="K362" s="35" t="s">
        <v>150</v>
      </c>
      <c r="L362" s="35" t="s">
        <v>53</v>
      </c>
      <c r="M362" s="35">
        <v>3</v>
      </c>
      <c r="N362" s="35"/>
      <c r="O362" s="35">
        <v>1</v>
      </c>
      <c r="P362" s="35">
        <v>2</v>
      </c>
      <c r="Q362" s="35">
        <v>2</v>
      </c>
      <c r="R362" s="35" t="s">
        <v>73</v>
      </c>
      <c r="S362" s="35" t="s">
        <v>73</v>
      </c>
      <c r="T362" s="36">
        <v>44901</v>
      </c>
      <c r="U362" s="36">
        <v>2958465</v>
      </c>
      <c r="V362" s="35" t="s">
        <v>282</v>
      </c>
      <c r="W362" s="35" t="s">
        <v>145</v>
      </c>
      <c r="X362" s="35"/>
      <c r="Y362" s="35" t="s">
        <v>143</v>
      </c>
      <c r="Z362" s="35">
        <v>7589154</v>
      </c>
      <c r="AA362" s="35">
        <v>612</v>
      </c>
      <c r="AB362" s="35">
        <v>306</v>
      </c>
      <c r="AC362" s="35"/>
      <c r="AE362" s="51">
        <f>M362/O362</f>
        <v>3</v>
      </c>
      <c r="AG362" s="6" t="str">
        <f>C362</f>
        <v>90MB1BJ0-C1BAY0</v>
      </c>
      <c r="AH362" s="6" t="str">
        <f>IF($D362&lt;=AH$4,"",IF(AND($D361=AH$4,$D362&gt;AH$4),$F361,AH361))</f>
        <v>59MB1BJB-MB0A02S</v>
      </c>
      <c r="AI362" s="6" t="str">
        <f>IF($D362&lt;=AI$4,"",IF(AND($D361=AI$4,$D362&gt;AI$4),$F361,AI361))</f>
        <v/>
      </c>
      <c r="AJ362" s="6" t="str">
        <f>IF($D362&lt;=AJ$4,"",IF(AND($D361=AJ$4,$D362&gt;AJ$4),$F361,AJ361))</f>
        <v/>
      </c>
      <c r="AK362" s="6" t="str">
        <f>IF($D362&lt;=AK$4,"",IF(AND($D361=AK$4,$D362&gt;AK$4),$F361,AK361))</f>
        <v/>
      </c>
      <c r="AL362" s="6" t="str">
        <f>IF($D362&lt;=AL$4,"",IF(AND($D361=AL$4,$D362&gt;AL$4),$F361,AL361))</f>
        <v/>
      </c>
      <c r="AM362" s="6" t="str">
        <f>IF($D362&lt;=AM$4,"",IF(AND($D361=AM$4,$D362&gt;AM$4),$F361,AM361))</f>
        <v/>
      </c>
      <c r="AN362" s="6" t="str">
        <f>IF($D362&lt;=AN$4,"",IF(AND($D361=AN$4,$D362&gt;AN$4),$F361,AN361))</f>
        <v/>
      </c>
      <c r="AO362" s="6" t="str">
        <f>CONCATENATE(AG362," | ",AH362," | ",AI362," | ",AJ362," | ",AK362," | ",AL362," | ",AM362," | ",AN362)</f>
        <v xml:space="preserve">90MB1BJ0-C1BAY0 | 59MB1BJB-MB0A02S |  |  |  |  |  | </v>
      </c>
      <c r="AP362" s="6">
        <f>IF(TRIM(H362)="",100,J362)</f>
        <v>0</v>
      </c>
      <c r="AQ362" s="4"/>
      <c r="AR362" s="6" t="b">
        <f>NOT(TRIM(W362)&lt;&gt;"F")</f>
        <v>1</v>
      </c>
      <c r="AS362" s="6" t="str">
        <f>$B362&amp;" | "&amp;$AO362&amp;" | "&amp;IF(TRIM(H362)="","uniq"&amp;ROW(),TRIM(H362))</f>
        <v>461E | 90MB1BJ0-C1BAY0 | 59MB1BJB-MB0A02S |  |  |  |  |  |  | D1</v>
      </c>
      <c r="AT362" s="63">
        <f>IF(NOT(AR362),IF(TRIM($H362)="","Assembly","Phantom Alt"),VLOOKUP(F362,ZPCS04!B:G,6,0))</f>
        <v>673</v>
      </c>
      <c r="AU362" s="7"/>
      <c r="AV362" s="38">
        <f ca="1">IF(TRIM($W362)="F",OFFSET($A$5,MATCH($AS362,$AS$5:$AS362,0)-1,0),$A362)</f>
        <v>361</v>
      </c>
      <c r="AW362" s="38">
        <f ca="1">IFERROR(OFFSET(ZPCS04!$A$1,MATCH(F362,ZPCS04!B:B,0)-1,0),100)</f>
        <v>2</v>
      </c>
      <c r="AX362" s="7"/>
      <c r="AY362" s="6" t="b">
        <f>SUMIF(AS:AS,AS362,AP:AP)=100</f>
        <v>1</v>
      </c>
      <c r="AZ362" s="6" t="b">
        <f>SUMIF(AS:AS,AS362,AE:AE)/COUNTIF(AS:AS,AS362)=AE362</f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>C362&amp;" | "&amp;F362</f>
        <v>90MB1BJ0-C1BAY0 | 10G212294114020</v>
      </c>
      <c r="BE362" s="55" t="str">
        <f ca="1">C362&amp;" | "&amp;OFFSET($AF362,0,8-COUNTBLANK($AG362:$AN362))</f>
        <v>90MB1BJ0-C1BAY0 | 59MB1BJB-MB0A02S</v>
      </c>
      <c r="BF362" s="57">
        <f ca="1">IFERROR(VLOOKUP($BE362,$BD$5:$BF361,3,0)*$AE362,VLOOKUP($C362,Demanda!$A:$B,2,0)*$AE362)*IF(AT362="Phantom Alt",$BC362,TRUE)</f>
        <v>3000</v>
      </c>
      <c r="BG362" s="57">
        <f ca="1">BF362*(AP362/100)</f>
        <v>0</v>
      </c>
      <c r="BH362" s="57">
        <f>SUMIF(Invoice!A:A,F362,Invoice!B:B)</f>
        <v>0</v>
      </c>
      <c r="BI362" s="57">
        <f ca="1">SUMIF(AS:AS,AS362,BG:BG)</f>
        <v>3000</v>
      </c>
      <c r="BJ362" s="57">
        <f ca="1">MIN((BI362-SUMIF($AS$5:AS361,AS362,$BJ$5:BJ361)),MAX(0,BH362-SUMIF($F$5:F361,F362,$BJ$5:BJ361)))</f>
        <v>0</v>
      </c>
      <c r="BK362" s="57">
        <f ca="1">(-SUMIF(AS:AS,AS362,BG:BG)+SUMIF(AS:AS,AS362,BJ:BJ))*(AP362=100)*AR362</f>
        <v>0</v>
      </c>
      <c r="BL362" s="57">
        <f ca="1">MAX(0,SUMIF(Invoice!A:A,F362,Invoice!B:B)-SUMIF(F:F,F362,BJ:BJ))*(COUNTIF(F:F,F362)=COUNTIF($F$5:F362,F362))</f>
        <v>0</v>
      </c>
    </row>
    <row r="363" spans="1:64" hidden="1">
      <c r="A363" s="43">
        <v>363</v>
      </c>
      <c r="B363" s="35" t="s">
        <v>147</v>
      </c>
      <c r="C363" s="35" t="s">
        <v>146</v>
      </c>
      <c r="D363" s="35">
        <v>2</v>
      </c>
      <c r="E363" s="35">
        <v>1310</v>
      </c>
      <c r="F363" s="64" t="s">
        <v>906</v>
      </c>
      <c r="G363" s="73" t="s">
        <v>907</v>
      </c>
      <c r="H363" s="35" t="s">
        <v>903</v>
      </c>
      <c r="I363" s="35" t="s">
        <v>55</v>
      </c>
      <c r="J363" s="35">
        <v>0</v>
      </c>
      <c r="K363" s="35" t="s">
        <v>150</v>
      </c>
      <c r="L363" s="35" t="s">
        <v>53</v>
      </c>
      <c r="M363" s="35">
        <v>3</v>
      </c>
      <c r="N363" s="35"/>
      <c r="O363" s="35">
        <v>1</v>
      </c>
      <c r="P363" s="35">
        <v>2</v>
      </c>
      <c r="Q363" s="35">
        <v>3</v>
      </c>
      <c r="R363" s="35" t="s">
        <v>73</v>
      </c>
      <c r="S363" s="35" t="s">
        <v>73</v>
      </c>
      <c r="T363" s="36">
        <v>44901</v>
      </c>
      <c r="U363" s="36">
        <v>2958465</v>
      </c>
      <c r="V363" s="35" t="s">
        <v>282</v>
      </c>
      <c r="W363" s="35" t="s">
        <v>145</v>
      </c>
      <c r="X363" s="35"/>
      <c r="Y363" s="35" t="s">
        <v>143</v>
      </c>
      <c r="Z363" s="35">
        <v>7589154</v>
      </c>
      <c r="AA363" s="35">
        <v>614</v>
      </c>
      <c r="AB363" s="35">
        <v>307</v>
      </c>
      <c r="AC363" s="35"/>
      <c r="AE363" s="51">
        <f>M363/O363</f>
        <v>3</v>
      </c>
      <c r="AG363" s="6" t="str">
        <f>C363</f>
        <v>90MB1BJ0-C1BAY0</v>
      </c>
      <c r="AH363" s="6" t="str">
        <f>IF($D363&lt;=AH$4,"",IF(AND($D362=AH$4,$D363&gt;AH$4),$F362,AH362))</f>
        <v>59MB1BJB-MB0A02S</v>
      </c>
      <c r="AI363" s="6" t="str">
        <f>IF($D363&lt;=AI$4,"",IF(AND($D362=AI$4,$D363&gt;AI$4),$F362,AI362))</f>
        <v/>
      </c>
      <c r="AJ363" s="6" t="str">
        <f>IF($D363&lt;=AJ$4,"",IF(AND($D362=AJ$4,$D363&gt;AJ$4),$F362,AJ362))</f>
        <v/>
      </c>
      <c r="AK363" s="6" t="str">
        <f>IF($D363&lt;=AK$4,"",IF(AND($D362=AK$4,$D363&gt;AK$4),$F362,AK362))</f>
        <v/>
      </c>
      <c r="AL363" s="6" t="str">
        <f>IF($D363&lt;=AL$4,"",IF(AND($D362=AL$4,$D363&gt;AL$4),$F362,AL362))</f>
        <v/>
      </c>
      <c r="AM363" s="6" t="str">
        <f>IF($D363&lt;=AM$4,"",IF(AND($D362=AM$4,$D363&gt;AM$4),$F362,AM362))</f>
        <v/>
      </c>
      <c r="AN363" s="6" t="str">
        <f>IF($D363&lt;=AN$4,"",IF(AND($D362=AN$4,$D363&gt;AN$4),$F362,AN362))</f>
        <v/>
      </c>
      <c r="AO363" s="6" t="str">
        <f>CONCATENATE(AG363," | ",AH363," | ",AI363," | ",AJ363," | ",AK363," | ",AL363," | ",AM363," | ",AN363)</f>
        <v xml:space="preserve">90MB1BJ0-C1BAY0 | 59MB1BJB-MB0A02S |  |  |  |  |  | </v>
      </c>
      <c r="AP363" s="6">
        <f>IF(TRIM(H363)="",100,J363)</f>
        <v>0</v>
      </c>
      <c r="AQ363" s="4"/>
      <c r="AR363" s="6" t="b">
        <f>NOT(TRIM(W363)&lt;&gt;"F")</f>
        <v>1</v>
      </c>
      <c r="AS363" s="6" t="str">
        <f>$B363&amp;" | "&amp;$AO363&amp;" | "&amp;IF(TRIM(H363)="","uniq"&amp;ROW(),TRIM(H363))</f>
        <v>461E | 90MB1BJ0-C1BAY0 | 59MB1BJB-MB0A02S |  |  |  |  |  |  | D1</v>
      </c>
      <c r="AT363" s="63">
        <f>IF(NOT(AR363),IF(TRIM($H363)="","Assembly","Phantom Alt"),VLOOKUP(F363,ZPCS04!B:G,6,0))</f>
        <v>673</v>
      </c>
      <c r="AU363" s="7"/>
      <c r="AV363" s="38">
        <f ca="1">IF(TRIM($W363)="F",OFFSET($A$5,MATCH($AS363,$AS$5:$AS363,0)-1,0),$A363)</f>
        <v>361</v>
      </c>
      <c r="AW363" s="38">
        <f ca="1">IFERROR(OFFSET(ZPCS04!$A$1,MATCH(F363,ZPCS04!B:B,0)-1,0),100)</f>
        <v>2</v>
      </c>
      <c r="AX363" s="7"/>
      <c r="AY363" s="6" t="b">
        <f>SUMIF(AS:AS,AS363,AP:AP)=100</f>
        <v>1</v>
      </c>
      <c r="AZ363" s="6" t="b">
        <f>SUMIF(AS:AS,AS363,AE:AE)/COUNTIF(AS:AS,AS363)=AE363</f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>C363&amp;" | "&amp;F363</f>
        <v>90MB1BJ0-C1BAY0 | 10G212294114050</v>
      </c>
      <c r="BE363" s="55" t="str">
        <f ca="1">C363&amp;" | "&amp;OFFSET($AF363,0,8-COUNTBLANK($AG363:$AN363))</f>
        <v>90MB1BJ0-C1BAY0 | 59MB1BJB-MB0A02S</v>
      </c>
      <c r="BF363" s="57">
        <f ca="1">IFERROR(VLOOKUP($BE363,$BD$5:$BF362,3,0)*$AE363,VLOOKUP($C363,Demanda!$A:$B,2,0)*$AE363)*IF(AT363="Phantom Alt",$BC363,TRUE)</f>
        <v>3000</v>
      </c>
      <c r="BG363" s="57">
        <f ca="1">BF363*(AP363/100)</f>
        <v>0</v>
      </c>
      <c r="BH363" s="57">
        <f>SUMIF(Invoice!A:A,F363,Invoice!B:B)</f>
        <v>0</v>
      </c>
      <c r="BI363" s="57">
        <f ca="1">SUMIF(AS:AS,AS363,BG:BG)</f>
        <v>3000</v>
      </c>
      <c r="BJ363" s="57">
        <f ca="1">MIN((BI363-SUMIF($AS$5:AS362,AS363,$BJ$5:BJ362)),MAX(0,BH363-SUMIF($F$5:F362,F363,$BJ$5:BJ362)))</f>
        <v>0</v>
      </c>
      <c r="BK363" s="57">
        <f ca="1">(-SUMIF(AS:AS,AS363,BG:BG)+SUMIF(AS:AS,AS363,BJ:BJ))*(AP363=100)*AR363</f>
        <v>0</v>
      </c>
      <c r="BL363" s="57">
        <f ca="1">MAX(0,SUMIF(Invoice!A:A,F363,Invoice!B:B)-SUMIF(F:F,F363,BJ:BJ))*(COUNTIF(F:F,F363)=COUNTIF($F$5:F363,F363))</f>
        <v>0</v>
      </c>
    </row>
    <row r="364" spans="1:64" hidden="1">
      <c r="A364" s="43">
        <v>367</v>
      </c>
      <c r="B364" s="35" t="s">
        <v>147</v>
      </c>
      <c r="C364" s="35" t="s">
        <v>146</v>
      </c>
      <c r="D364" s="35">
        <v>2</v>
      </c>
      <c r="E364" s="35">
        <v>1320</v>
      </c>
      <c r="F364" s="64" t="s">
        <v>915</v>
      </c>
      <c r="G364" s="73" t="s">
        <v>916</v>
      </c>
      <c r="H364" s="35" t="s">
        <v>910</v>
      </c>
      <c r="I364" s="35" t="s">
        <v>54</v>
      </c>
      <c r="J364" s="35">
        <v>100</v>
      </c>
      <c r="K364" s="35" t="s">
        <v>150</v>
      </c>
      <c r="L364" s="35" t="s">
        <v>53</v>
      </c>
      <c r="M364" s="35">
        <v>3</v>
      </c>
      <c r="N364" s="35">
        <v>3</v>
      </c>
      <c r="O364" s="35">
        <v>1</v>
      </c>
      <c r="P364" s="35">
        <v>2</v>
      </c>
      <c r="Q364" s="35">
        <v>1</v>
      </c>
      <c r="R364" s="35" t="s">
        <v>73</v>
      </c>
      <c r="S364" s="35" t="s">
        <v>73</v>
      </c>
      <c r="T364" s="36">
        <v>44901</v>
      </c>
      <c r="U364" s="36">
        <v>2958465</v>
      </c>
      <c r="V364" s="35" t="s">
        <v>282</v>
      </c>
      <c r="W364" s="35" t="s">
        <v>145</v>
      </c>
      <c r="X364" s="35"/>
      <c r="Y364" s="35" t="s">
        <v>143</v>
      </c>
      <c r="Z364" s="35">
        <v>7589154</v>
      </c>
      <c r="AA364" s="35">
        <v>616</v>
      </c>
      <c r="AB364" s="35">
        <v>308</v>
      </c>
      <c r="AC364" s="35"/>
      <c r="AE364" s="51">
        <f>M364/O364</f>
        <v>3</v>
      </c>
      <c r="AG364" s="6" t="str">
        <f>C364</f>
        <v>90MB1BJ0-C1BAY0</v>
      </c>
      <c r="AH364" s="6" t="str">
        <f>IF($D364&lt;=AH$4,"",IF(AND($D363=AH$4,$D364&gt;AH$4),$F363,AH363))</f>
        <v>59MB1BJB-MB0A02S</v>
      </c>
      <c r="AI364" s="6" t="str">
        <f>IF($D364&lt;=AI$4,"",IF(AND($D363=AI$4,$D364&gt;AI$4),$F363,AI363))</f>
        <v/>
      </c>
      <c r="AJ364" s="6" t="str">
        <f>IF($D364&lt;=AJ$4,"",IF(AND($D363=AJ$4,$D364&gt;AJ$4),$F363,AJ363))</f>
        <v/>
      </c>
      <c r="AK364" s="6" t="str">
        <f>IF($D364&lt;=AK$4,"",IF(AND($D363=AK$4,$D364&gt;AK$4),$F363,AK363))</f>
        <v/>
      </c>
      <c r="AL364" s="6" t="str">
        <f>IF($D364&lt;=AL$4,"",IF(AND($D363=AL$4,$D364&gt;AL$4),$F363,AL363))</f>
        <v/>
      </c>
      <c r="AM364" s="6" t="str">
        <f>IF($D364&lt;=AM$4,"",IF(AND($D363=AM$4,$D364&gt;AM$4),$F363,AM363))</f>
        <v/>
      </c>
      <c r="AN364" s="6" t="str">
        <f>IF($D364&lt;=AN$4,"",IF(AND($D363=AN$4,$D364&gt;AN$4),$F363,AN363))</f>
        <v/>
      </c>
      <c r="AO364" s="6" t="str">
        <f>CONCATENATE(AG364," | ",AH364," | ",AI364," | ",AJ364," | ",AK364," | ",AL364," | ",AM364," | ",AN364)</f>
        <v xml:space="preserve">90MB1BJ0-C1BAY0 | 59MB1BJB-MB0A02S |  |  |  |  |  | </v>
      </c>
      <c r="AP364" s="6">
        <f>IF(TRIM(H364)="",100,J364)</f>
        <v>100</v>
      </c>
      <c r="AQ364" s="4"/>
      <c r="AR364" s="6" t="b">
        <f>NOT(TRIM(W364)&lt;&gt;"F")</f>
        <v>1</v>
      </c>
      <c r="AS364" s="6" t="str">
        <f>$B364&amp;" | "&amp;$AO364&amp;" | "&amp;IF(TRIM(H364)="","uniq"&amp;ROW(),TRIM(H364))</f>
        <v>461E | 90MB1BJ0-C1BAY0 | 59MB1BJB-MB0A02S |  |  |  |  |  |  | D2</v>
      </c>
      <c r="AT364" s="63">
        <f>IF(NOT(AR364),IF(TRIM($H364)="","Assembly","Phantom Alt"),VLOOKUP(F364,ZPCS04!B:G,6,0))</f>
        <v>964</v>
      </c>
      <c r="AU364" s="7"/>
      <c r="AV364" s="38">
        <f ca="1">IF(TRIM($W364)="F",OFFSET($A$5,MATCH($AS364,$AS$5:$AS364,0)-1,0),$A364)</f>
        <v>367</v>
      </c>
      <c r="AW364" s="38">
        <f ca="1">IFERROR(OFFSET(ZPCS04!$A$1,MATCH(F364,ZPCS04!B:B,0)-1,0),100)</f>
        <v>1.9999999000000002</v>
      </c>
      <c r="AX364" s="7"/>
      <c r="AY364" s="6" t="b">
        <f>SUMIF(AS:AS,AS364,AP:AP)=100</f>
        <v>1</v>
      </c>
      <c r="AZ364" s="6" t="b">
        <f>SUMIF(AS:AS,AS364,AE:AE)/COUNTIF(AS:AS,AS364)=AE364</f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>C364&amp;" | "&amp;F364</f>
        <v>90MB1BJ0-C1BAY0 | 10G2122R2004050</v>
      </c>
      <c r="BE364" s="55" t="str">
        <f ca="1">C364&amp;" | "&amp;OFFSET($AF364,0,8-COUNTBLANK($AG364:$AN364))</f>
        <v>90MB1BJ0-C1BAY0 | 59MB1BJB-MB0A02S</v>
      </c>
      <c r="BF364" s="57">
        <f ca="1">IFERROR(VLOOKUP($BE364,$BD$5:$BF363,3,0)*$AE364,VLOOKUP($C364,Demanda!$A:$B,2,0)*$AE364)*IF(AT364="Phantom Alt",$BC364,TRUE)</f>
        <v>3000</v>
      </c>
      <c r="BG364" s="57">
        <f ca="1">BF364*(AP364/100)</f>
        <v>3000</v>
      </c>
      <c r="BH364" s="57">
        <f>SUMIF(Invoice!A:A,F364,Invoice!B:B)</f>
        <v>10000</v>
      </c>
      <c r="BI364" s="57">
        <f ca="1">SUMIF(AS:AS,AS364,BG:BG)</f>
        <v>3000</v>
      </c>
      <c r="BJ364" s="57">
        <f ca="1">MIN((BI364-SUMIF($AS$5:AS363,AS364,$BJ$5:BJ363)),MAX(0,BH364-SUMIF($F$5:F363,F364,$BJ$5:BJ363)))</f>
        <v>3000</v>
      </c>
      <c r="BK364" s="57">
        <f ca="1">(-SUMIF(AS:AS,AS364,BG:BG)+SUMIF(AS:AS,AS364,BJ:BJ))*(AP364=100)*AR364</f>
        <v>0</v>
      </c>
      <c r="BL364" s="57">
        <f ca="1">MAX(0,SUMIF(Invoice!A:A,F364,Invoice!B:B)-SUMIF(F:F,F364,BJ:BJ))*(COUNTIF(F:F,F364)=COUNTIF($F$5:F364,F364))</f>
        <v>7000</v>
      </c>
    </row>
    <row r="365" spans="1:64" hidden="1">
      <c r="A365" s="43">
        <v>364</v>
      </c>
      <c r="B365" s="35" t="s">
        <v>147</v>
      </c>
      <c r="C365" s="35" t="s">
        <v>146</v>
      </c>
      <c r="D365" s="35">
        <v>2</v>
      </c>
      <c r="E365" s="35">
        <v>1320</v>
      </c>
      <c r="F365" s="64" t="s">
        <v>908</v>
      </c>
      <c r="G365" s="73" t="s">
        <v>909</v>
      </c>
      <c r="H365" s="35" t="s">
        <v>910</v>
      </c>
      <c r="I365" s="35" t="s">
        <v>55</v>
      </c>
      <c r="J365" s="35">
        <v>0</v>
      </c>
      <c r="K365" s="35" t="s">
        <v>489</v>
      </c>
      <c r="L365" s="35" t="s">
        <v>53</v>
      </c>
      <c r="M365" s="35">
        <v>3</v>
      </c>
      <c r="N365" s="35"/>
      <c r="O365" s="35">
        <v>1</v>
      </c>
      <c r="P365" s="35">
        <v>2</v>
      </c>
      <c r="Q365" s="35">
        <v>2</v>
      </c>
      <c r="R365" s="35" t="s">
        <v>122</v>
      </c>
      <c r="S365" s="35" t="s">
        <v>122</v>
      </c>
      <c r="T365" s="36">
        <v>44901</v>
      </c>
      <c r="U365" s="36">
        <v>2958465</v>
      </c>
      <c r="V365" s="35" t="s">
        <v>282</v>
      </c>
      <c r="W365" s="35" t="s">
        <v>145</v>
      </c>
      <c r="X365" s="35"/>
      <c r="Y365" s="35" t="s">
        <v>143</v>
      </c>
      <c r="Z365" s="35">
        <v>7589154</v>
      </c>
      <c r="AA365" s="35">
        <v>618</v>
      </c>
      <c r="AB365" s="35">
        <v>309</v>
      </c>
      <c r="AC365" s="35"/>
      <c r="AE365" s="51">
        <f>M365/O365</f>
        <v>3</v>
      </c>
      <c r="AG365" s="6" t="str">
        <f>C365</f>
        <v>90MB1BJ0-C1BAY0</v>
      </c>
      <c r="AH365" s="6" t="str">
        <f>IF($D365&lt;=AH$4,"",IF(AND($D364=AH$4,$D365&gt;AH$4),$F364,AH364))</f>
        <v>59MB1BJB-MB0A02S</v>
      </c>
      <c r="AI365" s="6" t="str">
        <f>IF($D365&lt;=AI$4,"",IF(AND($D364=AI$4,$D365&gt;AI$4),$F364,AI364))</f>
        <v/>
      </c>
      <c r="AJ365" s="6" t="str">
        <f>IF($D365&lt;=AJ$4,"",IF(AND($D364=AJ$4,$D365&gt;AJ$4),$F364,AJ364))</f>
        <v/>
      </c>
      <c r="AK365" s="6" t="str">
        <f>IF($D365&lt;=AK$4,"",IF(AND($D364=AK$4,$D365&gt;AK$4),$F364,AK364))</f>
        <v/>
      </c>
      <c r="AL365" s="6" t="str">
        <f>IF($D365&lt;=AL$4,"",IF(AND($D364=AL$4,$D365&gt;AL$4),$F364,AL364))</f>
        <v/>
      </c>
      <c r="AM365" s="6" t="str">
        <f>IF($D365&lt;=AM$4,"",IF(AND($D364=AM$4,$D365&gt;AM$4),$F364,AM364))</f>
        <v/>
      </c>
      <c r="AN365" s="6" t="str">
        <f>IF($D365&lt;=AN$4,"",IF(AND($D364=AN$4,$D365&gt;AN$4),$F364,AN364))</f>
        <v/>
      </c>
      <c r="AO365" s="6" t="str">
        <f>CONCATENATE(AG365," | ",AH365," | ",AI365," | ",AJ365," | ",AK365," | ",AL365," | ",AM365," | ",AN365)</f>
        <v xml:space="preserve">90MB1BJ0-C1BAY0 | 59MB1BJB-MB0A02S |  |  |  |  |  | </v>
      </c>
      <c r="AP365" s="6">
        <f>IF(TRIM(H365)="",100,J365)</f>
        <v>0</v>
      </c>
      <c r="AQ365" s="4"/>
      <c r="AR365" s="6" t="b">
        <f>NOT(TRIM(W365)&lt;&gt;"F")</f>
        <v>1</v>
      </c>
      <c r="AS365" s="6" t="str">
        <f>$B365&amp;" | "&amp;$AO365&amp;" | "&amp;IF(TRIM(H365)="","uniq"&amp;ROW(),TRIM(H365))</f>
        <v>461E | 90MB1BJ0-C1BAY0 | 59MB1BJB-MB0A02S |  |  |  |  |  |  | D2</v>
      </c>
      <c r="AT365" s="63">
        <f>IF(NOT(AR365),IF(TRIM($H365)="","Assembly","Phantom Alt"),VLOOKUP(F365,ZPCS04!B:G,6,0))</f>
        <v>964</v>
      </c>
      <c r="AU365" s="7"/>
      <c r="AV365" s="38">
        <f ca="1">IF(TRIM($W365)="F",OFFSET($A$5,MATCH($AS365,$AS$5:$AS365,0)-1,0),$A365)</f>
        <v>367</v>
      </c>
      <c r="AW365" s="38">
        <f ca="1">IFERROR(OFFSET(ZPCS04!$A$1,MATCH(F365,ZPCS04!B:B,0)-1,0),100)</f>
        <v>2</v>
      </c>
      <c r="AX365" s="7"/>
      <c r="AY365" s="6" t="b">
        <f>SUMIF(AS:AS,AS365,AP:AP)=100</f>
        <v>1</v>
      </c>
      <c r="AZ365" s="6" t="b">
        <f>SUMIF(AS:AS,AS365,AE:AE)/COUNTIF(AS:AS,AS365)=AE365</f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>C365&amp;" | "&amp;F365</f>
        <v>90MB1BJ0-C1BAY0 | 10G2122R2004010</v>
      </c>
      <c r="BE365" s="55" t="str">
        <f ca="1">C365&amp;" | "&amp;OFFSET($AF365,0,8-COUNTBLANK($AG365:$AN365))</f>
        <v>90MB1BJ0-C1BAY0 | 59MB1BJB-MB0A02S</v>
      </c>
      <c r="BF365" s="57">
        <f ca="1">IFERROR(VLOOKUP($BE365,$BD$5:$BF364,3,0)*$AE365,VLOOKUP($C365,Demanda!$A:$B,2,0)*$AE365)*IF(AT365="Phantom Alt",$BC365,TRUE)</f>
        <v>3000</v>
      </c>
      <c r="BG365" s="57">
        <f ca="1">BF365*(AP365/100)</f>
        <v>0</v>
      </c>
      <c r="BH365" s="57">
        <f>SUMIF(Invoice!A:A,F365,Invoice!B:B)</f>
        <v>0</v>
      </c>
      <c r="BI365" s="57">
        <f ca="1">SUMIF(AS:AS,AS365,BG:BG)</f>
        <v>3000</v>
      </c>
      <c r="BJ365" s="57">
        <f ca="1">MIN((BI365-SUMIF($AS$5:AS364,AS365,$BJ$5:BJ364)),MAX(0,BH365-SUMIF($F$5:F364,F365,$BJ$5:BJ364)))</f>
        <v>0</v>
      </c>
      <c r="BK365" s="57">
        <f ca="1">(-SUMIF(AS:AS,AS365,BG:BG)+SUMIF(AS:AS,AS365,BJ:BJ))*(AP365=100)*AR365</f>
        <v>0</v>
      </c>
      <c r="BL365" s="57">
        <f ca="1">MAX(0,SUMIF(Invoice!A:A,F365,Invoice!B:B)-SUMIF(F:F,F365,BJ:BJ))*(COUNTIF(F:F,F365)=COUNTIF($F$5:F365,F365))</f>
        <v>0</v>
      </c>
    </row>
    <row r="366" spans="1:64" hidden="1">
      <c r="A366" s="43">
        <v>365</v>
      </c>
      <c r="B366" s="35" t="s">
        <v>147</v>
      </c>
      <c r="C366" s="35" t="s">
        <v>146</v>
      </c>
      <c r="D366" s="35">
        <v>2</v>
      </c>
      <c r="E366" s="35">
        <v>1320</v>
      </c>
      <c r="F366" s="64" t="s">
        <v>911</v>
      </c>
      <c r="G366" s="73" t="s">
        <v>912</v>
      </c>
      <c r="H366" s="35" t="s">
        <v>910</v>
      </c>
      <c r="I366" s="35" t="s">
        <v>55</v>
      </c>
      <c r="J366" s="35">
        <v>0</v>
      </c>
      <c r="K366" s="35" t="s">
        <v>489</v>
      </c>
      <c r="L366" s="35" t="s">
        <v>53</v>
      </c>
      <c r="M366" s="35">
        <v>3</v>
      </c>
      <c r="N366" s="35"/>
      <c r="O366" s="35">
        <v>1</v>
      </c>
      <c r="P366" s="35">
        <v>2</v>
      </c>
      <c r="Q366" s="35">
        <v>4</v>
      </c>
      <c r="R366" s="35" t="s">
        <v>122</v>
      </c>
      <c r="S366" s="35" t="s">
        <v>122</v>
      </c>
      <c r="T366" s="36">
        <v>44901</v>
      </c>
      <c r="U366" s="36">
        <v>2958465</v>
      </c>
      <c r="V366" s="35" t="s">
        <v>282</v>
      </c>
      <c r="W366" s="35" t="s">
        <v>145</v>
      </c>
      <c r="X366" s="35"/>
      <c r="Y366" s="35" t="s">
        <v>143</v>
      </c>
      <c r="Z366" s="35">
        <v>7589154</v>
      </c>
      <c r="AA366" s="35">
        <v>622</v>
      </c>
      <c r="AB366" s="35">
        <v>311</v>
      </c>
      <c r="AC366" s="35" t="s">
        <v>144</v>
      </c>
      <c r="AE366" s="51">
        <f>M366/O366</f>
        <v>3</v>
      </c>
      <c r="AG366" s="6" t="str">
        <f>C366</f>
        <v>90MB1BJ0-C1BAY0</v>
      </c>
      <c r="AH366" s="6" t="str">
        <f>IF($D366&lt;=AH$4,"",IF(AND($D365=AH$4,$D366&gt;AH$4),$F365,AH365))</f>
        <v>59MB1BJB-MB0A02S</v>
      </c>
      <c r="AI366" s="6" t="str">
        <f>IF($D366&lt;=AI$4,"",IF(AND($D365=AI$4,$D366&gt;AI$4),$F365,AI365))</f>
        <v/>
      </c>
      <c r="AJ366" s="6" t="str">
        <f>IF($D366&lt;=AJ$4,"",IF(AND($D365=AJ$4,$D366&gt;AJ$4),$F365,AJ365))</f>
        <v/>
      </c>
      <c r="AK366" s="6" t="str">
        <f>IF($D366&lt;=AK$4,"",IF(AND($D365=AK$4,$D366&gt;AK$4),$F365,AK365))</f>
        <v/>
      </c>
      <c r="AL366" s="6" t="str">
        <f>IF($D366&lt;=AL$4,"",IF(AND($D365=AL$4,$D366&gt;AL$4),$F365,AL365))</f>
        <v/>
      </c>
      <c r="AM366" s="6" t="str">
        <f>IF($D366&lt;=AM$4,"",IF(AND($D365=AM$4,$D366&gt;AM$4),$F365,AM365))</f>
        <v/>
      </c>
      <c r="AN366" s="6" t="str">
        <f>IF($D366&lt;=AN$4,"",IF(AND($D365=AN$4,$D366&gt;AN$4),$F365,AN365))</f>
        <v/>
      </c>
      <c r="AO366" s="6" t="str">
        <f>CONCATENATE(AG366," | ",AH366," | ",AI366," | ",AJ366," | ",AK366," | ",AL366," | ",AM366," | ",AN366)</f>
        <v xml:space="preserve">90MB1BJ0-C1BAY0 | 59MB1BJB-MB0A02S |  |  |  |  |  | </v>
      </c>
      <c r="AP366" s="6">
        <f>IF(TRIM(H366)="",100,J366)</f>
        <v>0</v>
      </c>
      <c r="AQ366" s="4"/>
      <c r="AR366" s="6" t="b">
        <f>NOT(TRIM(W366)&lt;&gt;"F")</f>
        <v>1</v>
      </c>
      <c r="AS366" s="6" t="str">
        <f>$B366&amp;" | "&amp;$AO366&amp;" | "&amp;IF(TRIM(H366)="","uniq"&amp;ROW(),TRIM(H366))</f>
        <v>461E | 90MB1BJ0-C1BAY0 | 59MB1BJB-MB0A02S |  |  |  |  |  |  | D2</v>
      </c>
      <c r="AT366" s="63">
        <f>IF(NOT(AR366),IF(TRIM($H366)="","Assembly","Phantom Alt"),VLOOKUP(F366,ZPCS04!B:G,6,0))</f>
        <v>964</v>
      </c>
      <c r="AU366" s="7"/>
      <c r="AV366" s="38">
        <f ca="1">IF(TRIM($W366)="F",OFFSET($A$5,MATCH($AS366,$AS$5:$AS366,0)-1,0),$A366)</f>
        <v>367</v>
      </c>
      <c r="AW366" s="38">
        <f ca="1">IFERROR(OFFSET(ZPCS04!$A$1,MATCH(F366,ZPCS04!B:B,0)-1,0),100)</f>
        <v>2</v>
      </c>
      <c r="AX366" s="7"/>
      <c r="AY366" s="6" t="b">
        <f>SUMIF(AS:AS,AS366,AP:AP)=100</f>
        <v>1</v>
      </c>
      <c r="AZ366" s="6" t="b">
        <f>SUMIF(AS:AS,AS366,AE:AE)/COUNTIF(AS:AS,AS366)=AE366</f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>C366&amp;" | "&amp;F366</f>
        <v>90MB1BJ0-C1BAY0 | 10G2122R2004020</v>
      </c>
      <c r="BE366" s="55" t="str">
        <f ca="1">C366&amp;" | "&amp;OFFSET($AF366,0,8-COUNTBLANK($AG366:$AN366))</f>
        <v>90MB1BJ0-C1BAY0 | 59MB1BJB-MB0A02S</v>
      </c>
      <c r="BF366" s="57">
        <f ca="1">IFERROR(VLOOKUP($BE366,$BD$5:$BF365,3,0)*$AE366,VLOOKUP($C366,Demanda!$A:$B,2,0)*$AE366)*IF(AT366="Phantom Alt",$BC366,TRUE)</f>
        <v>3000</v>
      </c>
      <c r="BG366" s="57">
        <f ca="1">BF366*(AP366/100)</f>
        <v>0</v>
      </c>
      <c r="BH366" s="57">
        <f>SUMIF(Invoice!A:A,F366,Invoice!B:B)</f>
        <v>0</v>
      </c>
      <c r="BI366" s="57">
        <f ca="1">SUMIF(AS:AS,AS366,BG:BG)</f>
        <v>3000</v>
      </c>
      <c r="BJ366" s="57">
        <f ca="1">MIN((BI366-SUMIF($AS$5:AS365,AS366,$BJ$5:BJ365)),MAX(0,BH366-SUMIF($F$5:F365,F366,$BJ$5:BJ365)))</f>
        <v>0</v>
      </c>
      <c r="BK366" s="57">
        <f ca="1">(-SUMIF(AS:AS,AS366,BG:BG)+SUMIF(AS:AS,AS366,BJ:BJ))*(AP366=100)*AR366</f>
        <v>0</v>
      </c>
      <c r="BL366" s="57">
        <f ca="1">MAX(0,SUMIF(Invoice!A:A,F366,Invoice!B:B)-SUMIF(F:F,F366,BJ:BJ))*(COUNTIF(F:F,F366)=COUNTIF($F$5:F366,F366))</f>
        <v>0</v>
      </c>
    </row>
    <row r="367" spans="1:64" hidden="1">
      <c r="A367" s="43">
        <v>366</v>
      </c>
      <c r="B367" s="35" t="s">
        <v>147</v>
      </c>
      <c r="C367" s="35" t="s">
        <v>146</v>
      </c>
      <c r="D367" s="35">
        <v>2</v>
      </c>
      <c r="E367" s="35">
        <v>1320</v>
      </c>
      <c r="F367" s="64" t="s">
        <v>913</v>
      </c>
      <c r="G367" s="73" t="s">
        <v>914</v>
      </c>
      <c r="H367" s="35" t="s">
        <v>910</v>
      </c>
      <c r="I367" s="35" t="s">
        <v>55</v>
      </c>
      <c r="J367" s="35">
        <v>0</v>
      </c>
      <c r="K367" s="35" t="s">
        <v>489</v>
      </c>
      <c r="L367" s="35" t="s">
        <v>53</v>
      </c>
      <c r="M367" s="35">
        <v>3</v>
      </c>
      <c r="N367" s="35"/>
      <c r="O367" s="35">
        <v>1</v>
      </c>
      <c r="P367" s="35">
        <v>2</v>
      </c>
      <c r="Q367" s="35">
        <v>3</v>
      </c>
      <c r="R367" s="35" t="s">
        <v>122</v>
      </c>
      <c r="S367" s="35" t="s">
        <v>122</v>
      </c>
      <c r="T367" s="36">
        <v>44901</v>
      </c>
      <c r="U367" s="36">
        <v>2958465</v>
      </c>
      <c r="V367" s="35" t="s">
        <v>282</v>
      </c>
      <c r="W367" s="35" t="s">
        <v>145</v>
      </c>
      <c r="X367" s="35"/>
      <c r="Y367" s="35" t="s">
        <v>143</v>
      </c>
      <c r="Z367" s="35">
        <v>7589154</v>
      </c>
      <c r="AA367" s="35">
        <v>620</v>
      </c>
      <c r="AB367" s="35">
        <v>310</v>
      </c>
      <c r="AC367" s="35"/>
      <c r="AE367" s="51">
        <f>M367/O367</f>
        <v>3</v>
      </c>
      <c r="AG367" s="6" t="str">
        <f>C367</f>
        <v>90MB1BJ0-C1BAY0</v>
      </c>
      <c r="AH367" s="6" t="str">
        <f>IF($D367&lt;=AH$4,"",IF(AND($D366=AH$4,$D367&gt;AH$4),$F366,AH366))</f>
        <v>59MB1BJB-MB0A02S</v>
      </c>
      <c r="AI367" s="6" t="str">
        <f>IF($D367&lt;=AI$4,"",IF(AND($D366=AI$4,$D367&gt;AI$4),$F366,AI366))</f>
        <v/>
      </c>
      <c r="AJ367" s="6" t="str">
        <f>IF($D367&lt;=AJ$4,"",IF(AND($D366=AJ$4,$D367&gt;AJ$4),$F366,AJ366))</f>
        <v/>
      </c>
      <c r="AK367" s="6" t="str">
        <f>IF($D367&lt;=AK$4,"",IF(AND($D366=AK$4,$D367&gt;AK$4),$F366,AK366))</f>
        <v/>
      </c>
      <c r="AL367" s="6" t="str">
        <f>IF($D367&lt;=AL$4,"",IF(AND($D366=AL$4,$D367&gt;AL$4),$F366,AL366))</f>
        <v/>
      </c>
      <c r="AM367" s="6" t="str">
        <f>IF($D367&lt;=AM$4,"",IF(AND($D366=AM$4,$D367&gt;AM$4),$F366,AM366))</f>
        <v/>
      </c>
      <c r="AN367" s="6" t="str">
        <f>IF($D367&lt;=AN$4,"",IF(AND($D366=AN$4,$D367&gt;AN$4),$F366,AN366))</f>
        <v/>
      </c>
      <c r="AO367" s="6" t="str">
        <f>CONCATENATE(AG367," | ",AH367," | ",AI367," | ",AJ367," | ",AK367," | ",AL367," | ",AM367," | ",AN367)</f>
        <v xml:space="preserve">90MB1BJ0-C1BAY0 | 59MB1BJB-MB0A02S |  |  |  |  |  | </v>
      </c>
      <c r="AP367" s="6">
        <f>IF(TRIM(H367)="",100,J367)</f>
        <v>0</v>
      </c>
      <c r="AQ367" s="4"/>
      <c r="AR367" s="6" t="b">
        <f>NOT(TRIM(W367)&lt;&gt;"F")</f>
        <v>1</v>
      </c>
      <c r="AS367" s="6" t="str">
        <f>$B367&amp;" | "&amp;$AO367&amp;" | "&amp;IF(TRIM(H367)="","uniq"&amp;ROW(),TRIM(H367))</f>
        <v>461E | 90MB1BJ0-C1BAY0 | 59MB1BJB-MB0A02S |  |  |  |  |  |  | D2</v>
      </c>
      <c r="AT367" s="63">
        <f>IF(NOT(AR367),IF(TRIM($H367)="","Assembly","Phantom Alt"),VLOOKUP(F367,ZPCS04!B:G,6,0))</f>
        <v>964</v>
      </c>
      <c r="AU367" s="7"/>
      <c r="AV367" s="38">
        <f ca="1">IF(TRIM($W367)="F",OFFSET($A$5,MATCH($AS367,$AS$5:$AS367,0)-1,0),$A367)</f>
        <v>367</v>
      </c>
      <c r="AW367" s="38">
        <f ca="1">IFERROR(OFFSET(ZPCS04!$A$1,MATCH(F367,ZPCS04!B:B,0)-1,0),100)</f>
        <v>2</v>
      </c>
      <c r="AX367" s="7"/>
      <c r="AY367" s="6" t="b">
        <f>SUMIF(AS:AS,AS367,AP:AP)=100</f>
        <v>1</v>
      </c>
      <c r="AZ367" s="6" t="b">
        <f>SUMIF(AS:AS,AS367,AE:AE)/COUNTIF(AS:AS,AS367)=AE367</f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>C367&amp;" | "&amp;F367</f>
        <v>90MB1BJ0-C1BAY0 | 10G2122R2004030</v>
      </c>
      <c r="BE367" s="55" t="str">
        <f ca="1">C367&amp;" | "&amp;OFFSET($AF367,0,8-COUNTBLANK($AG367:$AN367))</f>
        <v>90MB1BJ0-C1BAY0 | 59MB1BJB-MB0A02S</v>
      </c>
      <c r="BF367" s="57">
        <f ca="1">IFERROR(VLOOKUP($BE367,$BD$5:$BF366,3,0)*$AE367,VLOOKUP($C367,Demanda!$A:$B,2,0)*$AE367)*IF(AT367="Phantom Alt",$BC367,TRUE)</f>
        <v>3000</v>
      </c>
      <c r="BG367" s="57">
        <f ca="1">BF367*(AP367/100)</f>
        <v>0</v>
      </c>
      <c r="BH367" s="57">
        <f>SUMIF(Invoice!A:A,F367,Invoice!B:B)</f>
        <v>0</v>
      </c>
      <c r="BI367" s="57">
        <f ca="1">SUMIF(AS:AS,AS367,BG:BG)</f>
        <v>3000</v>
      </c>
      <c r="BJ367" s="57">
        <f ca="1">MIN((BI367-SUMIF($AS$5:AS366,AS367,$BJ$5:BJ366)),MAX(0,BH367-SUMIF($F$5:F366,F367,$BJ$5:BJ366)))</f>
        <v>0</v>
      </c>
      <c r="BK367" s="57">
        <f ca="1">(-SUMIF(AS:AS,AS367,BG:BG)+SUMIF(AS:AS,AS367,BJ:BJ))*(AP367=100)*AR367</f>
        <v>0</v>
      </c>
      <c r="BL367" s="57">
        <f ca="1">MAX(0,SUMIF(Invoice!A:A,F367,Invoice!B:B)-SUMIF(F:F,F367,BJ:BJ))*(COUNTIF(F:F,F367)=COUNTIF($F$5:F367,F367))</f>
        <v>0</v>
      </c>
    </row>
    <row r="368" spans="1:64" hidden="1">
      <c r="A368" s="43">
        <v>369</v>
      </c>
      <c r="B368" s="35" t="s">
        <v>147</v>
      </c>
      <c r="C368" s="35" t="s">
        <v>146</v>
      </c>
      <c r="D368" s="35">
        <v>2</v>
      </c>
      <c r="E368" s="35">
        <v>1330</v>
      </c>
      <c r="F368" s="64" t="s">
        <v>920</v>
      </c>
      <c r="G368" s="73" t="s">
        <v>921</v>
      </c>
      <c r="H368" s="35" t="s">
        <v>919</v>
      </c>
      <c r="I368" s="35" t="s">
        <v>55</v>
      </c>
      <c r="J368" s="35">
        <v>0</v>
      </c>
      <c r="K368" s="35" t="s">
        <v>489</v>
      </c>
      <c r="L368" s="35" t="s">
        <v>53</v>
      </c>
      <c r="M368" s="35">
        <v>7</v>
      </c>
      <c r="N368" s="35"/>
      <c r="O368" s="35">
        <v>1</v>
      </c>
      <c r="P368" s="35">
        <v>2</v>
      </c>
      <c r="Q368" s="35">
        <v>2</v>
      </c>
      <c r="R368" s="35" t="s">
        <v>122</v>
      </c>
      <c r="S368" s="35" t="s">
        <v>122</v>
      </c>
      <c r="T368" s="36">
        <v>44901</v>
      </c>
      <c r="U368" s="36">
        <v>2958465</v>
      </c>
      <c r="V368" s="35" t="s">
        <v>282</v>
      </c>
      <c r="W368" s="35" t="s">
        <v>145</v>
      </c>
      <c r="X368" s="35"/>
      <c r="Y368" s="35" t="s">
        <v>143</v>
      </c>
      <c r="Z368" s="35">
        <v>7589154</v>
      </c>
      <c r="AA368" s="35">
        <v>626</v>
      </c>
      <c r="AB368" s="35">
        <v>313</v>
      </c>
      <c r="AC368" s="35"/>
      <c r="AE368" s="51">
        <f>M368/O368</f>
        <v>7</v>
      </c>
      <c r="AG368" s="6" t="str">
        <f>C368</f>
        <v>90MB1BJ0-C1BAY0</v>
      </c>
      <c r="AH368" s="6" t="str">
        <f>IF($D368&lt;=AH$4,"",IF(AND($D367=AH$4,$D368&gt;AH$4),$F367,AH367))</f>
        <v>59MB1BJB-MB0A02S</v>
      </c>
      <c r="AI368" s="6" t="str">
        <f>IF($D368&lt;=AI$4,"",IF(AND($D367=AI$4,$D368&gt;AI$4),$F367,AI367))</f>
        <v/>
      </c>
      <c r="AJ368" s="6" t="str">
        <f>IF($D368&lt;=AJ$4,"",IF(AND($D367=AJ$4,$D368&gt;AJ$4),$F367,AJ367))</f>
        <v/>
      </c>
      <c r="AK368" s="6" t="str">
        <f>IF($D368&lt;=AK$4,"",IF(AND($D367=AK$4,$D368&gt;AK$4),$F367,AK367))</f>
        <v/>
      </c>
      <c r="AL368" s="6" t="str">
        <f>IF($D368&lt;=AL$4,"",IF(AND($D367=AL$4,$D368&gt;AL$4),$F367,AL367))</f>
        <v/>
      </c>
      <c r="AM368" s="6" t="str">
        <f>IF($D368&lt;=AM$4,"",IF(AND($D367=AM$4,$D368&gt;AM$4),$F367,AM367))</f>
        <v/>
      </c>
      <c r="AN368" s="6" t="str">
        <f>IF($D368&lt;=AN$4,"",IF(AND($D367=AN$4,$D368&gt;AN$4),$F367,AN367))</f>
        <v/>
      </c>
      <c r="AO368" s="6" t="str">
        <f>CONCATENATE(AG368," | ",AH368," | ",AI368," | ",AJ368," | ",AK368," | ",AL368," | ",AM368," | ",AN368)</f>
        <v xml:space="preserve">90MB1BJ0-C1BAY0 | 59MB1BJB-MB0A02S |  |  |  |  |  | </v>
      </c>
      <c r="AP368" s="6">
        <f>IF(TRIM(H368)="",100,J368)</f>
        <v>0</v>
      </c>
      <c r="AQ368" s="4"/>
      <c r="AR368" s="6" t="b">
        <f>NOT(TRIM(W368)&lt;&gt;"F")</f>
        <v>1</v>
      </c>
      <c r="AS368" s="6" t="str">
        <f>$B368&amp;" | "&amp;$AO368&amp;" | "&amp;IF(TRIM(H368)="","uniq"&amp;ROW(),TRIM(H368))</f>
        <v>461E | 90MB1BJ0-C1BAY0 | 59MB1BJB-MB0A02S |  |  |  |  |  |  | D3</v>
      </c>
      <c r="AT368" s="63">
        <f>IF(NOT(AR368),IF(TRIM($H368)="","Assembly","Phantom Alt"),VLOOKUP(F368,ZPCS04!B:G,6,0))</f>
        <v>675</v>
      </c>
      <c r="AU368" s="7"/>
      <c r="AV368" s="38">
        <f ca="1">IF(TRIM($W368)="F",OFFSET($A$5,MATCH($AS368,$AS$5:$AS368,0)-1,0),$A368)</f>
        <v>369</v>
      </c>
      <c r="AW368" s="38">
        <f ca="1">IFERROR(OFFSET(ZPCS04!$A$1,MATCH(F368,ZPCS04!B:B,0)-1,0),100)</f>
        <v>1.9999999000000002</v>
      </c>
      <c r="AX368" s="7"/>
      <c r="AY368" s="6" t="b">
        <f>SUMIF(AS:AS,AS368,AP:AP)=100</f>
        <v>1</v>
      </c>
      <c r="AZ368" s="6" t="b">
        <f>SUMIF(AS:AS,AS368,AE:AE)/COUNTIF(AS:AS,AS368)=AE368</f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>C368&amp;" | "&amp;F368</f>
        <v>90MB1BJ0-C1BAY0 | 10G212300014020</v>
      </c>
      <c r="BE368" s="55" t="str">
        <f ca="1">C368&amp;" | "&amp;OFFSET($AF368,0,8-COUNTBLANK($AG368:$AN368))</f>
        <v>90MB1BJ0-C1BAY0 | 59MB1BJB-MB0A02S</v>
      </c>
      <c r="BF368" s="57">
        <f ca="1">IFERROR(VLOOKUP($BE368,$BD$5:$BF367,3,0)*$AE368,VLOOKUP($C368,Demanda!$A:$B,2,0)*$AE368)*IF(AT368="Phantom Alt",$BC368,TRUE)</f>
        <v>7000</v>
      </c>
      <c r="BG368" s="57">
        <f ca="1">BF368*(AP368/100)</f>
        <v>0</v>
      </c>
      <c r="BH368" s="57">
        <f>SUMIF(Invoice!A:A,F368,Invoice!B:B)</f>
        <v>10000</v>
      </c>
      <c r="BI368" s="57">
        <f ca="1">SUMIF(AS:AS,AS368,BG:BG)</f>
        <v>7000</v>
      </c>
      <c r="BJ368" s="57">
        <f ca="1">MIN((BI368-SUMIF($AS$5:AS367,AS368,$BJ$5:BJ367)),MAX(0,BH368-SUMIF($F$5:F367,F368,$BJ$5:BJ367)))</f>
        <v>7000</v>
      </c>
      <c r="BK368" s="57">
        <f ca="1">(-SUMIF(AS:AS,AS368,BG:BG)+SUMIF(AS:AS,AS368,BJ:BJ))*(AP368=100)*AR368</f>
        <v>0</v>
      </c>
      <c r="BL368" s="57">
        <f ca="1">MAX(0,SUMIF(Invoice!A:A,F368,Invoice!B:B)-SUMIF(F:F,F368,BJ:BJ))*(COUNTIF(F:F,F368)=COUNTIF($F$5:F368,F368))</f>
        <v>3000</v>
      </c>
    </row>
    <row r="369" spans="1:64" hidden="1">
      <c r="A369" s="43">
        <v>368</v>
      </c>
      <c r="B369" s="35" t="s">
        <v>147</v>
      </c>
      <c r="C369" s="35" t="s">
        <v>146</v>
      </c>
      <c r="D369" s="35">
        <v>2</v>
      </c>
      <c r="E369" s="35">
        <v>1330</v>
      </c>
      <c r="F369" s="64" t="s">
        <v>917</v>
      </c>
      <c r="G369" s="73" t="s">
        <v>918</v>
      </c>
      <c r="H369" s="35" t="s">
        <v>919</v>
      </c>
      <c r="I369" s="35" t="s">
        <v>54</v>
      </c>
      <c r="J369" s="35">
        <v>100</v>
      </c>
      <c r="K369" s="35" t="s">
        <v>489</v>
      </c>
      <c r="L369" s="35" t="s">
        <v>53</v>
      </c>
      <c r="M369" s="35">
        <v>7</v>
      </c>
      <c r="N369" s="35">
        <v>7</v>
      </c>
      <c r="O369" s="35">
        <v>1</v>
      </c>
      <c r="P369" s="35">
        <v>2</v>
      </c>
      <c r="Q369" s="35">
        <v>1</v>
      </c>
      <c r="R369" s="35" t="s">
        <v>122</v>
      </c>
      <c r="S369" s="35" t="s">
        <v>122</v>
      </c>
      <c r="T369" s="36">
        <v>44901</v>
      </c>
      <c r="U369" s="36">
        <v>2958465</v>
      </c>
      <c r="V369" s="35" t="s">
        <v>282</v>
      </c>
      <c r="W369" s="35" t="s">
        <v>145</v>
      </c>
      <c r="X369" s="35"/>
      <c r="Y369" s="35" t="s">
        <v>143</v>
      </c>
      <c r="Z369" s="35">
        <v>7589154</v>
      </c>
      <c r="AA369" s="35">
        <v>624</v>
      </c>
      <c r="AB369" s="35">
        <v>312</v>
      </c>
      <c r="AC369" s="35"/>
      <c r="AE369" s="51">
        <f>M369/O369</f>
        <v>7</v>
      </c>
      <c r="AG369" s="6" t="str">
        <f>C369</f>
        <v>90MB1BJ0-C1BAY0</v>
      </c>
      <c r="AH369" s="6" t="str">
        <f>IF($D369&lt;=AH$4,"",IF(AND($D368=AH$4,$D369&gt;AH$4),$F368,AH368))</f>
        <v>59MB1BJB-MB0A02S</v>
      </c>
      <c r="AI369" s="6" t="str">
        <f>IF($D369&lt;=AI$4,"",IF(AND($D368=AI$4,$D369&gt;AI$4),$F368,AI368))</f>
        <v/>
      </c>
      <c r="AJ369" s="6" t="str">
        <f>IF($D369&lt;=AJ$4,"",IF(AND($D368=AJ$4,$D369&gt;AJ$4),$F368,AJ368))</f>
        <v/>
      </c>
      <c r="AK369" s="6" t="str">
        <f>IF($D369&lt;=AK$4,"",IF(AND($D368=AK$4,$D369&gt;AK$4),$F368,AK368))</f>
        <v/>
      </c>
      <c r="AL369" s="6" t="str">
        <f>IF($D369&lt;=AL$4,"",IF(AND($D368=AL$4,$D369&gt;AL$4),$F368,AL368))</f>
        <v/>
      </c>
      <c r="AM369" s="6" t="str">
        <f>IF($D369&lt;=AM$4,"",IF(AND($D368=AM$4,$D369&gt;AM$4),$F368,AM368))</f>
        <v/>
      </c>
      <c r="AN369" s="6" t="str">
        <f>IF($D369&lt;=AN$4,"",IF(AND($D368=AN$4,$D369&gt;AN$4),$F368,AN368))</f>
        <v/>
      </c>
      <c r="AO369" s="6" t="str">
        <f>CONCATENATE(AG369," | ",AH369," | ",AI369," | ",AJ369," | ",AK369," | ",AL369," | ",AM369," | ",AN369)</f>
        <v xml:space="preserve">90MB1BJ0-C1BAY0 | 59MB1BJB-MB0A02S |  |  |  |  |  | </v>
      </c>
      <c r="AP369" s="6">
        <f>IF(TRIM(H369)="",100,J369)</f>
        <v>100</v>
      </c>
      <c r="AQ369" s="4"/>
      <c r="AR369" s="6" t="b">
        <f>NOT(TRIM(W369)&lt;&gt;"F")</f>
        <v>1</v>
      </c>
      <c r="AS369" s="6" t="str">
        <f>$B369&amp;" | "&amp;$AO369&amp;" | "&amp;IF(TRIM(H369)="","uniq"&amp;ROW(),TRIM(H369))</f>
        <v>461E | 90MB1BJ0-C1BAY0 | 59MB1BJB-MB0A02S |  |  |  |  |  |  | D3</v>
      </c>
      <c r="AT369" s="63">
        <f>IF(NOT(AR369),IF(TRIM($H369)="","Assembly","Phantom Alt"),VLOOKUP(F369,ZPCS04!B:G,6,0))</f>
        <v>675</v>
      </c>
      <c r="AU369" s="7"/>
      <c r="AV369" s="38">
        <f ca="1">IF(TRIM($W369)="F",OFFSET($A$5,MATCH($AS369,$AS$5:$AS369,0)-1,0),$A369)</f>
        <v>369</v>
      </c>
      <c r="AW369" s="38">
        <f ca="1">IFERROR(OFFSET(ZPCS04!$A$1,MATCH(F369,ZPCS04!B:B,0)-1,0),100)</f>
        <v>2</v>
      </c>
      <c r="AX369" s="7"/>
      <c r="AY369" s="6" t="b">
        <f>SUMIF(AS:AS,AS369,AP:AP)=100</f>
        <v>1</v>
      </c>
      <c r="AZ369" s="6" t="b">
        <f>SUMIF(AS:AS,AS369,AE:AE)/COUNTIF(AS:AS,AS369)=AE369</f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>C369&amp;" | "&amp;F369</f>
        <v>90MB1BJ0-C1BAY0 | 10G212300014010</v>
      </c>
      <c r="BE369" s="55" t="str">
        <f ca="1">C369&amp;" | "&amp;OFFSET($AF369,0,8-COUNTBLANK($AG369:$AN369))</f>
        <v>90MB1BJ0-C1BAY0 | 59MB1BJB-MB0A02S</v>
      </c>
      <c r="BF369" s="57">
        <f ca="1">IFERROR(VLOOKUP($BE369,$BD$5:$BF368,3,0)*$AE369,VLOOKUP($C369,Demanda!$A:$B,2,0)*$AE369)*IF(AT369="Phantom Alt",$BC369,TRUE)</f>
        <v>7000</v>
      </c>
      <c r="BG369" s="57">
        <f ca="1">BF369*(AP369/100)</f>
        <v>7000</v>
      </c>
      <c r="BH369" s="57">
        <f>SUMIF(Invoice!A:A,F369,Invoice!B:B)</f>
        <v>0</v>
      </c>
      <c r="BI369" s="57">
        <f ca="1">SUMIF(AS:AS,AS369,BG:BG)</f>
        <v>7000</v>
      </c>
      <c r="BJ369" s="57">
        <f ca="1">MIN((BI369-SUMIF($AS$5:AS368,AS369,$BJ$5:BJ368)),MAX(0,BH369-SUMIF($F$5:F368,F369,$BJ$5:BJ368)))</f>
        <v>0</v>
      </c>
      <c r="BK369" s="57">
        <f ca="1">(-SUMIF(AS:AS,AS369,BG:BG)+SUMIF(AS:AS,AS369,BJ:BJ))*(AP369=100)*AR369</f>
        <v>0</v>
      </c>
      <c r="BL369" s="57">
        <f ca="1">MAX(0,SUMIF(Invoice!A:A,F369,Invoice!B:B)-SUMIF(F:F,F369,BJ:BJ))*(COUNTIF(F:F,F369)=COUNTIF($F$5:F369,F369))</f>
        <v>0</v>
      </c>
    </row>
    <row r="370" spans="1:64" hidden="1">
      <c r="A370" s="43">
        <v>370</v>
      </c>
      <c r="B370" s="35" t="s">
        <v>147</v>
      </c>
      <c r="C370" s="35" t="s">
        <v>146</v>
      </c>
      <c r="D370" s="35">
        <v>2</v>
      </c>
      <c r="E370" s="35">
        <v>1330</v>
      </c>
      <c r="F370" s="64" t="s">
        <v>922</v>
      </c>
      <c r="G370" s="73" t="s">
        <v>923</v>
      </c>
      <c r="H370" s="35" t="s">
        <v>919</v>
      </c>
      <c r="I370" s="35" t="s">
        <v>55</v>
      </c>
      <c r="J370" s="35">
        <v>0</v>
      </c>
      <c r="K370" s="35" t="s">
        <v>150</v>
      </c>
      <c r="L370" s="35" t="s">
        <v>53</v>
      </c>
      <c r="M370" s="35">
        <v>7</v>
      </c>
      <c r="N370" s="35"/>
      <c r="O370" s="35">
        <v>1</v>
      </c>
      <c r="P370" s="35">
        <v>2</v>
      </c>
      <c r="Q370" s="35">
        <v>3</v>
      </c>
      <c r="R370" s="35" t="s">
        <v>73</v>
      </c>
      <c r="S370" s="35" t="s">
        <v>73</v>
      </c>
      <c r="T370" s="36">
        <v>44901</v>
      </c>
      <c r="U370" s="36">
        <v>2958465</v>
      </c>
      <c r="V370" s="35" t="s">
        <v>282</v>
      </c>
      <c r="W370" s="35" t="s">
        <v>145</v>
      </c>
      <c r="X370" s="35"/>
      <c r="Y370" s="35" t="s">
        <v>143</v>
      </c>
      <c r="Z370" s="35">
        <v>7589154</v>
      </c>
      <c r="AA370" s="35">
        <v>628</v>
      </c>
      <c r="AB370" s="35">
        <v>314</v>
      </c>
      <c r="AC370" s="35"/>
      <c r="AE370" s="51">
        <f>M370/O370</f>
        <v>7</v>
      </c>
      <c r="AG370" s="6" t="str">
        <f>C370</f>
        <v>90MB1BJ0-C1BAY0</v>
      </c>
      <c r="AH370" s="6" t="str">
        <f>IF($D370&lt;=AH$4,"",IF(AND($D369=AH$4,$D370&gt;AH$4),$F369,AH369))</f>
        <v>59MB1BJB-MB0A02S</v>
      </c>
      <c r="AI370" s="6" t="str">
        <f>IF($D370&lt;=AI$4,"",IF(AND($D369=AI$4,$D370&gt;AI$4),$F369,AI369))</f>
        <v/>
      </c>
      <c r="AJ370" s="6" t="str">
        <f>IF($D370&lt;=AJ$4,"",IF(AND($D369=AJ$4,$D370&gt;AJ$4),$F369,AJ369))</f>
        <v/>
      </c>
      <c r="AK370" s="6" t="str">
        <f>IF($D370&lt;=AK$4,"",IF(AND($D369=AK$4,$D370&gt;AK$4),$F369,AK369))</f>
        <v/>
      </c>
      <c r="AL370" s="6" t="str">
        <f>IF($D370&lt;=AL$4,"",IF(AND($D369=AL$4,$D370&gt;AL$4),$F369,AL369))</f>
        <v/>
      </c>
      <c r="AM370" s="6" t="str">
        <f>IF($D370&lt;=AM$4,"",IF(AND($D369=AM$4,$D370&gt;AM$4),$F369,AM369))</f>
        <v/>
      </c>
      <c r="AN370" s="6" t="str">
        <f>IF($D370&lt;=AN$4,"",IF(AND($D369=AN$4,$D370&gt;AN$4),$F369,AN369))</f>
        <v/>
      </c>
      <c r="AO370" s="6" t="str">
        <f>CONCATENATE(AG370," | ",AH370," | ",AI370," | ",AJ370," | ",AK370," | ",AL370," | ",AM370," | ",AN370)</f>
        <v xml:space="preserve">90MB1BJ0-C1BAY0 | 59MB1BJB-MB0A02S |  |  |  |  |  | </v>
      </c>
      <c r="AP370" s="6">
        <f>IF(TRIM(H370)="",100,J370)</f>
        <v>0</v>
      </c>
      <c r="AQ370" s="4"/>
      <c r="AR370" s="6" t="b">
        <f>NOT(TRIM(W370)&lt;&gt;"F")</f>
        <v>1</v>
      </c>
      <c r="AS370" s="6" t="str">
        <f>$B370&amp;" | "&amp;$AO370&amp;" | "&amp;IF(TRIM(H370)="","uniq"&amp;ROW(),TRIM(H370))</f>
        <v>461E | 90MB1BJ0-C1BAY0 | 59MB1BJB-MB0A02S |  |  |  |  |  |  | D3</v>
      </c>
      <c r="AT370" s="63">
        <f>IF(NOT(AR370),IF(TRIM($H370)="","Assembly","Phantom Alt"),VLOOKUP(F370,ZPCS04!B:G,6,0))</f>
        <v>675</v>
      </c>
      <c r="AU370" s="7"/>
      <c r="AV370" s="38">
        <f ca="1">IF(TRIM($W370)="F",OFFSET($A$5,MATCH($AS370,$AS$5:$AS370,0)-1,0),$A370)</f>
        <v>369</v>
      </c>
      <c r="AW370" s="38">
        <f ca="1">IFERROR(OFFSET(ZPCS04!$A$1,MATCH(F370,ZPCS04!B:B,0)-1,0),100)</f>
        <v>2</v>
      </c>
      <c r="AX370" s="7"/>
      <c r="AY370" s="6" t="b">
        <f>SUMIF(AS:AS,AS370,AP:AP)=100</f>
        <v>1</v>
      </c>
      <c r="AZ370" s="6" t="b">
        <f>SUMIF(AS:AS,AS370,AE:AE)/COUNTIF(AS:AS,AS370)=AE370</f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>C370&amp;" | "&amp;F370</f>
        <v>90MB1BJ0-C1BAY0 | 10G212300014050</v>
      </c>
      <c r="BE370" s="55" t="str">
        <f ca="1">C370&amp;" | "&amp;OFFSET($AF370,0,8-COUNTBLANK($AG370:$AN370))</f>
        <v>90MB1BJ0-C1BAY0 | 59MB1BJB-MB0A02S</v>
      </c>
      <c r="BF370" s="57">
        <f ca="1">IFERROR(VLOOKUP($BE370,$BD$5:$BF369,3,0)*$AE370,VLOOKUP($C370,Demanda!$A:$B,2,0)*$AE370)*IF(AT370="Phantom Alt",$BC370,TRUE)</f>
        <v>7000</v>
      </c>
      <c r="BG370" s="57">
        <f ca="1">BF370*(AP370/100)</f>
        <v>0</v>
      </c>
      <c r="BH370" s="57">
        <f>SUMIF(Invoice!A:A,F370,Invoice!B:B)</f>
        <v>0</v>
      </c>
      <c r="BI370" s="57">
        <f ca="1">SUMIF(AS:AS,AS370,BG:BG)</f>
        <v>7000</v>
      </c>
      <c r="BJ370" s="57">
        <f ca="1">MIN((BI370-SUMIF($AS$5:AS369,AS370,$BJ$5:BJ369)),MAX(0,BH370-SUMIF($F$5:F369,F370,$BJ$5:BJ369)))</f>
        <v>0</v>
      </c>
      <c r="BK370" s="57">
        <f ca="1">(-SUMIF(AS:AS,AS370,BG:BG)+SUMIF(AS:AS,AS370,BJ:BJ))*(AP370=100)*AR370</f>
        <v>0</v>
      </c>
      <c r="BL370" s="57">
        <f ca="1">MAX(0,SUMIF(Invoice!A:A,F370,Invoice!B:B)-SUMIF(F:F,F370,BJ:BJ))*(COUNTIF(F:F,F370)=COUNTIF($F$5:F370,F370))</f>
        <v>0</v>
      </c>
    </row>
    <row r="371" spans="1:64" hidden="1">
      <c r="A371" s="43">
        <v>371</v>
      </c>
      <c r="B371" s="35" t="s">
        <v>147</v>
      </c>
      <c r="C371" s="35" t="s">
        <v>146</v>
      </c>
      <c r="D371" s="35">
        <v>2</v>
      </c>
      <c r="E371" s="35">
        <v>1340</v>
      </c>
      <c r="F371" s="64" t="s">
        <v>924</v>
      </c>
      <c r="G371" s="73" t="s">
        <v>925</v>
      </c>
      <c r="H371" s="35" t="s">
        <v>926</v>
      </c>
      <c r="I371" s="35" t="s">
        <v>55</v>
      </c>
      <c r="J371" s="35">
        <v>0</v>
      </c>
      <c r="K371" s="35" t="s">
        <v>489</v>
      </c>
      <c r="L371" s="35" t="s">
        <v>53</v>
      </c>
      <c r="M371" s="35">
        <v>1</v>
      </c>
      <c r="N371" s="35"/>
      <c r="O371" s="35">
        <v>1</v>
      </c>
      <c r="P371" s="35">
        <v>2</v>
      </c>
      <c r="Q371" s="35">
        <v>2</v>
      </c>
      <c r="R371" s="35" t="s">
        <v>122</v>
      </c>
      <c r="S371" s="35" t="s">
        <v>122</v>
      </c>
      <c r="T371" s="36">
        <v>44901</v>
      </c>
      <c r="U371" s="36">
        <v>2958465</v>
      </c>
      <c r="V371" s="35" t="s">
        <v>282</v>
      </c>
      <c r="W371" s="35" t="s">
        <v>145</v>
      </c>
      <c r="X371" s="35"/>
      <c r="Y371" s="35" t="s">
        <v>143</v>
      </c>
      <c r="Z371" s="35">
        <v>7589154</v>
      </c>
      <c r="AA371" s="35">
        <v>632</v>
      </c>
      <c r="AB371" s="35">
        <v>316</v>
      </c>
      <c r="AC371" s="35"/>
      <c r="AE371" s="51">
        <f>M371/O371</f>
        <v>1</v>
      </c>
      <c r="AG371" s="6" t="str">
        <f>C371</f>
        <v>90MB1BJ0-C1BAY0</v>
      </c>
      <c r="AH371" s="6" t="str">
        <f>IF($D371&lt;=AH$4,"",IF(AND($D370=AH$4,$D371&gt;AH$4),$F370,AH370))</f>
        <v>59MB1BJB-MB0A02S</v>
      </c>
      <c r="AI371" s="6" t="str">
        <f>IF($D371&lt;=AI$4,"",IF(AND($D370=AI$4,$D371&gt;AI$4),$F370,AI370))</f>
        <v/>
      </c>
      <c r="AJ371" s="6" t="str">
        <f>IF($D371&lt;=AJ$4,"",IF(AND($D370=AJ$4,$D371&gt;AJ$4),$F370,AJ370))</f>
        <v/>
      </c>
      <c r="AK371" s="6" t="str">
        <f>IF($D371&lt;=AK$4,"",IF(AND($D370=AK$4,$D371&gt;AK$4),$F370,AK370))</f>
        <v/>
      </c>
      <c r="AL371" s="6" t="str">
        <f>IF($D371&lt;=AL$4,"",IF(AND($D370=AL$4,$D371&gt;AL$4),$F370,AL370))</f>
        <v/>
      </c>
      <c r="AM371" s="6" t="str">
        <f>IF($D371&lt;=AM$4,"",IF(AND($D370=AM$4,$D371&gt;AM$4),$F370,AM370))</f>
        <v/>
      </c>
      <c r="AN371" s="6" t="str">
        <f>IF($D371&lt;=AN$4,"",IF(AND($D370=AN$4,$D371&gt;AN$4),$F370,AN370))</f>
        <v/>
      </c>
      <c r="AO371" s="6" t="str">
        <f>CONCATENATE(AG371," | ",AH371," | ",AI371," | ",AJ371," | ",AK371," | ",AL371," | ",AM371," | ",AN371)</f>
        <v xml:space="preserve">90MB1BJ0-C1BAY0 | 59MB1BJB-MB0A02S |  |  |  |  |  | </v>
      </c>
      <c r="AP371" s="6">
        <f>IF(TRIM(H371)="",100,J371)</f>
        <v>0</v>
      </c>
      <c r="AQ371" s="4"/>
      <c r="AR371" s="6" t="b">
        <f>NOT(TRIM(W371)&lt;&gt;"F")</f>
        <v>1</v>
      </c>
      <c r="AS371" s="6" t="str">
        <f>$B371&amp;" | "&amp;$AO371&amp;" | "&amp;IF(TRIM(H371)="","uniq"&amp;ROW(),TRIM(H371))</f>
        <v>461E | 90MB1BJ0-C1BAY0 | 59MB1BJB-MB0A02S |  |  |  |  |  |  | D4</v>
      </c>
      <c r="AT371" s="63">
        <f>IF(NOT(AR371),IF(TRIM($H371)="","Assembly","Phantom Alt"),VLOOKUP(F371,ZPCS04!B:G,6,0))</f>
        <v>846</v>
      </c>
      <c r="AU371" s="7"/>
      <c r="AV371" s="38">
        <f ca="1">IF(TRIM($W371)="F",OFFSET($A$5,MATCH($AS371,$AS$5:$AS371,0)-1,0),$A371)</f>
        <v>371</v>
      </c>
      <c r="AW371" s="38">
        <f ca="1">IFERROR(OFFSET(ZPCS04!$A$1,MATCH(F371,ZPCS04!B:B,0)-1,0),100)</f>
        <v>1.9999999000000002</v>
      </c>
      <c r="AX371" s="7"/>
      <c r="AY371" s="6" t="b">
        <f>SUMIF(AS:AS,AS371,AP:AP)=100</f>
        <v>1</v>
      </c>
      <c r="AZ371" s="6" t="b">
        <f>SUMIF(AS:AS,AS371,AE:AE)/COUNTIF(AS:AS,AS371)=AE371</f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>C371&amp;" | "&amp;F371</f>
        <v>90MB1BJ0-C1BAY0 | 10G212300114010</v>
      </c>
      <c r="BE371" s="55" t="str">
        <f ca="1">C371&amp;" | "&amp;OFFSET($AF371,0,8-COUNTBLANK($AG371:$AN371))</f>
        <v>90MB1BJ0-C1BAY0 | 59MB1BJB-MB0A02S</v>
      </c>
      <c r="BF371" s="57">
        <f ca="1">IFERROR(VLOOKUP($BE371,$BD$5:$BF370,3,0)*$AE371,VLOOKUP($C371,Demanda!$A:$B,2,0)*$AE371)*IF(AT371="Phantom Alt",$BC371,TRUE)</f>
        <v>1000</v>
      </c>
      <c r="BG371" s="57">
        <f ca="1">BF371*(AP371/100)</f>
        <v>0</v>
      </c>
      <c r="BH371" s="57">
        <f>SUMIF(Invoice!A:A,F371,Invoice!B:B)</f>
        <v>10000</v>
      </c>
      <c r="BI371" s="57">
        <f ca="1">SUMIF(AS:AS,AS371,BG:BG)</f>
        <v>1000</v>
      </c>
      <c r="BJ371" s="57">
        <f ca="1">MIN((BI371-SUMIF($AS$5:AS370,AS371,$BJ$5:BJ370)),MAX(0,BH371-SUMIF($F$5:F370,F371,$BJ$5:BJ370)))</f>
        <v>1000</v>
      </c>
      <c r="BK371" s="57">
        <f ca="1">(-SUMIF(AS:AS,AS371,BG:BG)+SUMIF(AS:AS,AS371,BJ:BJ))*(AP371=100)*AR371</f>
        <v>0</v>
      </c>
      <c r="BL371" s="57">
        <f ca="1">MAX(0,SUMIF(Invoice!A:A,F371,Invoice!B:B)-SUMIF(F:F,F371,BJ:BJ))*(COUNTIF(F:F,F371)=COUNTIF($F$5:F371,F371))</f>
        <v>9000</v>
      </c>
    </row>
    <row r="372" spans="1:64" hidden="1">
      <c r="A372" s="43">
        <v>372</v>
      </c>
      <c r="B372" s="35" t="s">
        <v>147</v>
      </c>
      <c r="C372" s="35" t="s">
        <v>146</v>
      </c>
      <c r="D372" s="35">
        <v>2</v>
      </c>
      <c r="E372" s="35">
        <v>1340</v>
      </c>
      <c r="F372" s="64" t="s">
        <v>927</v>
      </c>
      <c r="G372" s="73" t="s">
        <v>928</v>
      </c>
      <c r="H372" s="35" t="s">
        <v>926</v>
      </c>
      <c r="I372" s="35" t="s">
        <v>54</v>
      </c>
      <c r="J372" s="35">
        <v>100</v>
      </c>
      <c r="K372" s="35" t="s">
        <v>489</v>
      </c>
      <c r="L372" s="35" t="s">
        <v>53</v>
      </c>
      <c r="M372" s="35">
        <v>1</v>
      </c>
      <c r="N372" s="35">
        <v>1</v>
      </c>
      <c r="O372" s="35">
        <v>1</v>
      </c>
      <c r="P372" s="35">
        <v>2</v>
      </c>
      <c r="Q372" s="35">
        <v>1</v>
      </c>
      <c r="R372" s="35" t="s">
        <v>122</v>
      </c>
      <c r="S372" s="35" t="s">
        <v>122</v>
      </c>
      <c r="T372" s="36">
        <v>44901</v>
      </c>
      <c r="U372" s="36">
        <v>2958465</v>
      </c>
      <c r="V372" s="35" t="s">
        <v>282</v>
      </c>
      <c r="W372" s="35" t="s">
        <v>145</v>
      </c>
      <c r="X372" s="35"/>
      <c r="Y372" s="35" t="s">
        <v>143</v>
      </c>
      <c r="Z372" s="35">
        <v>7589154</v>
      </c>
      <c r="AA372" s="35">
        <v>630</v>
      </c>
      <c r="AB372" s="35">
        <v>315</v>
      </c>
      <c r="AC372" s="35"/>
      <c r="AE372" s="51">
        <f>M372/O372</f>
        <v>1</v>
      </c>
      <c r="AG372" s="6" t="str">
        <f>C372</f>
        <v>90MB1BJ0-C1BAY0</v>
      </c>
      <c r="AH372" s="6" t="str">
        <f>IF($D372&lt;=AH$4,"",IF(AND($D371=AH$4,$D372&gt;AH$4),$F371,AH371))</f>
        <v>59MB1BJB-MB0A02S</v>
      </c>
      <c r="AI372" s="6" t="str">
        <f>IF($D372&lt;=AI$4,"",IF(AND($D371=AI$4,$D372&gt;AI$4),$F371,AI371))</f>
        <v/>
      </c>
      <c r="AJ372" s="6" t="str">
        <f>IF($D372&lt;=AJ$4,"",IF(AND($D371=AJ$4,$D372&gt;AJ$4),$F371,AJ371))</f>
        <v/>
      </c>
      <c r="AK372" s="6" t="str">
        <f>IF($D372&lt;=AK$4,"",IF(AND($D371=AK$4,$D372&gt;AK$4),$F371,AK371))</f>
        <v/>
      </c>
      <c r="AL372" s="6" t="str">
        <f>IF($D372&lt;=AL$4,"",IF(AND($D371=AL$4,$D372&gt;AL$4),$F371,AL371))</f>
        <v/>
      </c>
      <c r="AM372" s="6" t="str">
        <f>IF($D372&lt;=AM$4,"",IF(AND($D371=AM$4,$D372&gt;AM$4),$F371,AM371))</f>
        <v/>
      </c>
      <c r="AN372" s="6" t="str">
        <f>IF($D372&lt;=AN$4,"",IF(AND($D371=AN$4,$D372&gt;AN$4),$F371,AN371))</f>
        <v/>
      </c>
      <c r="AO372" s="6" t="str">
        <f>CONCATENATE(AG372," | ",AH372," | ",AI372," | ",AJ372," | ",AK372," | ",AL372," | ",AM372," | ",AN372)</f>
        <v xml:space="preserve">90MB1BJ0-C1BAY0 | 59MB1BJB-MB0A02S |  |  |  |  |  | </v>
      </c>
      <c r="AP372" s="6">
        <f>IF(TRIM(H372)="",100,J372)</f>
        <v>100</v>
      </c>
      <c r="AQ372" s="4"/>
      <c r="AR372" s="6" t="b">
        <f>NOT(TRIM(W372)&lt;&gt;"F")</f>
        <v>1</v>
      </c>
      <c r="AS372" s="6" t="str">
        <f>$B372&amp;" | "&amp;$AO372&amp;" | "&amp;IF(TRIM(H372)="","uniq"&amp;ROW(),TRIM(H372))</f>
        <v>461E | 90MB1BJ0-C1BAY0 | 59MB1BJB-MB0A02S |  |  |  |  |  |  | D4</v>
      </c>
      <c r="AT372" s="63">
        <f>IF(NOT(AR372),IF(TRIM($H372)="","Assembly","Phantom Alt"),VLOOKUP(F372,ZPCS04!B:G,6,0))</f>
        <v>846</v>
      </c>
      <c r="AU372" s="7"/>
      <c r="AV372" s="38">
        <f ca="1">IF(TRIM($W372)="F",OFFSET($A$5,MATCH($AS372,$AS$5:$AS372,0)-1,0),$A372)</f>
        <v>371</v>
      </c>
      <c r="AW372" s="38">
        <f ca="1">IFERROR(OFFSET(ZPCS04!$A$1,MATCH(F372,ZPCS04!B:B,0)-1,0),100)</f>
        <v>2</v>
      </c>
      <c r="AX372" s="7"/>
      <c r="AY372" s="6" t="b">
        <f>SUMIF(AS:AS,AS372,AP:AP)=100</f>
        <v>1</v>
      </c>
      <c r="AZ372" s="6" t="b">
        <f>SUMIF(AS:AS,AS372,AE:AE)/COUNTIF(AS:AS,AS372)=AE372</f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>C372&amp;" | "&amp;F372</f>
        <v>90MB1BJ0-C1BAY0 | 10G212300114020</v>
      </c>
      <c r="BE372" s="55" t="str">
        <f ca="1">C372&amp;" | "&amp;OFFSET($AF372,0,8-COUNTBLANK($AG372:$AN372))</f>
        <v>90MB1BJ0-C1BAY0 | 59MB1BJB-MB0A02S</v>
      </c>
      <c r="BF372" s="57">
        <f ca="1">IFERROR(VLOOKUP($BE372,$BD$5:$BF371,3,0)*$AE372,VLOOKUP($C372,Demanda!$A:$B,2,0)*$AE372)*IF(AT372="Phantom Alt",$BC372,TRUE)</f>
        <v>1000</v>
      </c>
      <c r="BG372" s="57">
        <f ca="1">BF372*(AP372/100)</f>
        <v>1000</v>
      </c>
      <c r="BH372" s="57">
        <f>SUMIF(Invoice!A:A,F372,Invoice!B:B)</f>
        <v>0</v>
      </c>
      <c r="BI372" s="57">
        <f ca="1">SUMIF(AS:AS,AS372,BG:BG)</f>
        <v>1000</v>
      </c>
      <c r="BJ372" s="57">
        <f ca="1">MIN((BI372-SUMIF($AS$5:AS371,AS372,$BJ$5:BJ371)),MAX(0,BH372-SUMIF($F$5:F371,F372,$BJ$5:BJ371)))</f>
        <v>0</v>
      </c>
      <c r="BK372" s="57">
        <f ca="1">(-SUMIF(AS:AS,AS372,BG:BG)+SUMIF(AS:AS,AS372,BJ:BJ))*(AP372=100)*AR372</f>
        <v>0</v>
      </c>
      <c r="BL372" s="57">
        <f ca="1">MAX(0,SUMIF(Invoice!A:A,F372,Invoice!B:B)-SUMIF(F:F,F372,BJ:BJ))*(COUNTIF(F:F,F372)=COUNTIF($F$5:F372,F372))</f>
        <v>0</v>
      </c>
    </row>
    <row r="373" spans="1:64" hidden="1">
      <c r="A373" s="43">
        <v>373</v>
      </c>
      <c r="B373" s="35" t="s">
        <v>147</v>
      </c>
      <c r="C373" s="35" t="s">
        <v>146</v>
      </c>
      <c r="D373" s="35">
        <v>2</v>
      </c>
      <c r="E373" s="35">
        <v>1340</v>
      </c>
      <c r="F373" s="64" t="s">
        <v>929</v>
      </c>
      <c r="G373" s="73" t="s">
        <v>930</v>
      </c>
      <c r="H373" s="35" t="s">
        <v>926</v>
      </c>
      <c r="I373" s="35" t="s">
        <v>55</v>
      </c>
      <c r="J373" s="35">
        <v>0</v>
      </c>
      <c r="K373" s="35" t="s">
        <v>150</v>
      </c>
      <c r="L373" s="35" t="s">
        <v>53</v>
      </c>
      <c r="M373" s="35">
        <v>1</v>
      </c>
      <c r="N373" s="35"/>
      <c r="O373" s="35">
        <v>1</v>
      </c>
      <c r="P373" s="35">
        <v>2</v>
      </c>
      <c r="Q373" s="35">
        <v>3</v>
      </c>
      <c r="R373" s="35" t="s">
        <v>73</v>
      </c>
      <c r="S373" s="35" t="s">
        <v>73</v>
      </c>
      <c r="T373" s="36">
        <v>44901</v>
      </c>
      <c r="U373" s="36">
        <v>2958465</v>
      </c>
      <c r="V373" s="35" t="s">
        <v>282</v>
      </c>
      <c r="W373" s="35" t="s">
        <v>145</v>
      </c>
      <c r="X373" s="35"/>
      <c r="Y373" s="35" t="s">
        <v>143</v>
      </c>
      <c r="Z373" s="35">
        <v>7589154</v>
      </c>
      <c r="AA373" s="35">
        <v>634</v>
      </c>
      <c r="AB373" s="35">
        <v>317</v>
      </c>
      <c r="AC373" s="35"/>
      <c r="AE373" s="51">
        <f>M373/O373</f>
        <v>1</v>
      </c>
      <c r="AG373" s="6" t="str">
        <f>C373</f>
        <v>90MB1BJ0-C1BAY0</v>
      </c>
      <c r="AH373" s="6" t="str">
        <f>IF($D373&lt;=AH$4,"",IF(AND($D372=AH$4,$D373&gt;AH$4),$F372,AH372))</f>
        <v>59MB1BJB-MB0A02S</v>
      </c>
      <c r="AI373" s="6" t="str">
        <f>IF($D373&lt;=AI$4,"",IF(AND($D372=AI$4,$D373&gt;AI$4),$F372,AI372))</f>
        <v/>
      </c>
      <c r="AJ373" s="6" t="str">
        <f>IF($D373&lt;=AJ$4,"",IF(AND($D372=AJ$4,$D373&gt;AJ$4),$F372,AJ372))</f>
        <v/>
      </c>
      <c r="AK373" s="6" t="str">
        <f>IF($D373&lt;=AK$4,"",IF(AND($D372=AK$4,$D373&gt;AK$4),$F372,AK372))</f>
        <v/>
      </c>
      <c r="AL373" s="6" t="str">
        <f>IF($D373&lt;=AL$4,"",IF(AND($D372=AL$4,$D373&gt;AL$4),$F372,AL372))</f>
        <v/>
      </c>
      <c r="AM373" s="6" t="str">
        <f>IF($D373&lt;=AM$4,"",IF(AND($D372=AM$4,$D373&gt;AM$4),$F372,AM372))</f>
        <v/>
      </c>
      <c r="AN373" s="6" t="str">
        <f>IF($D373&lt;=AN$4,"",IF(AND($D372=AN$4,$D373&gt;AN$4),$F372,AN372))</f>
        <v/>
      </c>
      <c r="AO373" s="6" t="str">
        <f>CONCATENATE(AG373," | ",AH373," | ",AI373," | ",AJ373," | ",AK373," | ",AL373," | ",AM373," | ",AN373)</f>
        <v xml:space="preserve">90MB1BJ0-C1BAY0 | 59MB1BJB-MB0A02S |  |  |  |  |  | </v>
      </c>
      <c r="AP373" s="6">
        <f>IF(TRIM(H373)="",100,J373)</f>
        <v>0</v>
      </c>
      <c r="AQ373" s="4"/>
      <c r="AR373" s="6" t="b">
        <f>NOT(TRIM(W373)&lt;&gt;"F")</f>
        <v>1</v>
      </c>
      <c r="AS373" s="6" t="str">
        <f>$B373&amp;" | "&amp;$AO373&amp;" | "&amp;IF(TRIM(H373)="","uniq"&amp;ROW(),TRIM(H373))</f>
        <v>461E | 90MB1BJ0-C1BAY0 | 59MB1BJB-MB0A02S |  |  |  |  |  |  | D4</v>
      </c>
      <c r="AT373" s="63">
        <f>IF(NOT(AR373),IF(TRIM($H373)="","Assembly","Phantom Alt"),VLOOKUP(F373,ZPCS04!B:G,6,0))</f>
        <v>846</v>
      </c>
      <c r="AU373" s="7"/>
      <c r="AV373" s="38">
        <f ca="1">IF(TRIM($W373)="F",OFFSET($A$5,MATCH($AS373,$AS$5:$AS373,0)-1,0),$A373)</f>
        <v>371</v>
      </c>
      <c r="AW373" s="38">
        <f ca="1">IFERROR(OFFSET(ZPCS04!$A$1,MATCH(F373,ZPCS04!B:B,0)-1,0),100)</f>
        <v>2</v>
      </c>
      <c r="AX373" s="7"/>
      <c r="AY373" s="6" t="b">
        <f>SUMIF(AS:AS,AS373,AP:AP)=100</f>
        <v>1</v>
      </c>
      <c r="AZ373" s="6" t="b">
        <f>SUMIF(AS:AS,AS373,AE:AE)/COUNTIF(AS:AS,AS373)=AE373</f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>C373&amp;" | "&amp;F373</f>
        <v>90MB1BJ0-C1BAY0 | 10G212300114050</v>
      </c>
      <c r="BE373" s="55" t="str">
        <f ca="1">C373&amp;" | "&amp;OFFSET($AF373,0,8-COUNTBLANK($AG373:$AN373))</f>
        <v>90MB1BJ0-C1BAY0 | 59MB1BJB-MB0A02S</v>
      </c>
      <c r="BF373" s="57">
        <f ca="1">IFERROR(VLOOKUP($BE373,$BD$5:$BF372,3,0)*$AE373,VLOOKUP($C373,Demanda!$A:$B,2,0)*$AE373)*IF(AT373="Phantom Alt",$BC373,TRUE)</f>
        <v>1000</v>
      </c>
      <c r="BG373" s="57">
        <f ca="1">BF373*(AP373/100)</f>
        <v>0</v>
      </c>
      <c r="BH373" s="57">
        <f>SUMIF(Invoice!A:A,F373,Invoice!B:B)</f>
        <v>0</v>
      </c>
      <c r="BI373" s="57">
        <f ca="1">SUMIF(AS:AS,AS373,BG:BG)</f>
        <v>1000</v>
      </c>
      <c r="BJ373" s="57">
        <f ca="1">MIN((BI373-SUMIF($AS$5:AS372,AS373,$BJ$5:BJ372)),MAX(0,BH373-SUMIF($F$5:F372,F373,$BJ$5:BJ372)))</f>
        <v>0</v>
      </c>
      <c r="BK373" s="57">
        <f ca="1">(-SUMIF(AS:AS,AS373,BG:BG)+SUMIF(AS:AS,AS373,BJ:BJ))*(AP373=100)*AR373</f>
        <v>0</v>
      </c>
      <c r="BL373" s="57">
        <f ca="1">MAX(0,SUMIF(Invoice!A:A,F373,Invoice!B:B)-SUMIF(F:F,F373,BJ:BJ))*(COUNTIF(F:F,F373)=COUNTIF($F$5:F373,F373))</f>
        <v>0</v>
      </c>
    </row>
    <row r="374" spans="1:64" hidden="1">
      <c r="A374" s="43">
        <v>375</v>
      </c>
      <c r="B374" s="35" t="s">
        <v>147</v>
      </c>
      <c r="C374" s="35" t="s">
        <v>146</v>
      </c>
      <c r="D374" s="35">
        <v>2</v>
      </c>
      <c r="E374" s="35">
        <v>1350</v>
      </c>
      <c r="F374" s="64" t="s">
        <v>934</v>
      </c>
      <c r="G374" s="73" t="s">
        <v>935</v>
      </c>
      <c r="H374" s="35" t="s">
        <v>933</v>
      </c>
      <c r="I374" s="35" t="s">
        <v>54</v>
      </c>
      <c r="J374" s="35">
        <v>100</v>
      </c>
      <c r="K374" s="35" t="s">
        <v>489</v>
      </c>
      <c r="L374" s="35" t="s">
        <v>53</v>
      </c>
      <c r="M374" s="35">
        <v>4</v>
      </c>
      <c r="N374" s="35">
        <v>4</v>
      </c>
      <c r="O374" s="35">
        <v>1</v>
      </c>
      <c r="P374" s="35">
        <v>2</v>
      </c>
      <c r="Q374" s="35">
        <v>1</v>
      </c>
      <c r="R374" s="35" t="s">
        <v>73</v>
      </c>
      <c r="S374" s="35" t="s">
        <v>73</v>
      </c>
      <c r="T374" s="36">
        <v>44901</v>
      </c>
      <c r="U374" s="36">
        <v>2958465</v>
      </c>
      <c r="V374" s="35" t="s">
        <v>282</v>
      </c>
      <c r="W374" s="35" t="s">
        <v>145</v>
      </c>
      <c r="X374" s="35"/>
      <c r="Y374" s="35" t="s">
        <v>143</v>
      </c>
      <c r="Z374" s="35">
        <v>7589154</v>
      </c>
      <c r="AA374" s="35">
        <v>636</v>
      </c>
      <c r="AB374" s="35">
        <v>318</v>
      </c>
      <c r="AC374" s="35"/>
      <c r="AE374" s="51">
        <f>M374/O374</f>
        <v>4</v>
      </c>
      <c r="AG374" s="6" t="str">
        <f>C374</f>
        <v>90MB1BJ0-C1BAY0</v>
      </c>
      <c r="AH374" s="6" t="str">
        <f>IF($D374&lt;=AH$4,"",IF(AND($D373=AH$4,$D374&gt;AH$4),$F373,AH373))</f>
        <v>59MB1BJB-MB0A02S</v>
      </c>
      <c r="AI374" s="6" t="str">
        <f>IF($D374&lt;=AI$4,"",IF(AND($D373=AI$4,$D374&gt;AI$4),$F373,AI373))</f>
        <v/>
      </c>
      <c r="AJ374" s="6" t="str">
        <f>IF($D374&lt;=AJ$4,"",IF(AND($D373=AJ$4,$D374&gt;AJ$4),$F373,AJ373))</f>
        <v/>
      </c>
      <c r="AK374" s="6" t="str">
        <f>IF($D374&lt;=AK$4,"",IF(AND($D373=AK$4,$D374&gt;AK$4),$F373,AK373))</f>
        <v/>
      </c>
      <c r="AL374" s="6" t="str">
        <f>IF($D374&lt;=AL$4,"",IF(AND($D373=AL$4,$D374&gt;AL$4),$F373,AL373))</f>
        <v/>
      </c>
      <c r="AM374" s="6" t="str">
        <f>IF($D374&lt;=AM$4,"",IF(AND($D373=AM$4,$D374&gt;AM$4),$F373,AM373))</f>
        <v/>
      </c>
      <c r="AN374" s="6" t="str">
        <f>IF($D374&lt;=AN$4,"",IF(AND($D373=AN$4,$D374&gt;AN$4),$F373,AN373))</f>
        <v/>
      </c>
      <c r="AO374" s="6" t="str">
        <f>CONCATENATE(AG374," | ",AH374," | ",AI374," | ",AJ374," | ",AK374," | ",AL374," | ",AM374," | ",AN374)</f>
        <v xml:space="preserve">90MB1BJ0-C1BAY0 | 59MB1BJB-MB0A02S |  |  |  |  |  | </v>
      </c>
      <c r="AP374" s="6">
        <f>IF(TRIM(H374)="",100,J374)</f>
        <v>100</v>
      </c>
      <c r="AQ374" s="4"/>
      <c r="AR374" s="6" t="b">
        <f>NOT(TRIM(W374)&lt;&gt;"F")</f>
        <v>1</v>
      </c>
      <c r="AS374" s="6" t="str">
        <f>$B374&amp;" | "&amp;$AO374&amp;" | "&amp;IF(TRIM(H374)="","uniq"&amp;ROW(),TRIM(H374))</f>
        <v>461E | 90MB1BJ0-C1BAY0 | 59MB1BJB-MB0A02S |  |  |  |  |  |  | D5</v>
      </c>
      <c r="AT374" s="63">
        <f>IF(NOT(AR374),IF(TRIM($H374)="","Assembly","Phantom Alt"),VLOOKUP(F374,ZPCS04!B:G,6,0))</f>
        <v>847</v>
      </c>
      <c r="AU374" s="7"/>
      <c r="AV374" s="38">
        <f ca="1">IF(TRIM($W374)="F",OFFSET($A$5,MATCH($AS374,$AS$5:$AS374,0)-1,0),$A374)</f>
        <v>375</v>
      </c>
      <c r="AW374" s="38">
        <f ca="1">IFERROR(OFFSET(ZPCS04!$A$1,MATCH(F374,ZPCS04!B:B,0)-1,0),100)</f>
        <v>1.9999999000000002</v>
      </c>
      <c r="AX374" s="7"/>
      <c r="AY374" s="6" t="b">
        <f>SUMIF(AS:AS,AS374,AP:AP)=100</f>
        <v>1</v>
      </c>
      <c r="AZ374" s="6" t="b">
        <f>SUMIF(AS:AS,AS374,AE:AE)/COUNTIF(AS:AS,AS374)=AE374</f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>C374&amp;" | "&amp;F374</f>
        <v>90MB1BJ0-C1BAY0 | 10G21230R014010</v>
      </c>
      <c r="BE374" s="55" t="str">
        <f ca="1">C374&amp;" | "&amp;OFFSET($AF374,0,8-COUNTBLANK($AG374:$AN374))</f>
        <v>90MB1BJ0-C1BAY0 | 59MB1BJB-MB0A02S</v>
      </c>
      <c r="BF374" s="57">
        <f ca="1">IFERROR(VLOOKUP($BE374,$BD$5:$BF373,3,0)*$AE374,VLOOKUP($C374,Demanda!$A:$B,2,0)*$AE374)*IF(AT374="Phantom Alt",$BC374,TRUE)</f>
        <v>4000</v>
      </c>
      <c r="BG374" s="57">
        <f ca="1">BF374*(AP374/100)</f>
        <v>4000</v>
      </c>
      <c r="BH374" s="57">
        <f>SUMIF(Invoice!A:A,F374,Invoice!B:B)</f>
        <v>10000</v>
      </c>
      <c r="BI374" s="57">
        <f ca="1">SUMIF(AS:AS,AS374,BG:BG)</f>
        <v>4000</v>
      </c>
      <c r="BJ374" s="57">
        <f ca="1">MIN((BI374-SUMIF($AS$5:AS373,AS374,$BJ$5:BJ373)),MAX(0,BH374-SUMIF($F$5:F373,F374,$BJ$5:BJ373)))</f>
        <v>4000</v>
      </c>
      <c r="BK374" s="57">
        <f ca="1">(-SUMIF(AS:AS,AS374,BG:BG)+SUMIF(AS:AS,AS374,BJ:BJ))*(AP374=100)*AR374</f>
        <v>0</v>
      </c>
      <c r="BL374" s="57">
        <f ca="1">MAX(0,SUMIF(Invoice!A:A,F374,Invoice!B:B)-SUMIF(F:F,F374,BJ:BJ))*(COUNTIF(F:F,F374)=COUNTIF($F$5:F374,F374))</f>
        <v>6000</v>
      </c>
    </row>
    <row r="375" spans="1:64" hidden="1">
      <c r="A375" s="43">
        <v>374</v>
      </c>
      <c r="B375" s="35" t="s">
        <v>147</v>
      </c>
      <c r="C375" s="35" t="s">
        <v>146</v>
      </c>
      <c r="D375" s="35">
        <v>2</v>
      </c>
      <c r="E375" s="35">
        <v>1350</v>
      </c>
      <c r="F375" s="64" t="s">
        <v>931</v>
      </c>
      <c r="G375" s="73" t="s">
        <v>932</v>
      </c>
      <c r="H375" s="35" t="s">
        <v>933</v>
      </c>
      <c r="I375" s="35" t="s">
        <v>55</v>
      </c>
      <c r="J375" s="35">
        <v>0</v>
      </c>
      <c r="K375" s="35" t="s">
        <v>150</v>
      </c>
      <c r="L375" s="35" t="s">
        <v>53</v>
      </c>
      <c r="M375" s="35">
        <v>4</v>
      </c>
      <c r="N375" s="35"/>
      <c r="O375" s="35">
        <v>1</v>
      </c>
      <c r="P375" s="35">
        <v>2</v>
      </c>
      <c r="Q375" s="35">
        <v>3</v>
      </c>
      <c r="R375" s="35" t="s">
        <v>73</v>
      </c>
      <c r="S375" s="35" t="s">
        <v>73</v>
      </c>
      <c r="T375" s="36">
        <v>44901</v>
      </c>
      <c r="U375" s="36">
        <v>2958465</v>
      </c>
      <c r="V375" s="35" t="s">
        <v>282</v>
      </c>
      <c r="W375" s="35" t="s">
        <v>145</v>
      </c>
      <c r="X375" s="35"/>
      <c r="Y375" s="35" t="s">
        <v>143</v>
      </c>
      <c r="Z375" s="35">
        <v>7589154</v>
      </c>
      <c r="AA375" s="35">
        <v>640</v>
      </c>
      <c r="AB375" s="35">
        <v>320</v>
      </c>
      <c r="AC375" s="35"/>
      <c r="AE375" s="51">
        <f>M375/O375</f>
        <v>4</v>
      </c>
      <c r="AG375" s="6" t="str">
        <f>C375</f>
        <v>90MB1BJ0-C1BAY0</v>
      </c>
      <c r="AH375" s="6" t="str">
        <f>IF($D375&lt;=AH$4,"",IF(AND($D374=AH$4,$D375&gt;AH$4),$F374,AH374))</f>
        <v>59MB1BJB-MB0A02S</v>
      </c>
      <c r="AI375" s="6" t="str">
        <f>IF($D375&lt;=AI$4,"",IF(AND($D374=AI$4,$D375&gt;AI$4),$F374,AI374))</f>
        <v/>
      </c>
      <c r="AJ375" s="6" t="str">
        <f>IF($D375&lt;=AJ$4,"",IF(AND($D374=AJ$4,$D375&gt;AJ$4),$F374,AJ374))</f>
        <v/>
      </c>
      <c r="AK375" s="6" t="str">
        <f>IF($D375&lt;=AK$4,"",IF(AND($D374=AK$4,$D375&gt;AK$4),$F374,AK374))</f>
        <v/>
      </c>
      <c r="AL375" s="6" t="str">
        <f>IF($D375&lt;=AL$4,"",IF(AND($D374=AL$4,$D375&gt;AL$4),$F374,AL374))</f>
        <v/>
      </c>
      <c r="AM375" s="6" t="str">
        <f>IF($D375&lt;=AM$4,"",IF(AND($D374=AM$4,$D375&gt;AM$4),$F374,AM374))</f>
        <v/>
      </c>
      <c r="AN375" s="6" t="str">
        <f>IF($D375&lt;=AN$4,"",IF(AND($D374=AN$4,$D375&gt;AN$4),$F374,AN374))</f>
        <v/>
      </c>
      <c r="AO375" s="6" t="str">
        <f>CONCATENATE(AG375," | ",AH375," | ",AI375," | ",AJ375," | ",AK375," | ",AL375," | ",AM375," | ",AN375)</f>
        <v xml:space="preserve">90MB1BJ0-C1BAY0 | 59MB1BJB-MB0A02S |  |  |  |  |  | </v>
      </c>
      <c r="AP375" s="6">
        <f>IF(TRIM(H375)="",100,J375)</f>
        <v>0</v>
      </c>
      <c r="AQ375" s="4"/>
      <c r="AR375" s="6" t="b">
        <f>NOT(TRIM(W375)&lt;&gt;"F")</f>
        <v>1</v>
      </c>
      <c r="AS375" s="6" t="str">
        <f>$B375&amp;" | "&amp;$AO375&amp;" | "&amp;IF(TRIM(H375)="","uniq"&amp;ROW(),TRIM(H375))</f>
        <v>461E | 90MB1BJ0-C1BAY0 | 59MB1BJB-MB0A02S |  |  |  |  |  |  | D5</v>
      </c>
      <c r="AT375" s="63">
        <f>IF(NOT(AR375),IF(TRIM($H375)="","Assembly","Phantom Alt"),VLOOKUP(F375,ZPCS04!B:G,6,0))</f>
        <v>847</v>
      </c>
      <c r="AU375" s="7"/>
      <c r="AV375" s="38">
        <f ca="1">IF(TRIM($W375)="F",OFFSET($A$5,MATCH($AS375,$AS$5:$AS375,0)-1,0),$A375)</f>
        <v>375</v>
      </c>
      <c r="AW375" s="38">
        <f ca="1">IFERROR(OFFSET(ZPCS04!$A$1,MATCH(F375,ZPCS04!B:B,0)-1,0),100)</f>
        <v>2</v>
      </c>
      <c r="AX375" s="7"/>
      <c r="AY375" s="6" t="b">
        <f>SUMIF(AS:AS,AS375,AP:AP)=100</f>
        <v>1</v>
      </c>
      <c r="AZ375" s="6" t="b">
        <f>SUMIF(AS:AS,AS375,AE:AE)/COUNTIF(AS:AS,AS375)=AE375</f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>C375&amp;" | "&amp;F375</f>
        <v>90MB1BJ0-C1BAY0 | 10102-03395000</v>
      </c>
      <c r="BE375" s="55" t="str">
        <f ca="1">C375&amp;" | "&amp;OFFSET($AF375,0,8-COUNTBLANK($AG375:$AN375))</f>
        <v>90MB1BJ0-C1BAY0 | 59MB1BJB-MB0A02S</v>
      </c>
      <c r="BF375" s="57">
        <f ca="1">IFERROR(VLOOKUP($BE375,$BD$5:$BF374,3,0)*$AE375,VLOOKUP($C375,Demanda!$A:$B,2,0)*$AE375)*IF(AT375="Phantom Alt",$BC375,TRUE)</f>
        <v>4000</v>
      </c>
      <c r="BG375" s="57">
        <f ca="1">BF375*(AP375/100)</f>
        <v>0</v>
      </c>
      <c r="BH375" s="57">
        <f>SUMIF(Invoice!A:A,F375,Invoice!B:B)</f>
        <v>0</v>
      </c>
      <c r="BI375" s="57">
        <f ca="1">SUMIF(AS:AS,AS375,BG:BG)</f>
        <v>4000</v>
      </c>
      <c r="BJ375" s="57">
        <f ca="1">MIN((BI375-SUMIF($AS$5:AS374,AS375,$BJ$5:BJ374)),MAX(0,BH375-SUMIF($F$5:F374,F375,$BJ$5:BJ374)))</f>
        <v>0</v>
      </c>
      <c r="BK375" s="57">
        <f ca="1">(-SUMIF(AS:AS,AS375,BG:BG)+SUMIF(AS:AS,AS375,BJ:BJ))*(AP375=100)*AR375</f>
        <v>0</v>
      </c>
      <c r="BL375" s="57">
        <f ca="1">MAX(0,SUMIF(Invoice!A:A,F375,Invoice!B:B)-SUMIF(F:F,F375,BJ:BJ))*(COUNTIF(F:F,F375)=COUNTIF($F$5:F375,F375))</f>
        <v>0</v>
      </c>
    </row>
    <row r="376" spans="1:64" hidden="1">
      <c r="A376" s="43">
        <v>376</v>
      </c>
      <c r="B376" s="35" t="s">
        <v>147</v>
      </c>
      <c r="C376" s="35" t="s">
        <v>146</v>
      </c>
      <c r="D376" s="35">
        <v>2</v>
      </c>
      <c r="E376" s="35">
        <v>1350</v>
      </c>
      <c r="F376" s="64" t="s">
        <v>936</v>
      </c>
      <c r="G376" s="73" t="s">
        <v>937</v>
      </c>
      <c r="H376" s="35" t="s">
        <v>933</v>
      </c>
      <c r="I376" s="35" t="s">
        <v>55</v>
      </c>
      <c r="J376" s="35">
        <v>0</v>
      </c>
      <c r="K376" s="35" t="s">
        <v>150</v>
      </c>
      <c r="L376" s="35" t="s">
        <v>53</v>
      </c>
      <c r="M376" s="35">
        <v>4</v>
      </c>
      <c r="N376" s="35"/>
      <c r="O376" s="35">
        <v>1</v>
      </c>
      <c r="P376" s="35">
        <v>2</v>
      </c>
      <c r="Q376" s="35">
        <v>2</v>
      </c>
      <c r="R376" s="35" t="s">
        <v>73</v>
      </c>
      <c r="S376" s="35" t="s">
        <v>73</v>
      </c>
      <c r="T376" s="36">
        <v>44901</v>
      </c>
      <c r="U376" s="36">
        <v>2958465</v>
      </c>
      <c r="V376" s="35" t="s">
        <v>282</v>
      </c>
      <c r="W376" s="35" t="s">
        <v>145</v>
      </c>
      <c r="X376" s="35"/>
      <c r="Y376" s="35" t="s">
        <v>143</v>
      </c>
      <c r="Z376" s="35">
        <v>7589154</v>
      </c>
      <c r="AA376" s="35">
        <v>638</v>
      </c>
      <c r="AB376" s="35">
        <v>319</v>
      </c>
      <c r="AC376" s="35" t="s">
        <v>144</v>
      </c>
      <c r="AE376" s="51">
        <f>M376/O376</f>
        <v>4</v>
      </c>
      <c r="AG376" s="6" t="str">
        <f>C376</f>
        <v>90MB1BJ0-C1BAY0</v>
      </c>
      <c r="AH376" s="6" t="str">
        <f>IF($D376&lt;=AH$4,"",IF(AND($D375=AH$4,$D376&gt;AH$4),$F375,AH375))</f>
        <v>59MB1BJB-MB0A02S</v>
      </c>
      <c r="AI376" s="6" t="str">
        <f>IF($D376&lt;=AI$4,"",IF(AND($D375=AI$4,$D376&gt;AI$4),$F375,AI375))</f>
        <v/>
      </c>
      <c r="AJ376" s="6" t="str">
        <f>IF($D376&lt;=AJ$4,"",IF(AND($D375=AJ$4,$D376&gt;AJ$4),$F375,AJ375))</f>
        <v/>
      </c>
      <c r="AK376" s="6" t="str">
        <f>IF($D376&lt;=AK$4,"",IF(AND($D375=AK$4,$D376&gt;AK$4),$F375,AK375))</f>
        <v/>
      </c>
      <c r="AL376" s="6" t="str">
        <f>IF($D376&lt;=AL$4,"",IF(AND($D375=AL$4,$D376&gt;AL$4),$F375,AL375))</f>
        <v/>
      </c>
      <c r="AM376" s="6" t="str">
        <f>IF($D376&lt;=AM$4,"",IF(AND($D375=AM$4,$D376&gt;AM$4),$F375,AM375))</f>
        <v/>
      </c>
      <c r="AN376" s="6" t="str">
        <f>IF($D376&lt;=AN$4,"",IF(AND($D375=AN$4,$D376&gt;AN$4),$F375,AN375))</f>
        <v/>
      </c>
      <c r="AO376" s="6" t="str">
        <f>CONCATENATE(AG376," | ",AH376," | ",AI376," | ",AJ376," | ",AK376," | ",AL376," | ",AM376," | ",AN376)</f>
        <v xml:space="preserve">90MB1BJ0-C1BAY0 | 59MB1BJB-MB0A02S |  |  |  |  |  | </v>
      </c>
      <c r="AP376" s="6">
        <f>IF(TRIM(H376)="",100,J376)</f>
        <v>0</v>
      </c>
      <c r="AQ376" s="4"/>
      <c r="AR376" s="6" t="b">
        <f>NOT(TRIM(W376)&lt;&gt;"F")</f>
        <v>1</v>
      </c>
      <c r="AS376" s="6" t="str">
        <f>$B376&amp;" | "&amp;$AO376&amp;" | "&amp;IF(TRIM(H376)="","uniq"&amp;ROW(),TRIM(H376))</f>
        <v>461E | 90MB1BJ0-C1BAY0 | 59MB1BJB-MB0A02S |  |  |  |  |  |  | D5</v>
      </c>
      <c r="AT376" s="63">
        <f>IF(NOT(AR376),IF(TRIM($H376)="","Assembly","Phantom Alt"),VLOOKUP(F376,ZPCS04!B:G,6,0))</f>
        <v>847</v>
      </c>
      <c r="AU376" s="7"/>
      <c r="AV376" s="38">
        <f ca="1">IF(TRIM($W376)="F",OFFSET($A$5,MATCH($AS376,$AS$5:$AS376,0)-1,0),$A376)</f>
        <v>375</v>
      </c>
      <c r="AW376" s="38">
        <f ca="1">IFERROR(OFFSET(ZPCS04!$A$1,MATCH(F376,ZPCS04!B:B,0)-1,0),100)</f>
        <v>2</v>
      </c>
      <c r="AX376" s="7"/>
      <c r="AY376" s="6" t="b">
        <f>SUMIF(AS:AS,AS376,AP:AP)=100</f>
        <v>1</v>
      </c>
      <c r="AZ376" s="6" t="b">
        <f>SUMIF(AS:AS,AS376,AE:AE)/COUNTIF(AS:AS,AS376)=AE376</f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>C376&amp;" | "&amp;F376</f>
        <v>90MB1BJ0-C1BAY0 | 10G21230R014020</v>
      </c>
      <c r="BE376" s="55" t="str">
        <f ca="1">C376&amp;" | "&amp;OFFSET($AF376,0,8-COUNTBLANK($AG376:$AN376))</f>
        <v>90MB1BJ0-C1BAY0 | 59MB1BJB-MB0A02S</v>
      </c>
      <c r="BF376" s="57">
        <f ca="1">IFERROR(VLOOKUP($BE376,$BD$5:$BF375,3,0)*$AE376,VLOOKUP($C376,Demanda!$A:$B,2,0)*$AE376)*IF(AT376="Phantom Alt",$BC376,TRUE)</f>
        <v>4000</v>
      </c>
      <c r="BG376" s="57">
        <f ca="1">BF376*(AP376/100)</f>
        <v>0</v>
      </c>
      <c r="BH376" s="57">
        <f>SUMIF(Invoice!A:A,F376,Invoice!B:B)</f>
        <v>0</v>
      </c>
      <c r="BI376" s="57">
        <f ca="1">SUMIF(AS:AS,AS376,BG:BG)</f>
        <v>4000</v>
      </c>
      <c r="BJ376" s="57">
        <f ca="1">MIN((BI376-SUMIF($AS$5:AS375,AS376,$BJ$5:BJ375)),MAX(0,BH376-SUMIF($F$5:F375,F376,$BJ$5:BJ375)))</f>
        <v>0</v>
      </c>
      <c r="BK376" s="57">
        <f ca="1">(-SUMIF(AS:AS,AS376,BG:BG)+SUMIF(AS:AS,AS376,BJ:BJ))*(AP376=100)*AR376</f>
        <v>0</v>
      </c>
      <c r="BL376" s="57">
        <f ca="1">MAX(0,SUMIF(Invoice!A:A,F376,Invoice!B:B)-SUMIF(F:F,F376,BJ:BJ))*(COUNTIF(F:F,F376)=COUNTIF($F$5:F376,F376))</f>
        <v>0</v>
      </c>
    </row>
    <row r="377" spans="1:64" hidden="1">
      <c r="A377" s="43">
        <v>377</v>
      </c>
      <c r="B377" s="35" t="s">
        <v>147</v>
      </c>
      <c r="C377" s="35" t="s">
        <v>146</v>
      </c>
      <c r="D377" s="35">
        <v>2</v>
      </c>
      <c r="E377" s="35">
        <v>1360</v>
      </c>
      <c r="F377" s="64" t="s">
        <v>938</v>
      </c>
      <c r="G377" s="73" t="s">
        <v>939</v>
      </c>
      <c r="H377" s="35" t="s">
        <v>940</v>
      </c>
      <c r="I377" s="35" t="s">
        <v>55</v>
      </c>
      <c r="J377" s="35">
        <v>0</v>
      </c>
      <c r="K377" s="35" t="s">
        <v>150</v>
      </c>
      <c r="L377" s="35" t="s">
        <v>53</v>
      </c>
      <c r="M377" s="35">
        <v>2</v>
      </c>
      <c r="N377" s="35"/>
      <c r="O377" s="35">
        <v>1</v>
      </c>
      <c r="P377" s="35">
        <v>2</v>
      </c>
      <c r="Q377" s="35">
        <v>3</v>
      </c>
      <c r="R377" s="35" t="s">
        <v>73</v>
      </c>
      <c r="S377" s="35" t="s">
        <v>73</v>
      </c>
      <c r="T377" s="36">
        <v>44901</v>
      </c>
      <c r="U377" s="36">
        <v>2958465</v>
      </c>
      <c r="V377" s="35" t="s">
        <v>282</v>
      </c>
      <c r="W377" s="35" t="s">
        <v>145</v>
      </c>
      <c r="X377" s="35"/>
      <c r="Y377" s="35" t="s">
        <v>143</v>
      </c>
      <c r="Z377" s="35">
        <v>7589154</v>
      </c>
      <c r="AA377" s="35">
        <v>646</v>
      </c>
      <c r="AB377" s="35">
        <v>323</v>
      </c>
      <c r="AC377" s="35"/>
      <c r="AE377" s="51">
        <f>M377/O377</f>
        <v>2</v>
      </c>
      <c r="AG377" s="6" t="str">
        <f>C377</f>
        <v>90MB1BJ0-C1BAY0</v>
      </c>
      <c r="AH377" s="6" t="str">
        <f>IF($D377&lt;=AH$4,"",IF(AND($D376=AH$4,$D377&gt;AH$4),$F376,AH376))</f>
        <v>59MB1BJB-MB0A02S</v>
      </c>
      <c r="AI377" s="6" t="str">
        <f>IF($D377&lt;=AI$4,"",IF(AND($D376=AI$4,$D377&gt;AI$4),$F376,AI376))</f>
        <v/>
      </c>
      <c r="AJ377" s="6" t="str">
        <f>IF($D377&lt;=AJ$4,"",IF(AND($D376=AJ$4,$D377&gt;AJ$4),$F376,AJ376))</f>
        <v/>
      </c>
      <c r="AK377" s="6" t="str">
        <f>IF($D377&lt;=AK$4,"",IF(AND($D376=AK$4,$D377&gt;AK$4),$F376,AK376))</f>
        <v/>
      </c>
      <c r="AL377" s="6" t="str">
        <f>IF($D377&lt;=AL$4,"",IF(AND($D376=AL$4,$D377&gt;AL$4),$F376,AL376))</f>
        <v/>
      </c>
      <c r="AM377" s="6" t="str">
        <f>IF($D377&lt;=AM$4,"",IF(AND($D376=AM$4,$D377&gt;AM$4),$F376,AM376))</f>
        <v/>
      </c>
      <c r="AN377" s="6" t="str">
        <f>IF($D377&lt;=AN$4,"",IF(AND($D376=AN$4,$D377&gt;AN$4),$F376,AN376))</f>
        <v/>
      </c>
      <c r="AO377" s="6" t="str">
        <f>CONCATENATE(AG377," | ",AH377," | ",AI377," | ",AJ377," | ",AK377," | ",AL377," | ",AM377," | ",AN377)</f>
        <v xml:space="preserve">90MB1BJ0-C1BAY0 | 59MB1BJB-MB0A02S |  |  |  |  |  | </v>
      </c>
      <c r="AP377" s="6">
        <f>IF(TRIM(H377)="",100,J377)</f>
        <v>0</v>
      </c>
      <c r="AQ377" s="4"/>
      <c r="AR377" s="6" t="b">
        <f>NOT(TRIM(W377)&lt;&gt;"F")</f>
        <v>1</v>
      </c>
      <c r="AS377" s="6" t="str">
        <f>$B377&amp;" | "&amp;$AO377&amp;" | "&amp;IF(TRIM(H377)="","uniq"&amp;ROW(),TRIM(H377))</f>
        <v>461E | 90MB1BJ0-C1BAY0 | 59MB1BJB-MB0A02S |  |  |  |  |  |  | D6</v>
      </c>
      <c r="AT377" s="63">
        <f>IF(NOT(AR377),IF(TRIM($H377)="","Assembly","Phantom Alt"),VLOOKUP(F377,ZPCS04!B:G,6,0))</f>
        <v>677</v>
      </c>
      <c r="AU377" s="7"/>
      <c r="AV377" s="38">
        <f ca="1">IF(TRIM($W377)="F",OFFSET($A$5,MATCH($AS377,$AS$5:$AS377,0)-1,0),$A377)</f>
        <v>377</v>
      </c>
      <c r="AW377" s="38">
        <f ca="1">IFERROR(OFFSET(ZPCS04!$A$1,MATCH(F377,ZPCS04!B:B,0)-1,0),100)</f>
        <v>1.9999999000000002</v>
      </c>
      <c r="AX377" s="7"/>
      <c r="AY377" s="6" t="b">
        <f>SUMIF(AS:AS,AS377,AP:AP)=100</f>
        <v>1</v>
      </c>
      <c r="AZ377" s="6" t="b">
        <f>SUMIF(AS:AS,AS377,AE:AE)/COUNTIF(AS:AS,AS377)=AE377</f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>C377&amp;" | "&amp;F377</f>
        <v>90MB1BJ0-C1BAY0 | 10G212316114010</v>
      </c>
      <c r="BE377" s="55" t="str">
        <f ca="1">C377&amp;" | "&amp;OFFSET($AF377,0,8-COUNTBLANK($AG377:$AN377))</f>
        <v>90MB1BJ0-C1BAY0 | 59MB1BJB-MB0A02S</v>
      </c>
      <c r="BF377" s="57">
        <f ca="1">IFERROR(VLOOKUP($BE377,$BD$5:$BF376,3,0)*$AE377,VLOOKUP($C377,Demanda!$A:$B,2,0)*$AE377)*IF(AT377="Phantom Alt",$BC377,TRUE)</f>
        <v>2000</v>
      </c>
      <c r="BG377" s="57">
        <f ca="1">BF377*(AP377/100)</f>
        <v>0</v>
      </c>
      <c r="BH377" s="57">
        <f>SUMIF(Invoice!A:A,F377,Invoice!B:B)</f>
        <v>10000</v>
      </c>
      <c r="BI377" s="57">
        <f ca="1">SUMIF(AS:AS,AS377,BG:BG)</f>
        <v>2000</v>
      </c>
      <c r="BJ377" s="57">
        <f ca="1">MIN((BI377-SUMIF($AS$5:AS376,AS377,$BJ$5:BJ376)),MAX(0,BH377-SUMIF($F$5:F376,F377,$BJ$5:BJ376)))</f>
        <v>2000</v>
      </c>
      <c r="BK377" s="57">
        <f ca="1">(-SUMIF(AS:AS,AS377,BG:BG)+SUMIF(AS:AS,AS377,BJ:BJ))*(AP377=100)*AR377</f>
        <v>0</v>
      </c>
      <c r="BL377" s="57">
        <f ca="1">MAX(0,SUMIF(Invoice!A:A,F377,Invoice!B:B)-SUMIF(F:F,F377,BJ:BJ))*(COUNTIF(F:F,F377)=COUNTIF($F$5:F377,F377))</f>
        <v>8000</v>
      </c>
    </row>
    <row r="378" spans="1:64" hidden="1">
      <c r="A378" s="43">
        <v>378</v>
      </c>
      <c r="B378" s="35" t="s">
        <v>147</v>
      </c>
      <c r="C378" s="35" t="s">
        <v>146</v>
      </c>
      <c r="D378" s="35">
        <v>2</v>
      </c>
      <c r="E378" s="35">
        <v>1360</v>
      </c>
      <c r="F378" s="64" t="s">
        <v>941</v>
      </c>
      <c r="G378" s="73" t="s">
        <v>942</v>
      </c>
      <c r="H378" s="35" t="s">
        <v>940</v>
      </c>
      <c r="I378" s="35" t="s">
        <v>55</v>
      </c>
      <c r="J378" s="35">
        <v>0</v>
      </c>
      <c r="K378" s="35" t="s">
        <v>150</v>
      </c>
      <c r="L378" s="35" t="s">
        <v>53</v>
      </c>
      <c r="M378" s="35">
        <v>2</v>
      </c>
      <c r="N378" s="35"/>
      <c r="O378" s="35">
        <v>1</v>
      </c>
      <c r="P378" s="35">
        <v>2</v>
      </c>
      <c r="Q378" s="35">
        <v>2</v>
      </c>
      <c r="R378" s="35" t="s">
        <v>73</v>
      </c>
      <c r="S378" s="35" t="s">
        <v>73</v>
      </c>
      <c r="T378" s="36">
        <v>44901</v>
      </c>
      <c r="U378" s="36">
        <v>2958465</v>
      </c>
      <c r="V378" s="35" t="s">
        <v>282</v>
      </c>
      <c r="W378" s="35" t="s">
        <v>145</v>
      </c>
      <c r="X378" s="35"/>
      <c r="Y378" s="35" t="s">
        <v>143</v>
      </c>
      <c r="Z378" s="35">
        <v>7589154</v>
      </c>
      <c r="AA378" s="35">
        <v>644</v>
      </c>
      <c r="AB378" s="35">
        <v>322</v>
      </c>
      <c r="AC378" s="35"/>
      <c r="AE378" s="51">
        <f>M378/O378</f>
        <v>2</v>
      </c>
      <c r="AG378" s="6" t="str">
        <f>C378</f>
        <v>90MB1BJ0-C1BAY0</v>
      </c>
      <c r="AH378" s="6" t="str">
        <f>IF($D378&lt;=AH$4,"",IF(AND($D377=AH$4,$D378&gt;AH$4),$F377,AH377))</f>
        <v>59MB1BJB-MB0A02S</v>
      </c>
      <c r="AI378" s="6" t="str">
        <f>IF($D378&lt;=AI$4,"",IF(AND($D377=AI$4,$D378&gt;AI$4),$F377,AI377))</f>
        <v/>
      </c>
      <c r="AJ378" s="6" t="str">
        <f>IF($D378&lt;=AJ$4,"",IF(AND($D377=AJ$4,$D378&gt;AJ$4),$F377,AJ377))</f>
        <v/>
      </c>
      <c r="AK378" s="6" t="str">
        <f>IF($D378&lt;=AK$4,"",IF(AND($D377=AK$4,$D378&gt;AK$4),$F377,AK377))</f>
        <v/>
      </c>
      <c r="AL378" s="6" t="str">
        <f>IF($D378&lt;=AL$4,"",IF(AND($D377=AL$4,$D378&gt;AL$4),$F377,AL377))</f>
        <v/>
      </c>
      <c r="AM378" s="6" t="str">
        <f>IF($D378&lt;=AM$4,"",IF(AND($D377=AM$4,$D378&gt;AM$4),$F377,AM377))</f>
        <v/>
      </c>
      <c r="AN378" s="6" t="str">
        <f>IF($D378&lt;=AN$4,"",IF(AND($D377=AN$4,$D378&gt;AN$4),$F377,AN377))</f>
        <v/>
      </c>
      <c r="AO378" s="6" t="str">
        <f>CONCATENATE(AG378," | ",AH378," | ",AI378," | ",AJ378," | ",AK378," | ",AL378," | ",AM378," | ",AN378)</f>
        <v xml:space="preserve">90MB1BJ0-C1BAY0 | 59MB1BJB-MB0A02S |  |  |  |  |  | </v>
      </c>
      <c r="AP378" s="6">
        <f>IF(TRIM(H378)="",100,J378)</f>
        <v>0</v>
      </c>
      <c r="AQ378" s="4"/>
      <c r="AR378" s="6" t="b">
        <f>NOT(TRIM(W378)&lt;&gt;"F")</f>
        <v>1</v>
      </c>
      <c r="AS378" s="6" t="str">
        <f>$B378&amp;" | "&amp;$AO378&amp;" | "&amp;IF(TRIM(H378)="","uniq"&amp;ROW(),TRIM(H378))</f>
        <v>461E | 90MB1BJ0-C1BAY0 | 59MB1BJB-MB0A02S |  |  |  |  |  |  | D6</v>
      </c>
      <c r="AT378" s="63">
        <f>IF(NOT(AR378),IF(TRIM($H378)="","Assembly","Phantom Alt"),VLOOKUP(F378,ZPCS04!B:G,6,0))</f>
        <v>677</v>
      </c>
      <c r="AU378" s="7"/>
      <c r="AV378" s="38">
        <f ca="1">IF(TRIM($W378)="F",OFFSET($A$5,MATCH($AS378,$AS$5:$AS378,0)-1,0),$A378)</f>
        <v>377</v>
      </c>
      <c r="AW378" s="38">
        <f ca="1">IFERROR(OFFSET(ZPCS04!$A$1,MATCH(F378,ZPCS04!B:B,0)-1,0),100)</f>
        <v>2</v>
      </c>
      <c r="AX378" s="7"/>
      <c r="AY378" s="6" t="b">
        <f>SUMIF(AS:AS,AS378,AP:AP)=100</f>
        <v>1</v>
      </c>
      <c r="AZ378" s="6" t="b">
        <f>SUMIF(AS:AS,AS378,AE:AE)/COUNTIF(AS:AS,AS378)=AE378</f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>C378&amp;" | "&amp;F378</f>
        <v>90MB1BJ0-C1BAY0 | 10G212316114020</v>
      </c>
      <c r="BE378" s="55" t="str">
        <f ca="1">C378&amp;" | "&amp;OFFSET($AF378,0,8-COUNTBLANK($AG378:$AN378))</f>
        <v>90MB1BJ0-C1BAY0 | 59MB1BJB-MB0A02S</v>
      </c>
      <c r="BF378" s="57">
        <f ca="1">IFERROR(VLOOKUP($BE378,$BD$5:$BF377,3,0)*$AE378,VLOOKUP($C378,Demanda!$A:$B,2,0)*$AE378)*IF(AT378="Phantom Alt",$BC378,TRUE)</f>
        <v>2000</v>
      </c>
      <c r="BG378" s="57">
        <f ca="1">BF378*(AP378/100)</f>
        <v>0</v>
      </c>
      <c r="BH378" s="57">
        <f>SUMIF(Invoice!A:A,F378,Invoice!B:B)</f>
        <v>0</v>
      </c>
      <c r="BI378" s="57">
        <f ca="1">SUMIF(AS:AS,AS378,BG:BG)</f>
        <v>2000</v>
      </c>
      <c r="BJ378" s="57">
        <f ca="1">MIN((BI378-SUMIF($AS$5:AS377,AS378,$BJ$5:BJ377)),MAX(0,BH378-SUMIF($F$5:F377,F378,$BJ$5:BJ377)))</f>
        <v>0</v>
      </c>
      <c r="BK378" s="57">
        <f ca="1">(-SUMIF(AS:AS,AS378,BG:BG)+SUMIF(AS:AS,AS378,BJ:BJ))*(AP378=100)*AR378</f>
        <v>0</v>
      </c>
      <c r="BL378" s="57">
        <f ca="1">MAX(0,SUMIF(Invoice!A:A,F378,Invoice!B:B)-SUMIF(F:F,F378,BJ:BJ))*(COUNTIF(F:F,F378)=COUNTIF($F$5:F378,F378))</f>
        <v>0</v>
      </c>
    </row>
    <row r="379" spans="1:64" hidden="1">
      <c r="A379" s="43">
        <v>379</v>
      </c>
      <c r="B379" s="35" t="s">
        <v>147</v>
      </c>
      <c r="C379" s="35" t="s">
        <v>146</v>
      </c>
      <c r="D379" s="35">
        <v>2</v>
      </c>
      <c r="E379" s="35">
        <v>1360</v>
      </c>
      <c r="F379" s="64" t="s">
        <v>943</v>
      </c>
      <c r="G379" s="73" t="s">
        <v>944</v>
      </c>
      <c r="H379" s="35" t="s">
        <v>940</v>
      </c>
      <c r="I379" s="35" t="s">
        <v>54</v>
      </c>
      <c r="J379" s="35">
        <v>100</v>
      </c>
      <c r="K379" s="35" t="s">
        <v>150</v>
      </c>
      <c r="L379" s="35" t="s">
        <v>53</v>
      </c>
      <c r="M379" s="35">
        <v>2</v>
      </c>
      <c r="N379" s="35">
        <v>2</v>
      </c>
      <c r="O379" s="35">
        <v>1</v>
      </c>
      <c r="P379" s="35">
        <v>2</v>
      </c>
      <c r="Q379" s="35">
        <v>1</v>
      </c>
      <c r="R379" s="35" t="s">
        <v>73</v>
      </c>
      <c r="S379" s="35" t="s">
        <v>73</v>
      </c>
      <c r="T379" s="36">
        <v>44901</v>
      </c>
      <c r="U379" s="36">
        <v>2958465</v>
      </c>
      <c r="V379" s="35" t="s">
        <v>282</v>
      </c>
      <c r="W379" s="35" t="s">
        <v>145</v>
      </c>
      <c r="X379" s="35"/>
      <c r="Y379" s="35" t="s">
        <v>143</v>
      </c>
      <c r="Z379" s="35">
        <v>7589154</v>
      </c>
      <c r="AA379" s="35">
        <v>642</v>
      </c>
      <c r="AB379" s="35">
        <v>321</v>
      </c>
      <c r="AC379" s="35"/>
      <c r="AE379" s="51">
        <f>M379/O379</f>
        <v>2</v>
      </c>
      <c r="AG379" s="6" t="str">
        <f>C379</f>
        <v>90MB1BJ0-C1BAY0</v>
      </c>
      <c r="AH379" s="6" t="str">
        <f>IF($D379&lt;=AH$4,"",IF(AND($D378=AH$4,$D379&gt;AH$4),$F378,AH378))</f>
        <v>59MB1BJB-MB0A02S</v>
      </c>
      <c r="AI379" s="6" t="str">
        <f>IF($D379&lt;=AI$4,"",IF(AND($D378=AI$4,$D379&gt;AI$4),$F378,AI378))</f>
        <v/>
      </c>
      <c r="AJ379" s="6" t="str">
        <f>IF($D379&lt;=AJ$4,"",IF(AND($D378=AJ$4,$D379&gt;AJ$4),$F378,AJ378))</f>
        <v/>
      </c>
      <c r="AK379" s="6" t="str">
        <f>IF($D379&lt;=AK$4,"",IF(AND($D378=AK$4,$D379&gt;AK$4),$F378,AK378))</f>
        <v/>
      </c>
      <c r="AL379" s="6" t="str">
        <f>IF($D379&lt;=AL$4,"",IF(AND($D378=AL$4,$D379&gt;AL$4),$F378,AL378))</f>
        <v/>
      </c>
      <c r="AM379" s="6" t="str">
        <f>IF($D379&lt;=AM$4,"",IF(AND($D378=AM$4,$D379&gt;AM$4),$F378,AM378))</f>
        <v/>
      </c>
      <c r="AN379" s="6" t="str">
        <f>IF($D379&lt;=AN$4,"",IF(AND($D378=AN$4,$D379&gt;AN$4),$F378,AN378))</f>
        <v/>
      </c>
      <c r="AO379" s="6" t="str">
        <f>CONCATENATE(AG379," | ",AH379," | ",AI379," | ",AJ379," | ",AK379," | ",AL379," | ",AM379," | ",AN379)</f>
        <v xml:space="preserve">90MB1BJ0-C1BAY0 | 59MB1BJB-MB0A02S |  |  |  |  |  | </v>
      </c>
      <c r="AP379" s="6">
        <f>IF(TRIM(H379)="",100,J379)</f>
        <v>100</v>
      </c>
      <c r="AQ379" s="4"/>
      <c r="AR379" s="6" t="b">
        <f>NOT(TRIM(W379)&lt;&gt;"F")</f>
        <v>1</v>
      </c>
      <c r="AS379" s="6" t="str">
        <f>$B379&amp;" | "&amp;$AO379&amp;" | "&amp;IF(TRIM(H379)="","uniq"&amp;ROW(),TRIM(H379))</f>
        <v>461E | 90MB1BJ0-C1BAY0 | 59MB1BJB-MB0A02S |  |  |  |  |  |  | D6</v>
      </c>
      <c r="AT379" s="63">
        <f>IF(NOT(AR379),IF(TRIM($H379)="","Assembly","Phantom Alt"),VLOOKUP(F379,ZPCS04!B:G,6,0))</f>
        <v>677</v>
      </c>
      <c r="AU379" s="7"/>
      <c r="AV379" s="38">
        <f ca="1">IF(TRIM($W379)="F",OFFSET($A$5,MATCH($AS379,$AS$5:$AS379,0)-1,0),$A379)</f>
        <v>377</v>
      </c>
      <c r="AW379" s="38">
        <f ca="1">IFERROR(OFFSET(ZPCS04!$A$1,MATCH(F379,ZPCS04!B:B,0)-1,0),100)</f>
        <v>2</v>
      </c>
      <c r="AX379" s="7"/>
      <c r="AY379" s="6" t="b">
        <f>SUMIF(AS:AS,AS379,AP:AP)=100</f>
        <v>1</v>
      </c>
      <c r="AZ379" s="6" t="b">
        <f>SUMIF(AS:AS,AS379,AE:AE)/COUNTIF(AS:AS,AS379)=AE379</f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>C379&amp;" | "&amp;F379</f>
        <v>90MB1BJ0-C1BAY0 | 10G212316114050</v>
      </c>
      <c r="BE379" s="55" t="str">
        <f ca="1">C379&amp;" | "&amp;OFFSET($AF379,0,8-COUNTBLANK($AG379:$AN379))</f>
        <v>90MB1BJ0-C1BAY0 | 59MB1BJB-MB0A02S</v>
      </c>
      <c r="BF379" s="57">
        <f ca="1">IFERROR(VLOOKUP($BE379,$BD$5:$BF378,3,0)*$AE379,VLOOKUP($C379,Demanda!$A:$B,2,0)*$AE379)*IF(AT379="Phantom Alt",$BC379,TRUE)</f>
        <v>2000</v>
      </c>
      <c r="BG379" s="57">
        <f ca="1">BF379*(AP379/100)</f>
        <v>2000</v>
      </c>
      <c r="BH379" s="57">
        <f>SUMIF(Invoice!A:A,F379,Invoice!B:B)</f>
        <v>0</v>
      </c>
      <c r="BI379" s="57">
        <f ca="1">SUMIF(AS:AS,AS379,BG:BG)</f>
        <v>2000</v>
      </c>
      <c r="BJ379" s="57">
        <f ca="1">MIN((BI379-SUMIF($AS$5:AS378,AS379,$BJ$5:BJ378)),MAX(0,BH379-SUMIF($F$5:F378,F379,$BJ$5:BJ378)))</f>
        <v>0</v>
      </c>
      <c r="BK379" s="57">
        <f ca="1">(-SUMIF(AS:AS,AS379,BG:BG)+SUMIF(AS:AS,AS379,BJ:BJ))*(AP379=100)*AR379</f>
        <v>0</v>
      </c>
      <c r="BL379" s="57">
        <f ca="1">MAX(0,SUMIF(Invoice!A:A,F379,Invoice!B:B)-SUMIF(F:F,F379,BJ:BJ))*(COUNTIF(F:F,F379)=COUNTIF($F$5:F379,F379))</f>
        <v>0</v>
      </c>
    </row>
    <row r="380" spans="1:64" hidden="1">
      <c r="A380" s="43">
        <v>383</v>
      </c>
      <c r="B380" s="35" t="s">
        <v>147</v>
      </c>
      <c r="C380" s="35" t="s">
        <v>146</v>
      </c>
      <c r="D380" s="35">
        <v>2</v>
      </c>
      <c r="E380" s="35">
        <v>1370</v>
      </c>
      <c r="F380" s="64" t="s">
        <v>952</v>
      </c>
      <c r="G380" s="73" t="s">
        <v>953</v>
      </c>
      <c r="H380" s="35" t="s">
        <v>947</v>
      </c>
      <c r="I380" s="35" t="s">
        <v>55</v>
      </c>
      <c r="J380" s="35">
        <v>0</v>
      </c>
      <c r="K380" s="35" t="s">
        <v>150</v>
      </c>
      <c r="L380" s="35" t="s">
        <v>53</v>
      </c>
      <c r="M380" s="35">
        <v>1</v>
      </c>
      <c r="N380" s="35"/>
      <c r="O380" s="35">
        <v>1</v>
      </c>
      <c r="P380" s="35">
        <v>2</v>
      </c>
      <c r="Q380" s="35">
        <v>4</v>
      </c>
      <c r="R380" s="35" t="s">
        <v>73</v>
      </c>
      <c r="S380" s="35" t="s">
        <v>73</v>
      </c>
      <c r="T380" s="36">
        <v>44901</v>
      </c>
      <c r="U380" s="36">
        <v>2958465</v>
      </c>
      <c r="V380" s="35" t="s">
        <v>282</v>
      </c>
      <c r="W380" s="35" t="s">
        <v>145</v>
      </c>
      <c r="X380" s="35"/>
      <c r="Y380" s="35" t="s">
        <v>143</v>
      </c>
      <c r="Z380" s="35">
        <v>7589154</v>
      </c>
      <c r="AA380" s="35">
        <v>654</v>
      </c>
      <c r="AB380" s="35">
        <v>327</v>
      </c>
      <c r="AC380" s="35"/>
      <c r="AE380" s="51">
        <f>M380/O380</f>
        <v>1</v>
      </c>
      <c r="AG380" s="6" t="str">
        <f>C380</f>
        <v>90MB1BJ0-C1BAY0</v>
      </c>
      <c r="AH380" s="6" t="str">
        <f>IF($D380&lt;=AH$4,"",IF(AND($D379=AH$4,$D380&gt;AH$4),$F379,AH379))</f>
        <v>59MB1BJB-MB0A02S</v>
      </c>
      <c r="AI380" s="6" t="str">
        <f>IF($D380&lt;=AI$4,"",IF(AND($D379=AI$4,$D380&gt;AI$4),$F379,AI379))</f>
        <v/>
      </c>
      <c r="AJ380" s="6" t="str">
        <f>IF($D380&lt;=AJ$4,"",IF(AND($D379=AJ$4,$D380&gt;AJ$4),$F379,AJ379))</f>
        <v/>
      </c>
      <c r="AK380" s="6" t="str">
        <f>IF($D380&lt;=AK$4,"",IF(AND($D379=AK$4,$D380&gt;AK$4),$F379,AK379))</f>
        <v/>
      </c>
      <c r="AL380" s="6" t="str">
        <f>IF($D380&lt;=AL$4,"",IF(AND($D379=AL$4,$D380&gt;AL$4),$F379,AL379))</f>
        <v/>
      </c>
      <c r="AM380" s="6" t="str">
        <f>IF($D380&lt;=AM$4,"",IF(AND($D379=AM$4,$D380&gt;AM$4),$F379,AM379))</f>
        <v/>
      </c>
      <c r="AN380" s="6" t="str">
        <f>IF($D380&lt;=AN$4,"",IF(AND($D379=AN$4,$D380&gt;AN$4),$F379,AN379))</f>
        <v/>
      </c>
      <c r="AO380" s="6" t="str">
        <f>CONCATENATE(AG380," | ",AH380," | ",AI380," | ",AJ380," | ",AK380," | ",AL380," | ",AM380," | ",AN380)</f>
        <v xml:space="preserve">90MB1BJ0-C1BAY0 | 59MB1BJB-MB0A02S |  |  |  |  |  | </v>
      </c>
      <c r="AP380" s="6">
        <f>IF(TRIM(H380)="",100,J380)</f>
        <v>0</v>
      </c>
      <c r="AQ380" s="4"/>
      <c r="AR380" s="6" t="b">
        <f>NOT(TRIM(W380)&lt;&gt;"F")</f>
        <v>1</v>
      </c>
      <c r="AS380" s="6" t="str">
        <f>$B380&amp;" | "&amp;$AO380&amp;" | "&amp;IF(TRIM(H380)="","uniq"&amp;ROW(),TRIM(H380))</f>
        <v>461E | 90MB1BJ0-C1BAY0 | 59MB1BJB-MB0A02S |  |  |  |  |  |  | D7</v>
      </c>
      <c r="AT380" s="63">
        <f>IF(NOT(AR380),IF(TRIM($H380)="","Assembly","Phantom Alt"),VLOOKUP(F380,ZPCS04!B:G,6,0))</f>
        <v>965</v>
      </c>
      <c r="AU380" s="7"/>
      <c r="AV380" s="38">
        <f ca="1">IF(TRIM($W380)="F",OFFSET($A$5,MATCH($AS380,$AS$5:$AS380,0)-1,0),$A380)</f>
        <v>383</v>
      </c>
      <c r="AW380" s="38">
        <f ca="1">IFERROR(OFFSET(ZPCS04!$A$1,MATCH(F380,ZPCS04!B:B,0)-1,0),100)</f>
        <v>1.9999999000000002</v>
      </c>
      <c r="AX380" s="7"/>
      <c r="AY380" s="6" t="b">
        <f>SUMIF(AS:AS,AS380,AP:AP)=100</f>
        <v>1</v>
      </c>
      <c r="AZ380" s="6" t="b">
        <f>SUMIF(AS:AS,AS380,AE:AE)/COUNTIF(AS:AS,AS380)=AE380</f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>C380&amp;" | "&amp;F380</f>
        <v>90MB1BJ0-C1BAY0 | 10G212316214050</v>
      </c>
      <c r="BE380" s="55" t="str">
        <f ca="1">C380&amp;" | "&amp;OFFSET($AF380,0,8-COUNTBLANK($AG380:$AN380))</f>
        <v>90MB1BJ0-C1BAY0 | 59MB1BJB-MB0A02S</v>
      </c>
      <c r="BF380" s="57">
        <f ca="1">IFERROR(VLOOKUP($BE380,$BD$5:$BF379,3,0)*$AE380,VLOOKUP($C380,Demanda!$A:$B,2,0)*$AE380)*IF(AT380="Phantom Alt",$BC380,TRUE)</f>
        <v>1000</v>
      </c>
      <c r="BG380" s="57">
        <f ca="1">BF380*(AP380/100)</f>
        <v>0</v>
      </c>
      <c r="BH380" s="57">
        <f>SUMIF(Invoice!A:A,F380,Invoice!B:B)</f>
        <v>10000</v>
      </c>
      <c r="BI380" s="57">
        <f ca="1">SUMIF(AS:AS,AS380,BG:BG)</f>
        <v>1000</v>
      </c>
      <c r="BJ380" s="57">
        <f ca="1">MIN((BI380-SUMIF($AS$5:AS379,AS380,$BJ$5:BJ379)),MAX(0,BH380-SUMIF($F$5:F379,F380,$BJ$5:BJ379)))</f>
        <v>1000</v>
      </c>
      <c r="BK380" s="57">
        <f ca="1">(-SUMIF(AS:AS,AS380,BG:BG)+SUMIF(AS:AS,AS380,BJ:BJ))*(AP380=100)*AR380</f>
        <v>0</v>
      </c>
      <c r="BL380" s="57">
        <f ca="1">MAX(0,SUMIF(Invoice!A:A,F380,Invoice!B:B)-SUMIF(F:F,F380,BJ:BJ))*(COUNTIF(F:F,F380)=COUNTIF($F$5:F380,F380))</f>
        <v>9000</v>
      </c>
    </row>
    <row r="381" spans="1:64" hidden="1">
      <c r="A381" s="43">
        <v>380</v>
      </c>
      <c r="B381" s="35" t="s">
        <v>147</v>
      </c>
      <c r="C381" s="35" t="s">
        <v>146</v>
      </c>
      <c r="D381" s="35">
        <v>2</v>
      </c>
      <c r="E381" s="35">
        <v>1370</v>
      </c>
      <c r="F381" s="64" t="s">
        <v>945</v>
      </c>
      <c r="G381" s="73" t="s">
        <v>946</v>
      </c>
      <c r="H381" s="35" t="s">
        <v>947</v>
      </c>
      <c r="I381" s="35" t="s">
        <v>54</v>
      </c>
      <c r="J381" s="35">
        <v>100</v>
      </c>
      <c r="K381" s="35" t="s">
        <v>489</v>
      </c>
      <c r="L381" s="35" t="s">
        <v>53</v>
      </c>
      <c r="M381" s="35">
        <v>1</v>
      </c>
      <c r="N381" s="35">
        <v>1</v>
      </c>
      <c r="O381" s="35">
        <v>1</v>
      </c>
      <c r="P381" s="35">
        <v>2</v>
      </c>
      <c r="Q381" s="35">
        <v>1</v>
      </c>
      <c r="R381" s="35" t="s">
        <v>122</v>
      </c>
      <c r="S381" s="35" t="s">
        <v>122</v>
      </c>
      <c r="T381" s="36">
        <v>44901</v>
      </c>
      <c r="U381" s="36">
        <v>2958465</v>
      </c>
      <c r="V381" s="35" t="s">
        <v>282</v>
      </c>
      <c r="W381" s="35" t="s">
        <v>145</v>
      </c>
      <c r="X381" s="35"/>
      <c r="Y381" s="35" t="s">
        <v>143</v>
      </c>
      <c r="Z381" s="35">
        <v>7589154</v>
      </c>
      <c r="AA381" s="35">
        <v>648</v>
      </c>
      <c r="AB381" s="35">
        <v>324</v>
      </c>
      <c r="AC381" s="35" t="s">
        <v>144</v>
      </c>
      <c r="AE381" s="51">
        <f>M381/O381</f>
        <v>1</v>
      </c>
      <c r="AG381" s="6" t="str">
        <f>C381</f>
        <v>90MB1BJ0-C1BAY0</v>
      </c>
      <c r="AH381" s="6" t="str">
        <f>IF($D381&lt;=AH$4,"",IF(AND($D380=AH$4,$D381&gt;AH$4),$F380,AH380))</f>
        <v>59MB1BJB-MB0A02S</v>
      </c>
      <c r="AI381" s="6" t="str">
        <f>IF($D381&lt;=AI$4,"",IF(AND($D380=AI$4,$D381&gt;AI$4),$F380,AI380))</f>
        <v/>
      </c>
      <c r="AJ381" s="6" t="str">
        <f>IF($D381&lt;=AJ$4,"",IF(AND($D380=AJ$4,$D381&gt;AJ$4),$F380,AJ380))</f>
        <v/>
      </c>
      <c r="AK381" s="6" t="str">
        <f>IF($D381&lt;=AK$4,"",IF(AND($D380=AK$4,$D381&gt;AK$4),$F380,AK380))</f>
        <v/>
      </c>
      <c r="AL381" s="6" t="str">
        <f>IF($D381&lt;=AL$4,"",IF(AND($D380=AL$4,$D381&gt;AL$4),$F380,AL380))</f>
        <v/>
      </c>
      <c r="AM381" s="6" t="str">
        <f>IF($D381&lt;=AM$4,"",IF(AND($D380=AM$4,$D381&gt;AM$4),$F380,AM380))</f>
        <v/>
      </c>
      <c r="AN381" s="6" t="str">
        <f>IF($D381&lt;=AN$4,"",IF(AND($D380=AN$4,$D381&gt;AN$4),$F380,AN380))</f>
        <v/>
      </c>
      <c r="AO381" s="6" t="str">
        <f>CONCATENATE(AG381," | ",AH381," | ",AI381," | ",AJ381," | ",AK381," | ",AL381," | ",AM381," | ",AN381)</f>
        <v xml:space="preserve">90MB1BJ0-C1BAY0 | 59MB1BJB-MB0A02S |  |  |  |  |  | </v>
      </c>
      <c r="AP381" s="6">
        <f>IF(TRIM(H381)="",100,J381)</f>
        <v>100</v>
      </c>
      <c r="AQ381" s="4"/>
      <c r="AR381" s="6" t="b">
        <f>NOT(TRIM(W381)&lt;&gt;"F")</f>
        <v>1</v>
      </c>
      <c r="AS381" s="6" t="str">
        <f>$B381&amp;" | "&amp;$AO381&amp;" | "&amp;IF(TRIM(H381)="","uniq"&amp;ROW(),TRIM(H381))</f>
        <v>461E | 90MB1BJ0-C1BAY0 | 59MB1BJB-MB0A02S |  |  |  |  |  |  | D7</v>
      </c>
      <c r="AT381" s="63">
        <f>IF(NOT(AR381),IF(TRIM($H381)="","Assembly","Phantom Alt"),VLOOKUP(F381,ZPCS04!B:G,6,0))</f>
        <v>965</v>
      </c>
      <c r="AU381" s="7"/>
      <c r="AV381" s="38">
        <f ca="1">IF(TRIM($W381)="F",OFFSET($A$5,MATCH($AS381,$AS$5:$AS381,0)-1,0),$A381)</f>
        <v>383</v>
      </c>
      <c r="AW381" s="38">
        <f ca="1">IFERROR(OFFSET(ZPCS04!$A$1,MATCH(F381,ZPCS04!B:B,0)-1,0),100)</f>
        <v>2</v>
      </c>
      <c r="AX381" s="7"/>
      <c r="AY381" s="6" t="b">
        <f>SUMIF(AS:AS,AS381,AP:AP)=100</f>
        <v>1</v>
      </c>
      <c r="AZ381" s="6" t="b">
        <f>SUMIF(AS:AS,AS381,AE:AE)/COUNTIF(AS:AS,AS381)=AE381</f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>C381&amp;" | "&amp;F381</f>
        <v>90MB1BJ0-C1BAY0 | 10G212316214010</v>
      </c>
      <c r="BE381" s="55" t="str">
        <f ca="1">C381&amp;" | "&amp;OFFSET($AF381,0,8-COUNTBLANK($AG381:$AN381))</f>
        <v>90MB1BJ0-C1BAY0 | 59MB1BJB-MB0A02S</v>
      </c>
      <c r="BF381" s="57">
        <f ca="1">IFERROR(VLOOKUP($BE381,$BD$5:$BF380,3,0)*$AE381,VLOOKUP($C381,Demanda!$A:$B,2,0)*$AE381)*IF(AT381="Phantom Alt",$BC381,TRUE)</f>
        <v>1000</v>
      </c>
      <c r="BG381" s="57">
        <f ca="1">BF381*(AP381/100)</f>
        <v>1000</v>
      </c>
      <c r="BH381" s="57">
        <f>SUMIF(Invoice!A:A,F381,Invoice!B:B)</f>
        <v>0</v>
      </c>
      <c r="BI381" s="57">
        <f ca="1">SUMIF(AS:AS,AS381,BG:BG)</f>
        <v>1000</v>
      </c>
      <c r="BJ381" s="57">
        <f ca="1">MIN((BI381-SUMIF($AS$5:AS380,AS381,$BJ$5:BJ380)),MAX(0,BH381-SUMIF($F$5:F380,F381,$BJ$5:BJ380)))</f>
        <v>0</v>
      </c>
      <c r="BK381" s="57">
        <f ca="1">(-SUMIF(AS:AS,AS381,BG:BG)+SUMIF(AS:AS,AS381,BJ:BJ))*(AP381=100)*AR381</f>
        <v>0</v>
      </c>
      <c r="BL381" s="57">
        <f ca="1">MAX(0,SUMIF(Invoice!A:A,F381,Invoice!B:B)-SUMIF(F:F,F381,BJ:BJ))*(COUNTIF(F:F,F381)=COUNTIF($F$5:F381,F381))</f>
        <v>0</v>
      </c>
    </row>
    <row r="382" spans="1:64" hidden="1">
      <c r="A382" s="43">
        <v>381</v>
      </c>
      <c r="B382" s="35" t="s">
        <v>147</v>
      </c>
      <c r="C382" s="35" t="s">
        <v>146</v>
      </c>
      <c r="D382" s="35">
        <v>2</v>
      </c>
      <c r="E382" s="35">
        <v>1370</v>
      </c>
      <c r="F382" s="64" t="s">
        <v>948</v>
      </c>
      <c r="G382" s="73" t="s">
        <v>949</v>
      </c>
      <c r="H382" s="35" t="s">
        <v>947</v>
      </c>
      <c r="I382" s="35" t="s">
        <v>55</v>
      </c>
      <c r="J382" s="35">
        <v>0</v>
      </c>
      <c r="K382" s="35" t="s">
        <v>489</v>
      </c>
      <c r="L382" s="35" t="s">
        <v>53</v>
      </c>
      <c r="M382" s="35">
        <v>1</v>
      </c>
      <c r="N382" s="35"/>
      <c r="O382" s="35">
        <v>1</v>
      </c>
      <c r="P382" s="35">
        <v>2</v>
      </c>
      <c r="Q382" s="35">
        <v>3</v>
      </c>
      <c r="R382" s="35" t="s">
        <v>122</v>
      </c>
      <c r="S382" s="35" t="s">
        <v>122</v>
      </c>
      <c r="T382" s="36">
        <v>44901</v>
      </c>
      <c r="U382" s="36">
        <v>2958465</v>
      </c>
      <c r="V382" s="35" t="s">
        <v>282</v>
      </c>
      <c r="W382" s="35" t="s">
        <v>145</v>
      </c>
      <c r="X382" s="35"/>
      <c r="Y382" s="35" t="s">
        <v>143</v>
      </c>
      <c r="Z382" s="35">
        <v>7589154</v>
      </c>
      <c r="AA382" s="35">
        <v>652</v>
      </c>
      <c r="AB382" s="35">
        <v>326</v>
      </c>
      <c r="AC382" s="35"/>
      <c r="AE382" s="51">
        <f>M382/O382</f>
        <v>1</v>
      </c>
      <c r="AG382" s="6" t="str">
        <f>C382</f>
        <v>90MB1BJ0-C1BAY0</v>
      </c>
      <c r="AH382" s="6" t="str">
        <f>IF($D382&lt;=AH$4,"",IF(AND($D381=AH$4,$D382&gt;AH$4),$F381,AH381))</f>
        <v>59MB1BJB-MB0A02S</v>
      </c>
      <c r="AI382" s="6" t="str">
        <f>IF($D382&lt;=AI$4,"",IF(AND($D381=AI$4,$D382&gt;AI$4),$F381,AI381))</f>
        <v/>
      </c>
      <c r="AJ382" s="6" t="str">
        <f>IF($D382&lt;=AJ$4,"",IF(AND($D381=AJ$4,$D382&gt;AJ$4),$F381,AJ381))</f>
        <v/>
      </c>
      <c r="AK382" s="6" t="str">
        <f>IF($D382&lt;=AK$4,"",IF(AND($D381=AK$4,$D382&gt;AK$4),$F381,AK381))</f>
        <v/>
      </c>
      <c r="AL382" s="6" t="str">
        <f>IF($D382&lt;=AL$4,"",IF(AND($D381=AL$4,$D382&gt;AL$4),$F381,AL381))</f>
        <v/>
      </c>
      <c r="AM382" s="6" t="str">
        <f>IF($D382&lt;=AM$4,"",IF(AND($D381=AM$4,$D382&gt;AM$4),$F381,AM381))</f>
        <v/>
      </c>
      <c r="AN382" s="6" t="str">
        <f>IF($D382&lt;=AN$4,"",IF(AND($D381=AN$4,$D382&gt;AN$4),$F381,AN381))</f>
        <v/>
      </c>
      <c r="AO382" s="6" t="str">
        <f>CONCATENATE(AG382," | ",AH382," | ",AI382," | ",AJ382," | ",AK382," | ",AL382," | ",AM382," | ",AN382)</f>
        <v xml:space="preserve">90MB1BJ0-C1BAY0 | 59MB1BJB-MB0A02S |  |  |  |  |  | </v>
      </c>
      <c r="AP382" s="6">
        <f>IF(TRIM(H382)="",100,J382)</f>
        <v>0</v>
      </c>
      <c r="AQ382" s="4"/>
      <c r="AR382" s="6" t="b">
        <f>NOT(TRIM(W382)&lt;&gt;"F")</f>
        <v>1</v>
      </c>
      <c r="AS382" s="6" t="str">
        <f>$B382&amp;" | "&amp;$AO382&amp;" | "&amp;IF(TRIM(H382)="","uniq"&amp;ROW(),TRIM(H382))</f>
        <v>461E | 90MB1BJ0-C1BAY0 | 59MB1BJB-MB0A02S |  |  |  |  |  |  | D7</v>
      </c>
      <c r="AT382" s="63">
        <f>IF(NOT(AR382),IF(TRIM($H382)="","Assembly","Phantom Alt"),VLOOKUP(F382,ZPCS04!B:G,6,0))</f>
        <v>965</v>
      </c>
      <c r="AU382" s="7"/>
      <c r="AV382" s="38">
        <f ca="1">IF(TRIM($W382)="F",OFFSET($A$5,MATCH($AS382,$AS$5:$AS382,0)-1,0),$A382)</f>
        <v>383</v>
      </c>
      <c r="AW382" s="38">
        <f ca="1">IFERROR(OFFSET(ZPCS04!$A$1,MATCH(F382,ZPCS04!B:B,0)-1,0),100)</f>
        <v>2</v>
      </c>
      <c r="AX382" s="7"/>
      <c r="AY382" s="6" t="b">
        <f>SUMIF(AS:AS,AS382,AP:AP)=100</f>
        <v>1</v>
      </c>
      <c r="AZ382" s="6" t="b">
        <f>SUMIF(AS:AS,AS382,AE:AE)/COUNTIF(AS:AS,AS382)=AE382</f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>C382&amp;" | "&amp;F382</f>
        <v>90MB1BJ0-C1BAY0 | 10G212316214020</v>
      </c>
      <c r="BE382" s="55" t="str">
        <f ca="1">C382&amp;" | "&amp;OFFSET($AF382,0,8-COUNTBLANK($AG382:$AN382))</f>
        <v>90MB1BJ0-C1BAY0 | 59MB1BJB-MB0A02S</v>
      </c>
      <c r="BF382" s="57">
        <f ca="1">IFERROR(VLOOKUP($BE382,$BD$5:$BF381,3,0)*$AE382,VLOOKUP($C382,Demanda!$A:$B,2,0)*$AE382)*IF(AT382="Phantom Alt",$BC382,TRUE)</f>
        <v>1000</v>
      </c>
      <c r="BG382" s="57">
        <f ca="1">BF382*(AP382/100)</f>
        <v>0</v>
      </c>
      <c r="BH382" s="57">
        <f>SUMIF(Invoice!A:A,F382,Invoice!B:B)</f>
        <v>0</v>
      </c>
      <c r="BI382" s="57">
        <f ca="1">SUMIF(AS:AS,AS382,BG:BG)</f>
        <v>1000</v>
      </c>
      <c r="BJ382" s="57">
        <f ca="1">MIN((BI382-SUMIF($AS$5:AS381,AS382,$BJ$5:BJ381)),MAX(0,BH382-SUMIF($F$5:F381,F382,$BJ$5:BJ381)))</f>
        <v>0</v>
      </c>
      <c r="BK382" s="57">
        <f ca="1">(-SUMIF(AS:AS,AS382,BG:BG)+SUMIF(AS:AS,AS382,BJ:BJ))*(AP382=100)*AR382</f>
        <v>0</v>
      </c>
      <c r="BL382" s="57">
        <f ca="1">MAX(0,SUMIF(Invoice!A:A,F382,Invoice!B:B)-SUMIF(F:F,F382,BJ:BJ))*(COUNTIF(F:F,F382)=COUNTIF($F$5:F382,F382))</f>
        <v>0</v>
      </c>
    </row>
    <row r="383" spans="1:64" hidden="1">
      <c r="A383" s="43">
        <v>382</v>
      </c>
      <c r="B383" s="35" t="s">
        <v>147</v>
      </c>
      <c r="C383" s="35" t="s">
        <v>146</v>
      </c>
      <c r="D383" s="35">
        <v>2</v>
      </c>
      <c r="E383" s="35">
        <v>1370</v>
      </c>
      <c r="F383" s="64" t="s">
        <v>950</v>
      </c>
      <c r="G383" s="73" t="s">
        <v>951</v>
      </c>
      <c r="H383" s="35" t="s">
        <v>947</v>
      </c>
      <c r="I383" s="35" t="s">
        <v>55</v>
      </c>
      <c r="J383" s="35">
        <v>0</v>
      </c>
      <c r="K383" s="35" t="s">
        <v>489</v>
      </c>
      <c r="L383" s="35" t="s">
        <v>53</v>
      </c>
      <c r="M383" s="35">
        <v>1</v>
      </c>
      <c r="N383" s="35"/>
      <c r="O383" s="35">
        <v>1</v>
      </c>
      <c r="P383" s="35">
        <v>2</v>
      </c>
      <c r="Q383" s="35">
        <v>2</v>
      </c>
      <c r="R383" s="35" t="s">
        <v>122</v>
      </c>
      <c r="S383" s="35" t="s">
        <v>122</v>
      </c>
      <c r="T383" s="36">
        <v>44901</v>
      </c>
      <c r="U383" s="36">
        <v>2958465</v>
      </c>
      <c r="V383" s="35" t="s">
        <v>282</v>
      </c>
      <c r="W383" s="35" t="s">
        <v>145</v>
      </c>
      <c r="X383" s="35"/>
      <c r="Y383" s="35" t="s">
        <v>143</v>
      </c>
      <c r="Z383" s="35">
        <v>7589154</v>
      </c>
      <c r="AA383" s="35">
        <v>650</v>
      </c>
      <c r="AB383" s="35">
        <v>325</v>
      </c>
      <c r="AC383" s="35"/>
      <c r="AE383" s="51">
        <f>M383/O383</f>
        <v>1</v>
      </c>
      <c r="AG383" s="6" t="str">
        <f>C383</f>
        <v>90MB1BJ0-C1BAY0</v>
      </c>
      <c r="AH383" s="6" t="str">
        <f>IF($D383&lt;=AH$4,"",IF(AND($D382=AH$4,$D383&gt;AH$4),$F382,AH382))</f>
        <v>59MB1BJB-MB0A02S</v>
      </c>
      <c r="AI383" s="6" t="str">
        <f>IF($D383&lt;=AI$4,"",IF(AND($D382=AI$4,$D383&gt;AI$4),$F382,AI382))</f>
        <v/>
      </c>
      <c r="AJ383" s="6" t="str">
        <f>IF($D383&lt;=AJ$4,"",IF(AND($D382=AJ$4,$D383&gt;AJ$4),$F382,AJ382))</f>
        <v/>
      </c>
      <c r="AK383" s="6" t="str">
        <f>IF($D383&lt;=AK$4,"",IF(AND($D382=AK$4,$D383&gt;AK$4),$F382,AK382))</f>
        <v/>
      </c>
      <c r="AL383" s="6" t="str">
        <f>IF($D383&lt;=AL$4,"",IF(AND($D382=AL$4,$D383&gt;AL$4),$F382,AL382))</f>
        <v/>
      </c>
      <c r="AM383" s="6" t="str">
        <f>IF($D383&lt;=AM$4,"",IF(AND($D382=AM$4,$D383&gt;AM$4),$F382,AM382))</f>
        <v/>
      </c>
      <c r="AN383" s="6" t="str">
        <f>IF($D383&lt;=AN$4,"",IF(AND($D382=AN$4,$D383&gt;AN$4),$F382,AN382))</f>
        <v/>
      </c>
      <c r="AO383" s="6" t="str">
        <f>CONCATENATE(AG383," | ",AH383," | ",AI383," | ",AJ383," | ",AK383," | ",AL383," | ",AM383," | ",AN383)</f>
        <v xml:space="preserve">90MB1BJ0-C1BAY0 | 59MB1BJB-MB0A02S |  |  |  |  |  | </v>
      </c>
      <c r="AP383" s="6">
        <f>IF(TRIM(H383)="",100,J383)</f>
        <v>0</v>
      </c>
      <c r="AQ383" s="4"/>
      <c r="AR383" s="6" t="b">
        <f>NOT(TRIM(W383)&lt;&gt;"F")</f>
        <v>1</v>
      </c>
      <c r="AS383" s="6" t="str">
        <f>$B383&amp;" | "&amp;$AO383&amp;" | "&amp;IF(TRIM(H383)="","uniq"&amp;ROW(),TRIM(H383))</f>
        <v>461E | 90MB1BJ0-C1BAY0 | 59MB1BJB-MB0A02S |  |  |  |  |  |  | D7</v>
      </c>
      <c r="AT383" s="63">
        <f>IF(NOT(AR383),IF(TRIM($H383)="","Assembly","Phantom Alt"),VLOOKUP(F383,ZPCS04!B:G,6,0))</f>
        <v>965</v>
      </c>
      <c r="AU383" s="7"/>
      <c r="AV383" s="38">
        <f ca="1">IF(TRIM($W383)="F",OFFSET($A$5,MATCH($AS383,$AS$5:$AS383,0)-1,0),$A383)</f>
        <v>383</v>
      </c>
      <c r="AW383" s="38">
        <f ca="1">IFERROR(OFFSET(ZPCS04!$A$1,MATCH(F383,ZPCS04!B:B,0)-1,0),100)</f>
        <v>2</v>
      </c>
      <c r="AX383" s="7"/>
      <c r="AY383" s="6" t="b">
        <f>SUMIF(AS:AS,AS383,AP:AP)=100</f>
        <v>1</v>
      </c>
      <c r="AZ383" s="6" t="b">
        <f>SUMIF(AS:AS,AS383,AE:AE)/COUNTIF(AS:AS,AS383)=AE383</f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>C383&amp;" | "&amp;F383</f>
        <v>90MB1BJ0-C1BAY0 | 10G212316214030</v>
      </c>
      <c r="BE383" s="55" t="str">
        <f ca="1">C383&amp;" | "&amp;OFFSET($AF383,0,8-COUNTBLANK($AG383:$AN383))</f>
        <v>90MB1BJ0-C1BAY0 | 59MB1BJB-MB0A02S</v>
      </c>
      <c r="BF383" s="57">
        <f ca="1">IFERROR(VLOOKUP($BE383,$BD$5:$BF382,3,0)*$AE383,VLOOKUP($C383,Demanda!$A:$B,2,0)*$AE383)*IF(AT383="Phantom Alt",$BC383,TRUE)</f>
        <v>1000</v>
      </c>
      <c r="BG383" s="57">
        <f ca="1">BF383*(AP383/100)</f>
        <v>0</v>
      </c>
      <c r="BH383" s="57">
        <f>SUMIF(Invoice!A:A,F383,Invoice!B:B)</f>
        <v>0</v>
      </c>
      <c r="BI383" s="57">
        <f ca="1">SUMIF(AS:AS,AS383,BG:BG)</f>
        <v>1000</v>
      </c>
      <c r="BJ383" s="57">
        <f ca="1">MIN((BI383-SUMIF($AS$5:AS382,AS383,$BJ$5:BJ382)),MAX(0,BH383-SUMIF($F$5:F382,F383,$BJ$5:BJ382)))</f>
        <v>0</v>
      </c>
      <c r="BK383" s="57">
        <f ca="1">(-SUMIF(AS:AS,AS383,BG:BG)+SUMIF(AS:AS,AS383,BJ:BJ))*(AP383=100)*AR383</f>
        <v>0</v>
      </c>
      <c r="BL383" s="57">
        <f ca="1">MAX(0,SUMIF(Invoice!A:A,F383,Invoice!B:B)-SUMIF(F:F,F383,BJ:BJ))*(COUNTIF(F:F,F383)=COUNTIF($F$5:F383,F383))</f>
        <v>0</v>
      </c>
    </row>
    <row r="384" spans="1:64" hidden="1">
      <c r="A384" s="43">
        <v>384</v>
      </c>
      <c r="B384" s="35" t="s">
        <v>147</v>
      </c>
      <c r="C384" s="35" t="s">
        <v>146</v>
      </c>
      <c r="D384" s="35">
        <v>2</v>
      </c>
      <c r="E384" s="35">
        <v>1380</v>
      </c>
      <c r="F384" s="64" t="s">
        <v>954</v>
      </c>
      <c r="G384" s="73" t="s">
        <v>955</v>
      </c>
      <c r="H384" s="35" t="s">
        <v>956</v>
      </c>
      <c r="I384" s="35" t="s">
        <v>55</v>
      </c>
      <c r="J384" s="35">
        <v>0</v>
      </c>
      <c r="K384" s="35" t="s">
        <v>489</v>
      </c>
      <c r="L384" s="35" t="s">
        <v>53</v>
      </c>
      <c r="M384" s="35">
        <v>3</v>
      </c>
      <c r="N384" s="35"/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44901</v>
      </c>
      <c r="U384" s="36">
        <v>2958465</v>
      </c>
      <c r="V384" s="35" t="s">
        <v>282</v>
      </c>
      <c r="W384" s="35" t="s">
        <v>145</v>
      </c>
      <c r="X384" s="35"/>
      <c r="Y384" s="35" t="s">
        <v>143</v>
      </c>
      <c r="Z384" s="35">
        <v>7589154</v>
      </c>
      <c r="AA384" s="35">
        <v>660</v>
      </c>
      <c r="AB384" s="35">
        <v>330</v>
      </c>
      <c r="AC384" s="35"/>
      <c r="AE384" s="51">
        <f>M384/O384</f>
        <v>3</v>
      </c>
      <c r="AG384" s="6" t="str">
        <f>C384</f>
        <v>90MB1BJ0-C1BAY0</v>
      </c>
      <c r="AH384" s="6" t="str">
        <f>IF($D384&lt;=AH$4,"",IF(AND($D383=AH$4,$D384&gt;AH$4),$F383,AH383))</f>
        <v>59MB1BJB-MB0A02S</v>
      </c>
      <c r="AI384" s="6" t="str">
        <f>IF($D384&lt;=AI$4,"",IF(AND($D383=AI$4,$D384&gt;AI$4),$F383,AI383))</f>
        <v/>
      </c>
      <c r="AJ384" s="6" t="str">
        <f>IF($D384&lt;=AJ$4,"",IF(AND($D383=AJ$4,$D384&gt;AJ$4),$F383,AJ383))</f>
        <v/>
      </c>
      <c r="AK384" s="6" t="str">
        <f>IF($D384&lt;=AK$4,"",IF(AND($D383=AK$4,$D384&gt;AK$4),$F383,AK383))</f>
        <v/>
      </c>
      <c r="AL384" s="6" t="str">
        <f>IF($D384&lt;=AL$4,"",IF(AND($D383=AL$4,$D384&gt;AL$4),$F383,AL383))</f>
        <v/>
      </c>
      <c r="AM384" s="6" t="str">
        <f>IF($D384&lt;=AM$4,"",IF(AND($D383=AM$4,$D384&gt;AM$4),$F383,AM383))</f>
        <v/>
      </c>
      <c r="AN384" s="6" t="str">
        <f>IF($D384&lt;=AN$4,"",IF(AND($D383=AN$4,$D384&gt;AN$4),$F383,AN383))</f>
        <v/>
      </c>
      <c r="AO384" s="6" t="str">
        <f>CONCATENATE(AG384," | ",AH384," | ",AI384," | ",AJ384," | ",AK384," | ",AL384," | ",AM384," | ",AN384)</f>
        <v xml:space="preserve">90MB1BJ0-C1BAY0 | 59MB1BJB-MB0A02S |  |  |  |  |  | </v>
      </c>
      <c r="AP384" s="6">
        <f>IF(TRIM(H384)="",100,J384)</f>
        <v>0</v>
      </c>
      <c r="AQ384" s="4"/>
      <c r="AR384" s="6" t="b">
        <f>NOT(TRIM(W384)&lt;&gt;"F")</f>
        <v>1</v>
      </c>
      <c r="AS384" s="6" t="str">
        <f>$B384&amp;" | "&amp;$AO384&amp;" | "&amp;IF(TRIM(H384)="","uniq"&amp;ROW(),TRIM(H384))</f>
        <v>461E | 90MB1BJ0-C1BAY0 | 59MB1BJB-MB0A02S |  |  |  |  |  |  | D8</v>
      </c>
      <c r="AT384" s="63">
        <f>IF(NOT(AR384),IF(TRIM($H384)="","Assembly","Phantom Alt"),VLOOKUP(F384,ZPCS04!B:G,6,0))</f>
        <v>678</v>
      </c>
      <c r="AU384" s="7"/>
      <c r="AV384" s="38">
        <f ca="1">IF(TRIM($W384)="F",OFFSET($A$5,MATCH($AS384,$AS$5:$AS384,0)-1,0),$A384)</f>
        <v>384</v>
      </c>
      <c r="AW384" s="38">
        <f ca="1">IFERROR(OFFSET(ZPCS04!$A$1,MATCH(F384,ZPCS04!B:B,0)-1,0),100)</f>
        <v>1.9999999000000002</v>
      </c>
      <c r="AX384" s="7"/>
      <c r="AY384" s="6" t="b">
        <f>SUMIF(AS:AS,AS384,AP:AP)=100</f>
        <v>1</v>
      </c>
      <c r="AZ384" s="6" t="b">
        <f>SUMIF(AS:AS,AS384,AE:AE)/COUNTIF(AS:AS,AS384)=AE384</f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>C384&amp;" | "&amp;F384</f>
        <v>90MB1BJ0-C1BAY0 | 10G212324214010</v>
      </c>
      <c r="BE384" s="55" t="str">
        <f ca="1">C384&amp;" | "&amp;OFFSET($AF384,0,8-COUNTBLANK($AG384:$AN384))</f>
        <v>90MB1BJ0-C1BAY0 | 59MB1BJB-MB0A02S</v>
      </c>
      <c r="BF384" s="57">
        <f ca="1">IFERROR(VLOOKUP($BE384,$BD$5:$BF383,3,0)*$AE384,VLOOKUP($C384,Demanda!$A:$B,2,0)*$AE384)*IF(AT384="Phantom Alt",$BC384,TRUE)</f>
        <v>3000</v>
      </c>
      <c r="BG384" s="57">
        <f ca="1">BF384*(AP384/100)</f>
        <v>0</v>
      </c>
      <c r="BH384" s="57">
        <f>SUMIF(Invoice!A:A,F384,Invoice!B:B)</f>
        <v>10000</v>
      </c>
      <c r="BI384" s="57">
        <f ca="1">SUMIF(AS:AS,AS384,BG:BG)</f>
        <v>3000</v>
      </c>
      <c r="BJ384" s="57">
        <f ca="1">MIN((BI384-SUMIF($AS$5:AS383,AS384,$BJ$5:BJ383)),MAX(0,BH384-SUMIF($F$5:F383,F384,$BJ$5:BJ383)))</f>
        <v>3000</v>
      </c>
      <c r="BK384" s="57">
        <f ca="1">(-SUMIF(AS:AS,AS384,BG:BG)+SUMIF(AS:AS,AS384,BJ:BJ))*(AP384=100)*AR384</f>
        <v>0</v>
      </c>
      <c r="BL384" s="57">
        <f ca="1">MAX(0,SUMIF(Invoice!A:A,F384,Invoice!B:B)-SUMIF(F:F,F384,BJ:BJ))*(COUNTIF(F:F,F384)=COUNTIF($F$5:F384,F384))</f>
        <v>7000</v>
      </c>
    </row>
    <row r="385" spans="1:64" hidden="1">
      <c r="A385" s="43">
        <v>385</v>
      </c>
      <c r="B385" s="35" t="s">
        <v>147</v>
      </c>
      <c r="C385" s="35" t="s">
        <v>146</v>
      </c>
      <c r="D385" s="35">
        <v>2</v>
      </c>
      <c r="E385" s="35">
        <v>1380</v>
      </c>
      <c r="F385" s="64" t="s">
        <v>957</v>
      </c>
      <c r="G385" s="73" t="s">
        <v>955</v>
      </c>
      <c r="H385" s="35" t="s">
        <v>956</v>
      </c>
      <c r="I385" s="35" t="s">
        <v>55</v>
      </c>
      <c r="J385" s="35">
        <v>0</v>
      </c>
      <c r="K385" s="35" t="s">
        <v>489</v>
      </c>
      <c r="L385" s="35" t="s">
        <v>53</v>
      </c>
      <c r="M385" s="35">
        <v>3</v>
      </c>
      <c r="N385" s="35"/>
      <c r="O385" s="35">
        <v>1</v>
      </c>
      <c r="P385" s="35">
        <v>2</v>
      </c>
      <c r="Q385" s="35">
        <v>2</v>
      </c>
      <c r="R385" s="35" t="s">
        <v>122</v>
      </c>
      <c r="S385" s="35" t="s">
        <v>122</v>
      </c>
      <c r="T385" s="36">
        <v>44901</v>
      </c>
      <c r="U385" s="36">
        <v>2958465</v>
      </c>
      <c r="V385" s="35" t="s">
        <v>282</v>
      </c>
      <c r="W385" s="35" t="s">
        <v>145</v>
      </c>
      <c r="X385" s="35"/>
      <c r="Y385" s="35" t="s">
        <v>143</v>
      </c>
      <c r="Z385" s="35">
        <v>7589154</v>
      </c>
      <c r="AA385" s="35">
        <v>658</v>
      </c>
      <c r="AB385" s="35">
        <v>329</v>
      </c>
      <c r="AC385" s="35"/>
      <c r="AE385" s="51">
        <f>M385/O385</f>
        <v>3</v>
      </c>
      <c r="AG385" s="6" t="str">
        <f>C385</f>
        <v>90MB1BJ0-C1BAY0</v>
      </c>
      <c r="AH385" s="6" t="str">
        <f>IF($D385&lt;=AH$4,"",IF(AND($D384=AH$4,$D385&gt;AH$4),$F384,AH384))</f>
        <v>59MB1BJB-MB0A02S</v>
      </c>
      <c r="AI385" s="6" t="str">
        <f>IF($D385&lt;=AI$4,"",IF(AND($D384=AI$4,$D385&gt;AI$4),$F384,AI384))</f>
        <v/>
      </c>
      <c r="AJ385" s="6" t="str">
        <f>IF($D385&lt;=AJ$4,"",IF(AND($D384=AJ$4,$D385&gt;AJ$4),$F384,AJ384))</f>
        <v/>
      </c>
      <c r="AK385" s="6" t="str">
        <f>IF($D385&lt;=AK$4,"",IF(AND($D384=AK$4,$D385&gt;AK$4),$F384,AK384))</f>
        <v/>
      </c>
      <c r="AL385" s="6" t="str">
        <f>IF($D385&lt;=AL$4,"",IF(AND($D384=AL$4,$D385&gt;AL$4),$F384,AL384))</f>
        <v/>
      </c>
      <c r="AM385" s="6" t="str">
        <f>IF($D385&lt;=AM$4,"",IF(AND($D384=AM$4,$D385&gt;AM$4),$F384,AM384))</f>
        <v/>
      </c>
      <c r="AN385" s="6" t="str">
        <f>IF($D385&lt;=AN$4,"",IF(AND($D384=AN$4,$D385&gt;AN$4),$F384,AN384))</f>
        <v/>
      </c>
      <c r="AO385" s="6" t="str">
        <f>CONCATENATE(AG385," | ",AH385," | ",AI385," | ",AJ385," | ",AK385," | ",AL385," | ",AM385," | ",AN385)</f>
        <v xml:space="preserve">90MB1BJ0-C1BAY0 | 59MB1BJB-MB0A02S |  |  |  |  |  | </v>
      </c>
      <c r="AP385" s="6">
        <f>IF(TRIM(H385)="",100,J385)</f>
        <v>0</v>
      </c>
      <c r="AQ385" s="4"/>
      <c r="AR385" s="6" t="b">
        <f>NOT(TRIM(W385)&lt;&gt;"F")</f>
        <v>1</v>
      </c>
      <c r="AS385" s="6" t="str">
        <f>$B385&amp;" | "&amp;$AO385&amp;" | "&amp;IF(TRIM(H385)="","uniq"&amp;ROW(),TRIM(H385))</f>
        <v>461E | 90MB1BJ0-C1BAY0 | 59MB1BJB-MB0A02S |  |  |  |  |  |  | D8</v>
      </c>
      <c r="AT385" s="63">
        <f>IF(NOT(AR385),IF(TRIM($H385)="","Assembly","Phantom Alt"),VLOOKUP(F385,ZPCS04!B:G,6,0))</f>
        <v>678</v>
      </c>
      <c r="AU385" s="7"/>
      <c r="AV385" s="38">
        <f ca="1">IF(TRIM($W385)="F",OFFSET($A$5,MATCH($AS385,$AS$5:$AS385,0)-1,0),$A385)</f>
        <v>384</v>
      </c>
      <c r="AW385" s="38">
        <f ca="1">IFERROR(OFFSET(ZPCS04!$A$1,MATCH(F385,ZPCS04!B:B,0)-1,0),100)</f>
        <v>2</v>
      </c>
      <c r="AX385" s="7"/>
      <c r="AY385" s="6" t="b">
        <f>SUMIF(AS:AS,AS385,AP:AP)=100</f>
        <v>1</v>
      </c>
      <c r="AZ385" s="6" t="b">
        <f>SUMIF(AS:AS,AS385,AE:AE)/COUNTIF(AS:AS,AS385)=AE385</f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>C385&amp;" | "&amp;F385</f>
        <v>90MB1BJ0-C1BAY0 | 10G212324214020</v>
      </c>
      <c r="BE385" s="55" t="str">
        <f ca="1">C385&amp;" | "&amp;OFFSET($AF385,0,8-COUNTBLANK($AG385:$AN385))</f>
        <v>90MB1BJ0-C1BAY0 | 59MB1BJB-MB0A02S</v>
      </c>
      <c r="BF385" s="57">
        <f ca="1">IFERROR(VLOOKUP($BE385,$BD$5:$BF384,3,0)*$AE385,VLOOKUP($C385,Demanda!$A:$B,2,0)*$AE385)*IF(AT385="Phantom Alt",$BC385,TRUE)</f>
        <v>3000</v>
      </c>
      <c r="BG385" s="57">
        <f ca="1">BF385*(AP385/100)</f>
        <v>0</v>
      </c>
      <c r="BH385" s="57">
        <f>SUMIF(Invoice!A:A,F385,Invoice!B:B)</f>
        <v>0</v>
      </c>
      <c r="BI385" s="57">
        <f ca="1">SUMIF(AS:AS,AS385,BG:BG)</f>
        <v>3000</v>
      </c>
      <c r="BJ385" s="57">
        <f ca="1">MIN((BI385-SUMIF($AS$5:AS384,AS385,$BJ$5:BJ384)),MAX(0,BH385-SUMIF($F$5:F384,F385,$BJ$5:BJ384)))</f>
        <v>0</v>
      </c>
      <c r="BK385" s="57">
        <f ca="1">(-SUMIF(AS:AS,AS385,BG:BG)+SUMIF(AS:AS,AS385,BJ:BJ))*(AP385=100)*AR385</f>
        <v>0</v>
      </c>
      <c r="BL385" s="57">
        <f ca="1">MAX(0,SUMIF(Invoice!A:A,F385,Invoice!B:B)-SUMIF(F:F,F385,BJ:BJ))*(COUNTIF(F:F,F385)=COUNTIF($F$5:F385,F385))</f>
        <v>0</v>
      </c>
    </row>
    <row r="386" spans="1:64" hidden="1">
      <c r="A386" s="43">
        <v>386</v>
      </c>
      <c r="B386" s="35" t="s">
        <v>147</v>
      </c>
      <c r="C386" s="35" t="s">
        <v>146</v>
      </c>
      <c r="D386" s="35">
        <v>2</v>
      </c>
      <c r="E386" s="35">
        <v>1380</v>
      </c>
      <c r="F386" s="64" t="s">
        <v>958</v>
      </c>
      <c r="G386" s="73" t="s">
        <v>959</v>
      </c>
      <c r="H386" s="35" t="s">
        <v>956</v>
      </c>
      <c r="I386" s="35" t="s">
        <v>54</v>
      </c>
      <c r="J386" s="35">
        <v>100</v>
      </c>
      <c r="K386" s="35" t="s">
        <v>150</v>
      </c>
      <c r="L386" s="35" t="s">
        <v>53</v>
      </c>
      <c r="M386" s="35">
        <v>3</v>
      </c>
      <c r="N386" s="35">
        <v>3</v>
      </c>
      <c r="O386" s="35">
        <v>1</v>
      </c>
      <c r="P386" s="35">
        <v>2</v>
      </c>
      <c r="Q386" s="35">
        <v>1</v>
      </c>
      <c r="R386" s="35" t="s">
        <v>73</v>
      </c>
      <c r="S386" s="35" t="s">
        <v>73</v>
      </c>
      <c r="T386" s="36">
        <v>44901</v>
      </c>
      <c r="U386" s="36">
        <v>2958465</v>
      </c>
      <c r="V386" s="35" t="s">
        <v>282</v>
      </c>
      <c r="W386" s="35" t="s">
        <v>145</v>
      </c>
      <c r="X386" s="35"/>
      <c r="Y386" s="35" t="s">
        <v>143</v>
      </c>
      <c r="Z386" s="35">
        <v>7589154</v>
      </c>
      <c r="AA386" s="35">
        <v>656</v>
      </c>
      <c r="AB386" s="35">
        <v>328</v>
      </c>
      <c r="AC386" s="35"/>
      <c r="AE386" s="51">
        <f>M386/O386</f>
        <v>3</v>
      </c>
      <c r="AG386" s="6" t="str">
        <f>C386</f>
        <v>90MB1BJ0-C1BAY0</v>
      </c>
      <c r="AH386" s="6" t="str">
        <f>IF($D386&lt;=AH$4,"",IF(AND($D385=AH$4,$D386&gt;AH$4),$F385,AH385))</f>
        <v>59MB1BJB-MB0A02S</v>
      </c>
      <c r="AI386" s="6" t="str">
        <f>IF($D386&lt;=AI$4,"",IF(AND($D385=AI$4,$D386&gt;AI$4),$F385,AI385))</f>
        <v/>
      </c>
      <c r="AJ386" s="6" t="str">
        <f>IF($D386&lt;=AJ$4,"",IF(AND($D385=AJ$4,$D386&gt;AJ$4),$F385,AJ385))</f>
        <v/>
      </c>
      <c r="AK386" s="6" t="str">
        <f>IF($D386&lt;=AK$4,"",IF(AND($D385=AK$4,$D386&gt;AK$4),$F385,AK385))</f>
        <v/>
      </c>
      <c r="AL386" s="6" t="str">
        <f>IF($D386&lt;=AL$4,"",IF(AND($D385=AL$4,$D386&gt;AL$4),$F385,AL385))</f>
        <v/>
      </c>
      <c r="AM386" s="6" t="str">
        <f>IF($D386&lt;=AM$4,"",IF(AND($D385=AM$4,$D386&gt;AM$4),$F385,AM385))</f>
        <v/>
      </c>
      <c r="AN386" s="6" t="str">
        <f>IF($D386&lt;=AN$4,"",IF(AND($D385=AN$4,$D386&gt;AN$4),$F385,AN385))</f>
        <v/>
      </c>
      <c r="AO386" s="6" t="str">
        <f>CONCATENATE(AG386," | ",AH386," | ",AI386," | ",AJ386," | ",AK386," | ",AL386," | ",AM386," | ",AN386)</f>
        <v xml:space="preserve">90MB1BJ0-C1BAY0 | 59MB1BJB-MB0A02S |  |  |  |  |  | </v>
      </c>
      <c r="AP386" s="6">
        <f>IF(TRIM(H386)="",100,J386)</f>
        <v>100</v>
      </c>
      <c r="AQ386" s="4"/>
      <c r="AR386" s="6" t="b">
        <f>NOT(TRIM(W386)&lt;&gt;"F")</f>
        <v>1</v>
      </c>
      <c r="AS386" s="6" t="str">
        <f>$B386&amp;" | "&amp;$AO386&amp;" | "&amp;IF(TRIM(H386)="","uniq"&amp;ROW(),TRIM(H386))</f>
        <v>461E | 90MB1BJ0-C1BAY0 | 59MB1BJB-MB0A02S |  |  |  |  |  |  | D8</v>
      </c>
      <c r="AT386" s="63">
        <f>IF(NOT(AR386),IF(TRIM($H386)="","Assembly","Phantom Alt"),VLOOKUP(F386,ZPCS04!B:G,6,0))</f>
        <v>678</v>
      </c>
      <c r="AU386" s="7"/>
      <c r="AV386" s="38">
        <f ca="1">IF(TRIM($W386)="F",OFFSET($A$5,MATCH($AS386,$AS$5:$AS386,0)-1,0),$A386)</f>
        <v>384</v>
      </c>
      <c r="AW386" s="38">
        <f ca="1">IFERROR(OFFSET(ZPCS04!$A$1,MATCH(F386,ZPCS04!B:B,0)-1,0),100)</f>
        <v>2</v>
      </c>
      <c r="AX386" s="7"/>
      <c r="AY386" s="6" t="b">
        <f>SUMIF(AS:AS,AS386,AP:AP)=100</f>
        <v>1</v>
      </c>
      <c r="AZ386" s="6" t="b">
        <f>SUMIF(AS:AS,AS386,AE:AE)/COUNTIF(AS:AS,AS386)=AE386</f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>C386&amp;" | "&amp;F386</f>
        <v>90MB1BJ0-C1BAY0 | 10G212324214050</v>
      </c>
      <c r="BE386" s="55" t="str">
        <f ca="1">C386&amp;" | "&amp;OFFSET($AF386,0,8-COUNTBLANK($AG386:$AN386))</f>
        <v>90MB1BJ0-C1BAY0 | 59MB1BJB-MB0A02S</v>
      </c>
      <c r="BF386" s="57">
        <f ca="1">IFERROR(VLOOKUP($BE386,$BD$5:$BF385,3,0)*$AE386,VLOOKUP($C386,Demanda!$A:$B,2,0)*$AE386)*IF(AT386="Phantom Alt",$BC386,TRUE)</f>
        <v>3000</v>
      </c>
      <c r="BG386" s="57">
        <f ca="1">BF386*(AP386/100)</f>
        <v>3000</v>
      </c>
      <c r="BH386" s="57">
        <f>SUMIF(Invoice!A:A,F386,Invoice!B:B)</f>
        <v>0</v>
      </c>
      <c r="BI386" s="57">
        <f ca="1">SUMIF(AS:AS,AS386,BG:BG)</f>
        <v>3000</v>
      </c>
      <c r="BJ386" s="57">
        <f ca="1">MIN((BI386-SUMIF($AS$5:AS385,AS386,$BJ$5:BJ385)),MAX(0,BH386-SUMIF($F$5:F385,F386,$BJ$5:BJ385)))</f>
        <v>0</v>
      </c>
      <c r="BK386" s="57">
        <f ca="1">(-SUMIF(AS:AS,AS386,BG:BG)+SUMIF(AS:AS,AS386,BJ:BJ))*(AP386=100)*AR386</f>
        <v>0</v>
      </c>
      <c r="BL386" s="57">
        <f ca="1">MAX(0,SUMIF(Invoice!A:A,F386,Invoice!B:B)-SUMIF(F:F,F386,BJ:BJ))*(COUNTIF(F:F,F386)=COUNTIF($F$5:F386,F386))</f>
        <v>0</v>
      </c>
    </row>
    <row r="387" spans="1:64" hidden="1">
      <c r="A387" s="43">
        <v>387</v>
      </c>
      <c r="B387" s="35" t="s">
        <v>147</v>
      </c>
      <c r="C387" s="35" t="s">
        <v>146</v>
      </c>
      <c r="D387" s="35">
        <v>2</v>
      </c>
      <c r="E387" s="35">
        <v>1390</v>
      </c>
      <c r="F387" s="64" t="s">
        <v>960</v>
      </c>
      <c r="G387" s="73" t="s">
        <v>961</v>
      </c>
      <c r="H387" s="35" t="s">
        <v>962</v>
      </c>
      <c r="I387" s="35" t="s">
        <v>55</v>
      </c>
      <c r="J387" s="35">
        <v>0</v>
      </c>
      <c r="K387" s="35" t="s">
        <v>489</v>
      </c>
      <c r="L387" s="35" t="s">
        <v>53</v>
      </c>
      <c r="M387" s="35">
        <v>4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44901</v>
      </c>
      <c r="U387" s="36">
        <v>2958465</v>
      </c>
      <c r="V387" s="35" t="s">
        <v>282</v>
      </c>
      <c r="W387" s="35" t="s">
        <v>145</v>
      </c>
      <c r="X387" s="35"/>
      <c r="Y387" s="35" t="s">
        <v>143</v>
      </c>
      <c r="Z387" s="35">
        <v>7589154</v>
      </c>
      <c r="AA387" s="35">
        <v>664</v>
      </c>
      <c r="AB387" s="35">
        <v>332</v>
      </c>
      <c r="AC387" s="35"/>
      <c r="AE387" s="51">
        <f>M387/O387</f>
        <v>4</v>
      </c>
      <c r="AG387" s="6" t="str">
        <f>C387</f>
        <v>90MB1BJ0-C1BAY0</v>
      </c>
      <c r="AH387" s="6" t="str">
        <f>IF($D387&lt;=AH$4,"",IF(AND($D386=AH$4,$D387&gt;AH$4),$F386,AH386))</f>
        <v>59MB1BJB-MB0A02S</v>
      </c>
      <c r="AI387" s="6" t="str">
        <f>IF($D387&lt;=AI$4,"",IF(AND($D386=AI$4,$D387&gt;AI$4),$F386,AI386))</f>
        <v/>
      </c>
      <c r="AJ387" s="6" t="str">
        <f>IF($D387&lt;=AJ$4,"",IF(AND($D386=AJ$4,$D387&gt;AJ$4),$F386,AJ386))</f>
        <v/>
      </c>
      <c r="AK387" s="6" t="str">
        <f>IF($D387&lt;=AK$4,"",IF(AND($D386=AK$4,$D387&gt;AK$4),$F386,AK386))</f>
        <v/>
      </c>
      <c r="AL387" s="6" t="str">
        <f>IF($D387&lt;=AL$4,"",IF(AND($D386=AL$4,$D387&gt;AL$4),$F386,AL386))</f>
        <v/>
      </c>
      <c r="AM387" s="6" t="str">
        <f>IF($D387&lt;=AM$4,"",IF(AND($D386=AM$4,$D387&gt;AM$4),$F386,AM386))</f>
        <v/>
      </c>
      <c r="AN387" s="6" t="str">
        <f>IF($D387&lt;=AN$4,"",IF(AND($D386=AN$4,$D387&gt;AN$4),$F386,AN386))</f>
        <v/>
      </c>
      <c r="AO387" s="6" t="str">
        <f>CONCATENATE(AG387," | ",AH387," | ",AI387," | ",AJ387," | ",AK387," | ",AL387," | ",AM387," | ",AN387)</f>
        <v xml:space="preserve">90MB1BJ0-C1BAY0 | 59MB1BJB-MB0A02S |  |  |  |  |  | </v>
      </c>
      <c r="AP387" s="6">
        <f>IF(TRIM(H387)="",100,J387)</f>
        <v>0</v>
      </c>
      <c r="AQ387" s="4"/>
      <c r="AR387" s="6" t="b">
        <f>NOT(TRIM(W387)&lt;&gt;"F")</f>
        <v>1</v>
      </c>
      <c r="AS387" s="6" t="str">
        <f>$B387&amp;" | "&amp;$AO387&amp;" | "&amp;IF(TRIM(H387)="","uniq"&amp;ROW(),TRIM(H387))</f>
        <v>461E | 90MB1BJ0-C1BAY0 | 59MB1BJB-MB0A02S |  |  |  |  |  |  | D9</v>
      </c>
      <c r="AT387" s="63">
        <f>IF(NOT(AR387),IF(TRIM($H387)="","Assembly","Phantom Alt"),VLOOKUP(F387,ZPCS04!B:G,6,0))</f>
        <v>1082</v>
      </c>
      <c r="AU387" s="7"/>
      <c r="AV387" s="38">
        <f ca="1">IF(TRIM($W387)="F",OFFSET($A$5,MATCH($AS387,$AS$5:$AS387,0)-1,0),$A387)</f>
        <v>387</v>
      </c>
      <c r="AW387" s="38">
        <f ca="1">IFERROR(OFFSET(ZPCS04!$A$1,MATCH(F387,ZPCS04!B:B,0)-1,0),100)</f>
        <v>1.9999999000000002</v>
      </c>
      <c r="AX387" s="7"/>
      <c r="AY387" s="6" t="b">
        <f>SUMIF(AS:AS,AS387,AP:AP)=100</f>
        <v>1</v>
      </c>
      <c r="AZ387" s="6" t="b">
        <f>SUMIF(AS:AS,AS387,AE:AE)/COUNTIF(AS:AS,AS387)=AE387</f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>C387&amp;" | "&amp;F387</f>
        <v>90MB1BJ0-C1BAY0 | 10G212330214010</v>
      </c>
      <c r="BE387" s="55" t="str">
        <f ca="1">C387&amp;" | "&amp;OFFSET($AF387,0,8-COUNTBLANK($AG387:$AN387))</f>
        <v>90MB1BJ0-C1BAY0 | 59MB1BJB-MB0A02S</v>
      </c>
      <c r="BF387" s="57">
        <f ca="1">IFERROR(VLOOKUP($BE387,$BD$5:$BF386,3,0)*$AE387,VLOOKUP($C387,Demanda!$A:$B,2,0)*$AE387)*IF(AT387="Phantom Alt",$BC387,TRUE)</f>
        <v>4000</v>
      </c>
      <c r="BG387" s="57">
        <f ca="1">BF387*(AP387/100)</f>
        <v>0</v>
      </c>
      <c r="BH387" s="57">
        <f>SUMIF(Invoice!A:A,F387,Invoice!B:B)</f>
        <v>10000</v>
      </c>
      <c r="BI387" s="57">
        <f ca="1">SUMIF(AS:AS,AS387,BG:BG)</f>
        <v>4000</v>
      </c>
      <c r="BJ387" s="57">
        <f ca="1">MIN((BI387-SUMIF($AS$5:AS386,AS387,$BJ$5:BJ386)),MAX(0,BH387-SUMIF($F$5:F386,F387,$BJ$5:BJ386)))</f>
        <v>4000</v>
      </c>
      <c r="BK387" s="57">
        <f ca="1">(-SUMIF(AS:AS,AS387,BG:BG)+SUMIF(AS:AS,AS387,BJ:BJ))*(AP387=100)*AR387</f>
        <v>0</v>
      </c>
      <c r="BL387" s="57">
        <f ca="1">MAX(0,SUMIF(Invoice!A:A,F387,Invoice!B:B)-SUMIF(F:F,F387,BJ:BJ))*(COUNTIF(F:F,F387)=COUNTIF($F$5:F387,F387))</f>
        <v>6000</v>
      </c>
    </row>
    <row r="388" spans="1:64" hidden="1">
      <c r="A388" s="43">
        <v>388</v>
      </c>
      <c r="B388" s="35" t="s">
        <v>147</v>
      </c>
      <c r="C388" s="35" t="s">
        <v>146</v>
      </c>
      <c r="D388" s="35">
        <v>2</v>
      </c>
      <c r="E388" s="35">
        <v>1390</v>
      </c>
      <c r="F388" s="64" t="s">
        <v>963</v>
      </c>
      <c r="G388" s="73" t="s">
        <v>964</v>
      </c>
      <c r="H388" s="35" t="s">
        <v>962</v>
      </c>
      <c r="I388" s="35" t="s">
        <v>55</v>
      </c>
      <c r="J388" s="35">
        <v>0</v>
      </c>
      <c r="K388" s="35" t="s">
        <v>489</v>
      </c>
      <c r="L388" s="35" t="s">
        <v>53</v>
      </c>
      <c r="M388" s="35">
        <v>4</v>
      </c>
      <c r="N388" s="35"/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44901</v>
      </c>
      <c r="U388" s="36">
        <v>2958465</v>
      </c>
      <c r="V388" s="35" t="s">
        <v>282</v>
      </c>
      <c r="W388" s="35" t="s">
        <v>145</v>
      </c>
      <c r="X388" s="35"/>
      <c r="Y388" s="35" t="s">
        <v>143</v>
      </c>
      <c r="Z388" s="35">
        <v>7589154</v>
      </c>
      <c r="AA388" s="35">
        <v>666</v>
      </c>
      <c r="AB388" s="35">
        <v>333</v>
      </c>
      <c r="AC388" s="35"/>
      <c r="AE388" s="51">
        <f>M388/O388</f>
        <v>4</v>
      </c>
      <c r="AG388" s="6" t="str">
        <f>C388</f>
        <v>90MB1BJ0-C1BAY0</v>
      </c>
      <c r="AH388" s="6" t="str">
        <f>IF($D388&lt;=AH$4,"",IF(AND($D387=AH$4,$D388&gt;AH$4),$F387,AH387))</f>
        <v>59MB1BJB-MB0A02S</v>
      </c>
      <c r="AI388" s="6" t="str">
        <f>IF($D388&lt;=AI$4,"",IF(AND($D387=AI$4,$D388&gt;AI$4),$F387,AI387))</f>
        <v/>
      </c>
      <c r="AJ388" s="6" t="str">
        <f>IF($D388&lt;=AJ$4,"",IF(AND($D387=AJ$4,$D388&gt;AJ$4),$F387,AJ387))</f>
        <v/>
      </c>
      <c r="AK388" s="6" t="str">
        <f>IF($D388&lt;=AK$4,"",IF(AND($D387=AK$4,$D388&gt;AK$4),$F387,AK387))</f>
        <v/>
      </c>
      <c r="AL388" s="6" t="str">
        <f>IF($D388&lt;=AL$4,"",IF(AND($D387=AL$4,$D388&gt;AL$4),$F387,AL387))</f>
        <v/>
      </c>
      <c r="AM388" s="6" t="str">
        <f>IF($D388&lt;=AM$4,"",IF(AND($D387=AM$4,$D388&gt;AM$4),$F387,AM387))</f>
        <v/>
      </c>
      <c r="AN388" s="6" t="str">
        <f>IF($D388&lt;=AN$4,"",IF(AND($D387=AN$4,$D388&gt;AN$4),$F387,AN387))</f>
        <v/>
      </c>
      <c r="AO388" s="6" t="str">
        <f>CONCATENATE(AG388," | ",AH388," | ",AI388," | ",AJ388," | ",AK388," | ",AL388," | ",AM388," | ",AN388)</f>
        <v xml:space="preserve">90MB1BJ0-C1BAY0 | 59MB1BJB-MB0A02S |  |  |  |  |  | </v>
      </c>
      <c r="AP388" s="6">
        <f>IF(TRIM(H388)="",100,J388)</f>
        <v>0</v>
      </c>
      <c r="AQ388" s="4"/>
      <c r="AR388" s="6" t="b">
        <f>NOT(TRIM(W388)&lt;&gt;"F")</f>
        <v>1</v>
      </c>
      <c r="AS388" s="6" t="str">
        <f>$B388&amp;" | "&amp;$AO388&amp;" | "&amp;IF(TRIM(H388)="","uniq"&amp;ROW(),TRIM(H388))</f>
        <v>461E | 90MB1BJ0-C1BAY0 | 59MB1BJB-MB0A02S |  |  |  |  |  |  | D9</v>
      </c>
      <c r="AT388" s="63">
        <f>IF(NOT(AR388),IF(TRIM($H388)="","Assembly","Phantom Alt"),VLOOKUP(F388,ZPCS04!B:G,6,0))</f>
        <v>1082</v>
      </c>
      <c r="AU388" s="7"/>
      <c r="AV388" s="38">
        <f ca="1">IF(TRIM($W388)="F",OFFSET($A$5,MATCH($AS388,$AS$5:$AS388,0)-1,0),$A388)</f>
        <v>387</v>
      </c>
      <c r="AW388" s="38">
        <f ca="1">IFERROR(OFFSET(ZPCS04!$A$1,MATCH(F388,ZPCS04!B:B,0)-1,0),100)</f>
        <v>2</v>
      </c>
      <c r="AX388" s="7"/>
      <c r="AY388" s="6" t="b">
        <f>SUMIF(AS:AS,AS388,AP:AP)=100</f>
        <v>1</v>
      </c>
      <c r="AZ388" s="6" t="b">
        <f>SUMIF(AS:AS,AS388,AE:AE)/COUNTIF(AS:AS,AS388)=AE388</f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>C388&amp;" | "&amp;F388</f>
        <v>90MB1BJ0-C1BAY0 | 10G212330214020</v>
      </c>
      <c r="BE388" s="55" t="str">
        <f ca="1">C388&amp;" | "&amp;OFFSET($AF388,0,8-COUNTBLANK($AG388:$AN388))</f>
        <v>90MB1BJ0-C1BAY0 | 59MB1BJB-MB0A02S</v>
      </c>
      <c r="BF388" s="57">
        <f ca="1">IFERROR(VLOOKUP($BE388,$BD$5:$BF387,3,0)*$AE388,VLOOKUP($C388,Demanda!$A:$B,2,0)*$AE388)*IF(AT388="Phantom Alt",$BC388,TRUE)</f>
        <v>4000</v>
      </c>
      <c r="BG388" s="57">
        <f ca="1">BF388*(AP388/100)</f>
        <v>0</v>
      </c>
      <c r="BH388" s="57">
        <f>SUMIF(Invoice!A:A,F388,Invoice!B:B)</f>
        <v>0</v>
      </c>
      <c r="BI388" s="57">
        <f ca="1">SUMIF(AS:AS,AS388,BG:BG)</f>
        <v>4000</v>
      </c>
      <c r="BJ388" s="57">
        <f ca="1">MIN((BI388-SUMIF($AS$5:AS387,AS388,$BJ$5:BJ387)),MAX(0,BH388-SUMIF($F$5:F387,F388,$BJ$5:BJ387)))</f>
        <v>0</v>
      </c>
      <c r="BK388" s="57">
        <f ca="1">(-SUMIF(AS:AS,AS388,BG:BG)+SUMIF(AS:AS,AS388,BJ:BJ))*(AP388=100)*AR388</f>
        <v>0</v>
      </c>
      <c r="BL388" s="57">
        <f ca="1">MAX(0,SUMIF(Invoice!A:A,F388,Invoice!B:B)-SUMIF(F:F,F388,BJ:BJ))*(COUNTIF(F:F,F388)=COUNTIF($F$5:F388,F388))</f>
        <v>0</v>
      </c>
    </row>
    <row r="389" spans="1:64" hidden="1">
      <c r="A389" s="43">
        <v>389</v>
      </c>
      <c r="B389" s="35" t="s">
        <v>147</v>
      </c>
      <c r="C389" s="35" t="s">
        <v>146</v>
      </c>
      <c r="D389" s="35">
        <v>2</v>
      </c>
      <c r="E389" s="35">
        <v>1390</v>
      </c>
      <c r="F389" s="64" t="s">
        <v>965</v>
      </c>
      <c r="G389" s="73" t="s">
        <v>966</v>
      </c>
      <c r="H389" s="35" t="s">
        <v>962</v>
      </c>
      <c r="I389" s="35" t="s">
        <v>54</v>
      </c>
      <c r="J389" s="35">
        <v>100</v>
      </c>
      <c r="K389" s="35" t="s">
        <v>150</v>
      </c>
      <c r="L389" s="35" t="s">
        <v>53</v>
      </c>
      <c r="M389" s="35">
        <v>4</v>
      </c>
      <c r="N389" s="35">
        <v>4</v>
      </c>
      <c r="O389" s="35">
        <v>1</v>
      </c>
      <c r="P389" s="35">
        <v>2</v>
      </c>
      <c r="Q389" s="35">
        <v>1</v>
      </c>
      <c r="R389" s="35" t="s">
        <v>73</v>
      </c>
      <c r="S389" s="35" t="s">
        <v>73</v>
      </c>
      <c r="T389" s="36">
        <v>44901</v>
      </c>
      <c r="U389" s="36">
        <v>2958465</v>
      </c>
      <c r="V389" s="35" t="s">
        <v>282</v>
      </c>
      <c r="W389" s="35" t="s">
        <v>145</v>
      </c>
      <c r="X389" s="35"/>
      <c r="Y389" s="35" t="s">
        <v>143</v>
      </c>
      <c r="Z389" s="35">
        <v>7589154</v>
      </c>
      <c r="AA389" s="35">
        <v>662</v>
      </c>
      <c r="AB389" s="35">
        <v>331</v>
      </c>
      <c r="AC389" s="35"/>
      <c r="AE389" s="51">
        <f>M389/O389</f>
        <v>4</v>
      </c>
      <c r="AG389" s="6" t="str">
        <f>C389</f>
        <v>90MB1BJ0-C1BAY0</v>
      </c>
      <c r="AH389" s="6" t="str">
        <f>IF($D389&lt;=AH$4,"",IF(AND($D388=AH$4,$D389&gt;AH$4),$F388,AH388))</f>
        <v>59MB1BJB-MB0A02S</v>
      </c>
      <c r="AI389" s="6" t="str">
        <f>IF($D389&lt;=AI$4,"",IF(AND($D388=AI$4,$D389&gt;AI$4),$F388,AI388))</f>
        <v/>
      </c>
      <c r="AJ389" s="6" t="str">
        <f>IF($D389&lt;=AJ$4,"",IF(AND($D388=AJ$4,$D389&gt;AJ$4),$F388,AJ388))</f>
        <v/>
      </c>
      <c r="AK389" s="6" t="str">
        <f>IF($D389&lt;=AK$4,"",IF(AND($D388=AK$4,$D389&gt;AK$4),$F388,AK388))</f>
        <v/>
      </c>
      <c r="AL389" s="6" t="str">
        <f>IF($D389&lt;=AL$4,"",IF(AND($D388=AL$4,$D389&gt;AL$4),$F388,AL388))</f>
        <v/>
      </c>
      <c r="AM389" s="6" t="str">
        <f>IF($D389&lt;=AM$4,"",IF(AND($D388=AM$4,$D389&gt;AM$4),$F388,AM388))</f>
        <v/>
      </c>
      <c r="AN389" s="6" t="str">
        <f>IF($D389&lt;=AN$4,"",IF(AND($D388=AN$4,$D389&gt;AN$4),$F388,AN388))</f>
        <v/>
      </c>
      <c r="AO389" s="6" t="str">
        <f>CONCATENATE(AG389," | ",AH389," | ",AI389," | ",AJ389," | ",AK389," | ",AL389," | ",AM389," | ",AN389)</f>
        <v xml:space="preserve">90MB1BJ0-C1BAY0 | 59MB1BJB-MB0A02S |  |  |  |  |  | </v>
      </c>
      <c r="AP389" s="6">
        <f>IF(TRIM(H389)="",100,J389)</f>
        <v>100</v>
      </c>
      <c r="AQ389" s="4"/>
      <c r="AR389" s="6" t="b">
        <f>NOT(TRIM(W389)&lt;&gt;"F")</f>
        <v>1</v>
      </c>
      <c r="AS389" s="6" t="str">
        <f>$B389&amp;" | "&amp;$AO389&amp;" | "&amp;IF(TRIM(H389)="","uniq"&amp;ROW(),TRIM(H389))</f>
        <v>461E | 90MB1BJ0-C1BAY0 | 59MB1BJB-MB0A02S |  |  |  |  |  |  | D9</v>
      </c>
      <c r="AT389" s="63">
        <f>IF(NOT(AR389),IF(TRIM($H389)="","Assembly","Phantom Alt"),VLOOKUP(F389,ZPCS04!B:G,6,0))</f>
        <v>1082</v>
      </c>
      <c r="AU389" s="7"/>
      <c r="AV389" s="38">
        <f ca="1">IF(TRIM($W389)="F",OFFSET($A$5,MATCH($AS389,$AS$5:$AS389,0)-1,0),$A389)</f>
        <v>387</v>
      </c>
      <c r="AW389" s="38">
        <f ca="1">IFERROR(OFFSET(ZPCS04!$A$1,MATCH(F389,ZPCS04!B:B,0)-1,0),100)</f>
        <v>2</v>
      </c>
      <c r="AX389" s="7"/>
      <c r="AY389" s="6" t="b">
        <f>SUMIF(AS:AS,AS389,AP:AP)=100</f>
        <v>1</v>
      </c>
      <c r="AZ389" s="6" t="b">
        <f>SUMIF(AS:AS,AS389,AE:AE)/COUNTIF(AS:AS,AS389)=AE389</f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>C389&amp;" | "&amp;F389</f>
        <v>90MB1BJ0-C1BAY0 | 10G212330214050</v>
      </c>
      <c r="BE389" s="55" t="str">
        <f ca="1">C389&amp;" | "&amp;OFFSET($AF389,0,8-COUNTBLANK($AG389:$AN389))</f>
        <v>90MB1BJ0-C1BAY0 | 59MB1BJB-MB0A02S</v>
      </c>
      <c r="BF389" s="57">
        <f ca="1">IFERROR(VLOOKUP($BE389,$BD$5:$BF388,3,0)*$AE389,VLOOKUP($C389,Demanda!$A:$B,2,0)*$AE389)*IF(AT389="Phantom Alt",$BC389,TRUE)</f>
        <v>4000</v>
      </c>
      <c r="BG389" s="57">
        <f ca="1">BF389*(AP389/100)</f>
        <v>4000</v>
      </c>
      <c r="BH389" s="57">
        <f>SUMIF(Invoice!A:A,F389,Invoice!B:B)</f>
        <v>0</v>
      </c>
      <c r="BI389" s="57">
        <f ca="1">SUMIF(AS:AS,AS389,BG:BG)</f>
        <v>4000</v>
      </c>
      <c r="BJ389" s="57">
        <f ca="1">MIN((BI389-SUMIF($AS$5:AS388,AS389,$BJ$5:BJ388)),MAX(0,BH389-SUMIF($F$5:F388,F389,$BJ$5:BJ388)))</f>
        <v>0</v>
      </c>
      <c r="BK389" s="57">
        <f ca="1">(-SUMIF(AS:AS,AS389,BG:BG)+SUMIF(AS:AS,AS389,BJ:BJ))*(AP389=100)*AR389</f>
        <v>0</v>
      </c>
      <c r="BL389" s="57">
        <f ca="1">MAX(0,SUMIF(Invoice!A:A,F389,Invoice!B:B)-SUMIF(F:F,F389,BJ:BJ))*(COUNTIF(F:F,F389)=COUNTIF($F$5:F389,F389))</f>
        <v>0</v>
      </c>
    </row>
    <row r="390" spans="1:64" hidden="1">
      <c r="A390" s="43">
        <v>390</v>
      </c>
      <c r="B390" s="35" t="s">
        <v>147</v>
      </c>
      <c r="C390" s="35" t="s">
        <v>146</v>
      </c>
      <c r="D390" s="35">
        <v>2</v>
      </c>
      <c r="E390" s="35">
        <v>1400</v>
      </c>
      <c r="F390" s="64" t="s">
        <v>967</v>
      </c>
      <c r="G390" s="73" t="s">
        <v>968</v>
      </c>
      <c r="H390" s="35" t="s">
        <v>969</v>
      </c>
      <c r="I390" s="35" t="s">
        <v>55</v>
      </c>
      <c r="J390" s="35">
        <v>0</v>
      </c>
      <c r="K390" s="35" t="s">
        <v>489</v>
      </c>
      <c r="L390" s="35" t="s">
        <v>53</v>
      </c>
      <c r="M390" s="35">
        <v>11</v>
      </c>
      <c r="N390" s="35"/>
      <c r="O390" s="35">
        <v>1</v>
      </c>
      <c r="P390" s="35">
        <v>2</v>
      </c>
      <c r="Q390" s="35">
        <v>2</v>
      </c>
      <c r="R390" s="35" t="s">
        <v>122</v>
      </c>
      <c r="S390" s="35" t="s">
        <v>122</v>
      </c>
      <c r="T390" s="36">
        <v>44901</v>
      </c>
      <c r="U390" s="36">
        <v>2958465</v>
      </c>
      <c r="V390" s="35" t="s">
        <v>282</v>
      </c>
      <c r="W390" s="35" t="s">
        <v>145</v>
      </c>
      <c r="X390" s="35"/>
      <c r="Y390" s="35" t="s">
        <v>143</v>
      </c>
      <c r="Z390" s="35">
        <v>7589154</v>
      </c>
      <c r="AA390" s="35">
        <v>670</v>
      </c>
      <c r="AB390" s="35">
        <v>335</v>
      </c>
      <c r="AC390" s="35"/>
      <c r="AE390" s="51">
        <f>M390/O390</f>
        <v>11</v>
      </c>
      <c r="AG390" s="6" t="str">
        <f>C390</f>
        <v>90MB1BJ0-C1BAY0</v>
      </c>
      <c r="AH390" s="6" t="str">
        <f>IF($D390&lt;=AH$4,"",IF(AND($D389=AH$4,$D390&gt;AH$4),$F389,AH389))</f>
        <v>59MB1BJB-MB0A02S</v>
      </c>
      <c r="AI390" s="6" t="str">
        <f>IF($D390&lt;=AI$4,"",IF(AND($D389=AI$4,$D390&gt;AI$4),$F389,AI389))</f>
        <v/>
      </c>
      <c r="AJ390" s="6" t="str">
        <f>IF($D390&lt;=AJ$4,"",IF(AND($D389=AJ$4,$D390&gt;AJ$4),$F389,AJ389))</f>
        <v/>
      </c>
      <c r="AK390" s="6" t="str">
        <f>IF($D390&lt;=AK$4,"",IF(AND($D389=AK$4,$D390&gt;AK$4),$F389,AK389))</f>
        <v/>
      </c>
      <c r="AL390" s="6" t="str">
        <f>IF($D390&lt;=AL$4,"",IF(AND($D389=AL$4,$D390&gt;AL$4),$F389,AL389))</f>
        <v/>
      </c>
      <c r="AM390" s="6" t="str">
        <f>IF($D390&lt;=AM$4,"",IF(AND($D389=AM$4,$D390&gt;AM$4),$F389,AM389))</f>
        <v/>
      </c>
      <c r="AN390" s="6" t="str">
        <f>IF($D390&lt;=AN$4,"",IF(AND($D389=AN$4,$D390&gt;AN$4),$F389,AN389))</f>
        <v/>
      </c>
      <c r="AO390" s="6" t="str">
        <f>CONCATENATE(AG390," | ",AH390," | ",AI390," | ",AJ390," | ",AK390," | ",AL390," | ",AM390," | ",AN390)</f>
        <v xml:space="preserve">90MB1BJ0-C1BAY0 | 59MB1BJB-MB0A02S |  |  |  |  |  | </v>
      </c>
      <c r="AP390" s="6">
        <f>IF(TRIM(H390)="",100,J390)</f>
        <v>0</v>
      </c>
      <c r="AQ390" s="4"/>
      <c r="AR390" s="6" t="b">
        <f>NOT(TRIM(W390)&lt;&gt;"F")</f>
        <v>1</v>
      </c>
      <c r="AS390" s="6" t="str">
        <f>$B390&amp;" | "&amp;$AO390&amp;" | "&amp;IF(TRIM(H390)="","uniq"&amp;ROW(),TRIM(H390))</f>
        <v>461E | 90MB1BJ0-C1BAY0 | 59MB1BJB-MB0A02S |  |  |  |  |  |  | E0</v>
      </c>
      <c r="AT390" s="63">
        <f>IF(NOT(AR390),IF(TRIM($H390)="","Assembly","Phantom Alt"),VLOOKUP(F390,ZPCS04!B:G,6,0))</f>
        <v>682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1.9999998589799999</v>
      </c>
      <c r="AX390" s="7"/>
      <c r="AY390" s="6" t="b">
        <f>SUMIF(AS:AS,AS390,AP:AP)=100</f>
        <v>1</v>
      </c>
      <c r="AZ390" s="6" t="b">
        <f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>C390&amp;" | "&amp;F390</f>
        <v>90MB1BJ0-C1BAY0 | 10G21233R014010</v>
      </c>
      <c r="BE390" s="55" t="str">
        <f ca="1">C390&amp;" | "&amp;OFFSET($AF390,0,8-COUNTBLANK($AG390:$AN390))</f>
        <v>90MB1BJ0-C1BAY0 | 59MB1BJB-MB0A02S</v>
      </c>
      <c r="BF390" s="57">
        <f ca="1">IFERROR(VLOOKUP($BE390,$BD$5:$BF389,3,0)*$AE390,VLOOKUP($C390,Demanda!$A:$B,2,0)*$AE390)*IF(AT390="Phantom Alt",$BC390,TRUE)</f>
        <v>11000</v>
      </c>
      <c r="BG390" s="57">
        <f ca="1">BF390*(AP390/100)</f>
        <v>0</v>
      </c>
      <c r="BH390" s="57">
        <f>SUMIF(Invoice!A:A,F390,Invoice!B:B)</f>
        <v>14102</v>
      </c>
      <c r="BI390" s="57">
        <f ca="1">SUMIF(AS:AS,AS390,BG:BG)</f>
        <v>11000</v>
      </c>
      <c r="BJ390" s="57">
        <f ca="1">MIN((BI390-SUMIF($AS$5:AS389,AS390,$BJ$5:BJ389)),MAX(0,BH390-SUMIF($F$5:F389,F390,$BJ$5:BJ389)))</f>
        <v>11000</v>
      </c>
      <c r="BK390" s="57">
        <f ca="1">(-SUMIF(AS:AS,AS390,BG:BG)+SUMIF(AS:AS,AS390,BJ:BJ))*(AP390=100)*AR390</f>
        <v>0</v>
      </c>
      <c r="BL390" s="57">
        <f ca="1">MAX(0,SUMIF(Invoice!A:A,F390,Invoice!B:B)-SUMIF(F:F,F390,BJ:BJ))*(COUNTIF(F:F,F390)=COUNTIF($F$5:F390,F390))</f>
        <v>3102</v>
      </c>
    </row>
    <row r="391" spans="1:64" hidden="1">
      <c r="A391" s="43">
        <v>391</v>
      </c>
      <c r="B391" s="35" t="s">
        <v>147</v>
      </c>
      <c r="C391" s="35" t="s">
        <v>146</v>
      </c>
      <c r="D391" s="35">
        <v>2</v>
      </c>
      <c r="E391" s="35">
        <v>1400</v>
      </c>
      <c r="F391" s="64" t="s">
        <v>970</v>
      </c>
      <c r="G391" s="73" t="s">
        <v>971</v>
      </c>
      <c r="H391" s="35" t="s">
        <v>969</v>
      </c>
      <c r="I391" s="35" t="s">
        <v>55</v>
      </c>
      <c r="J391" s="35">
        <v>0</v>
      </c>
      <c r="K391" s="35" t="s">
        <v>489</v>
      </c>
      <c r="L391" s="35" t="s">
        <v>53</v>
      </c>
      <c r="M391" s="35">
        <v>11</v>
      </c>
      <c r="N391" s="35"/>
      <c r="O391" s="35">
        <v>1</v>
      </c>
      <c r="P391" s="35">
        <v>2</v>
      </c>
      <c r="Q391" s="35">
        <v>3</v>
      </c>
      <c r="R391" s="35" t="s">
        <v>122</v>
      </c>
      <c r="S391" s="35" t="s">
        <v>122</v>
      </c>
      <c r="T391" s="36">
        <v>44901</v>
      </c>
      <c r="U391" s="36">
        <v>2958465</v>
      </c>
      <c r="V391" s="35" t="s">
        <v>282</v>
      </c>
      <c r="W391" s="35" t="s">
        <v>145</v>
      </c>
      <c r="X391" s="35"/>
      <c r="Y391" s="35" t="s">
        <v>143</v>
      </c>
      <c r="Z391" s="35">
        <v>7589154</v>
      </c>
      <c r="AA391" s="35">
        <v>672</v>
      </c>
      <c r="AB391" s="35">
        <v>336</v>
      </c>
      <c r="AC391" s="35"/>
      <c r="AE391" s="51">
        <f>M391/O391</f>
        <v>11</v>
      </c>
      <c r="AG391" s="6" t="str">
        <f>C391</f>
        <v>90MB1BJ0-C1BAY0</v>
      </c>
      <c r="AH391" s="6" t="str">
        <f>IF($D391&lt;=AH$4,"",IF(AND($D390=AH$4,$D391&gt;AH$4),$F390,AH390))</f>
        <v>59MB1BJB-MB0A02S</v>
      </c>
      <c r="AI391" s="6" t="str">
        <f>IF($D391&lt;=AI$4,"",IF(AND($D390=AI$4,$D391&gt;AI$4),$F390,AI390))</f>
        <v/>
      </c>
      <c r="AJ391" s="6" t="str">
        <f>IF($D391&lt;=AJ$4,"",IF(AND($D390=AJ$4,$D391&gt;AJ$4),$F390,AJ390))</f>
        <v/>
      </c>
      <c r="AK391" s="6" t="str">
        <f>IF($D391&lt;=AK$4,"",IF(AND($D390=AK$4,$D391&gt;AK$4),$F390,AK390))</f>
        <v/>
      </c>
      <c r="AL391" s="6" t="str">
        <f>IF($D391&lt;=AL$4,"",IF(AND($D390=AL$4,$D391&gt;AL$4),$F390,AL390))</f>
        <v/>
      </c>
      <c r="AM391" s="6" t="str">
        <f>IF($D391&lt;=AM$4,"",IF(AND($D390=AM$4,$D391&gt;AM$4),$F390,AM390))</f>
        <v/>
      </c>
      <c r="AN391" s="6" t="str">
        <f>IF($D391&lt;=AN$4,"",IF(AND($D390=AN$4,$D391&gt;AN$4),$F390,AN390))</f>
        <v/>
      </c>
      <c r="AO391" s="6" t="str">
        <f>CONCATENATE(AG391," | ",AH391," | ",AI391," | ",AJ391," | ",AK391," | ",AL391," | ",AM391," | ",AN391)</f>
        <v xml:space="preserve">90MB1BJ0-C1BAY0 | 59MB1BJB-MB0A02S |  |  |  |  |  | </v>
      </c>
      <c r="AP391" s="6">
        <f>IF(TRIM(H391)="",100,J391)</f>
        <v>0</v>
      </c>
      <c r="AQ391" s="4"/>
      <c r="AR391" s="6" t="b">
        <f>NOT(TRIM(W391)&lt;&gt;"F")</f>
        <v>1</v>
      </c>
      <c r="AS391" s="6" t="str">
        <f>$B391&amp;" | "&amp;$AO391&amp;" | "&amp;IF(TRIM(H391)="","uniq"&amp;ROW(),TRIM(H391))</f>
        <v>461E | 90MB1BJ0-C1BAY0 | 59MB1BJB-MB0A02S |  |  |  |  |  |  | E0</v>
      </c>
      <c r="AT391" s="63">
        <f>IF(NOT(AR391),IF(TRIM($H391)="","Assembly","Phantom Alt"),VLOOKUP(F391,ZPCS04!B:G,6,0))</f>
        <v>682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>SUMIF(AS:AS,AS391,AP:AP)=100</f>
        <v>1</v>
      </c>
      <c r="AZ391" s="6" t="b">
        <f>SUMIF(AS:AS,AS391,AE:AE)/COUNTIF(AS:AS,AS391)=AE391</f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>C391&amp;" | "&amp;F391</f>
        <v>90MB1BJ0-C1BAY0 | 10G21233R014020</v>
      </c>
      <c r="BE391" s="55" t="str">
        <f ca="1">C391&amp;" | "&amp;OFFSET($AF391,0,8-COUNTBLANK($AG391:$AN391))</f>
        <v>90MB1BJ0-C1BAY0 | 59MB1BJB-MB0A02S</v>
      </c>
      <c r="BF391" s="57">
        <f ca="1">IFERROR(VLOOKUP($BE391,$BD$5:$BF390,3,0)*$AE391,VLOOKUP($C391,Demanda!$A:$B,2,0)*$AE391)*IF(AT391="Phantom Alt",$BC391,TRUE)</f>
        <v>11000</v>
      </c>
      <c r="BG391" s="57">
        <f ca="1">BF391*(AP391/100)</f>
        <v>0</v>
      </c>
      <c r="BH391" s="57">
        <f>SUMIF(Invoice!A:A,F391,Invoice!B:B)</f>
        <v>0</v>
      </c>
      <c r="BI391" s="57">
        <f ca="1">SUMIF(AS:AS,AS391,BG:BG)</f>
        <v>11000</v>
      </c>
      <c r="BJ391" s="57">
        <f ca="1">MIN((BI391-SUMIF($AS$5:AS390,AS391,$BJ$5:BJ390)),MAX(0,BH391-SUMIF($F$5:F390,F391,$BJ$5:BJ390)))</f>
        <v>0</v>
      </c>
      <c r="BK391" s="57">
        <f ca="1">(-SUMIF(AS:AS,AS391,BG:BG)+SUMIF(AS:AS,AS391,BJ:BJ))*(AP391=100)*AR391</f>
        <v>0</v>
      </c>
      <c r="BL391" s="57">
        <f ca="1">MAX(0,SUMIF(Invoice!A:A,F391,Invoice!B:B)-SUMIF(F:F,F391,BJ:BJ))*(COUNTIF(F:F,F391)=COUNTIF($F$5:F391,F391))</f>
        <v>0</v>
      </c>
    </row>
    <row r="392" spans="1:64" hidden="1">
      <c r="A392" s="43">
        <v>392</v>
      </c>
      <c r="B392" s="35" t="s">
        <v>147</v>
      </c>
      <c r="C392" s="35" t="s">
        <v>146</v>
      </c>
      <c r="D392" s="35">
        <v>2</v>
      </c>
      <c r="E392" s="35">
        <v>1400</v>
      </c>
      <c r="F392" s="64" t="s">
        <v>972</v>
      </c>
      <c r="G392" s="73" t="s">
        <v>973</v>
      </c>
      <c r="H392" s="35" t="s">
        <v>969</v>
      </c>
      <c r="I392" s="35" t="s">
        <v>54</v>
      </c>
      <c r="J392" s="35">
        <v>100</v>
      </c>
      <c r="K392" s="35" t="s">
        <v>150</v>
      </c>
      <c r="L392" s="35" t="s">
        <v>53</v>
      </c>
      <c r="M392" s="35">
        <v>11</v>
      </c>
      <c r="N392" s="35">
        <v>11</v>
      </c>
      <c r="O392" s="35">
        <v>1</v>
      </c>
      <c r="P392" s="35">
        <v>2</v>
      </c>
      <c r="Q392" s="35">
        <v>1</v>
      </c>
      <c r="R392" s="35" t="s">
        <v>73</v>
      </c>
      <c r="S392" s="35" t="s">
        <v>73</v>
      </c>
      <c r="T392" s="36">
        <v>44901</v>
      </c>
      <c r="U392" s="36">
        <v>2958465</v>
      </c>
      <c r="V392" s="35" t="s">
        <v>282</v>
      </c>
      <c r="W392" s="35" t="s">
        <v>145</v>
      </c>
      <c r="X392" s="35"/>
      <c r="Y392" s="35" t="s">
        <v>143</v>
      </c>
      <c r="Z392" s="35">
        <v>7589154</v>
      </c>
      <c r="AA392" s="35">
        <v>668</v>
      </c>
      <c r="AB392" s="35">
        <v>334</v>
      </c>
      <c r="AC392" s="35"/>
      <c r="AE392" s="51">
        <f>M392/O392</f>
        <v>11</v>
      </c>
      <c r="AG392" s="6" t="str">
        <f>C392</f>
        <v>90MB1BJ0-C1BAY0</v>
      </c>
      <c r="AH392" s="6" t="str">
        <f>IF($D392&lt;=AH$4,"",IF(AND($D391=AH$4,$D392&gt;AH$4),$F391,AH391))</f>
        <v>59MB1BJB-MB0A02S</v>
      </c>
      <c r="AI392" s="6" t="str">
        <f>IF($D392&lt;=AI$4,"",IF(AND($D391=AI$4,$D392&gt;AI$4),$F391,AI391))</f>
        <v/>
      </c>
      <c r="AJ392" s="6" t="str">
        <f>IF($D392&lt;=AJ$4,"",IF(AND($D391=AJ$4,$D392&gt;AJ$4),$F391,AJ391))</f>
        <v/>
      </c>
      <c r="AK392" s="6" t="str">
        <f>IF($D392&lt;=AK$4,"",IF(AND($D391=AK$4,$D392&gt;AK$4),$F391,AK391))</f>
        <v/>
      </c>
      <c r="AL392" s="6" t="str">
        <f>IF($D392&lt;=AL$4,"",IF(AND($D391=AL$4,$D392&gt;AL$4),$F391,AL391))</f>
        <v/>
      </c>
      <c r="AM392" s="6" t="str">
        <f>IF($D392&lt;=AM$4,"",IF(AND($D391=AM$4,$D392&gt;AM$4),$F391,AM391))</f>
        <v/>
      </c>
      <c r="AN392" s="6" t="str">
        <f>IF($D392&lt;=AN$4,"",IF(AND($D391=AN$4,$D392&gt;AN$4),$F391,AN391))</f>
        <v/>
      </c>
      <c r="AO392" s="6" t="str">
        <f>CONCATENATE(AG392," | ",AH392," | ",AI392," | ",AJ392," | ",AK392," | ",AL392," | ",AM392," | ",AN392)</f>
        <v xml:space="preserve">90MB1BJ0-C1BAY0 | 59MB1BJB-MB0A02S |  |  |  |  |  | </v>
      </c>
      <c r="AP392" s="6">
        <f>IF(TRIM(H392)="",100,J392)</f>
        <v>100</v>
      </c>
      <c r="AQ392" s="4"/>
      <c r="AR392" s="6" t="b">
        <f>NOT(TRIM(W392)&lt;&gt;"F")</f>
        <v>1</v>
      </c>
      <c r="AS392" s="6" t="str">
        <f>$B392&amp;" | "&amp;$AO392&amp;" | "&amp;IF(TRIM(H392)="","uniq"&amp;ROW(),TRIM(H392))</f>
        <v>461E | 90MB1BJ0-C1BAY0 | 59MB1BJB-MB0A02S |  |  |  |  |  |  | E0</v>
      </c>
      <c r="AT392" s="63">
        <f>IF(NOT(AR392),IF(TRIM($H392)="","Assembly","Phantom Alt"),VLOOKUP(F392,ZPCS04!B:G,6,0))</f>
        <v>682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>SUMIF(AS:AS,AS392,AP:AP)=100</f>
        <v>1</v>
      </c>
      <c r="AZ392" s="6" t="b">
        <f>SUMIF(AS:AS,AS392,AE:AE)/COUNTIF(AS:AS,AS392)=AE392</f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>C392&amp;" | "&amp;F392</f>
        <v>90MB1BJ0-C1BAY0 | 10G21233R014050</v>
      </c>
      <c r="BE392" s="55" t="str">
        <f ca="1">C392&amp;" | "&amp;OFFSET($AF392,0,8-COUNTBLANK($AG392:$AN392))</f>
        <v>90MB1BJ0-C1BAY0 | 59MB1BJB-MB0A02S</v>
      </c>
      <c r="BF392" s="57">
        <f ca="1">IFERROR(VLOOKUP($BE392,$BD$5:$BF391,3,0)*$AE392,VLOOKUP($C392,Demanda!$A:$B,2,0)*$AE392)*IF(AT392="Phantom Alt",$BC392,TRUE)</f>
        <v>11000</v>
      </c>
      <c r="BG392" s="57">
        <f ca="1">BF392*(AP392/100)</f>
        <v>11000</v>
      </c>
      <c r="BH392" s="57">
        <f>SUMIF(Invoice!A:A,F392,Invoice!B:B)</f>
        <v>0</v>
      </c>
      <c r="BI392" s="57">
        <f ca="1">SUMIF(AS:AS,AS392,BG:BG)</f>
        <v>11000</v>
      </c>
      <c r="BJ392" s="57">
        <f ca="1">MIN((BI392-SUMIF($AS$5:AS391,AS392,$BJ$5:BJ391)),MAX(0,BH392-SUMIF($F$5:F391,F392,$BJ$5:BJ391)))</f>
        <v>0</v>
      </c>
      <c r="BK392" s="57">
        <f ca="1">(-SUMIF(AS:AS,AS392,BG:BG)+SUMIF(AS:AS,AS392,BJ:BJ))*(AP392=100)*AR392</f>
        <v>0</v>
      </c>
      <c r="BL392" s="57">
        <f ca="1">MAX(0,SUMIF(Invoice!A:A,F392,Invoice!B:B)-SUMIF(F:F,F392,BJ:BJ))*(COUNTIF(F:F,F392)=COUNTIF($F$5:F392,F392))</f>
        <v>0</v>
      </c>
    </row>
    <row r="393" spans="1:64" hidden="1">
      <c r="A393" s="43">
        <v>395</v>
      </c>
      <c r="B393" s="35" t="s">
        <v>147</v>
      </c>
      <c r="C393" s="35" t="s">
        <v>146</v>
      </c>
      <c r="D393" s="35">
        <v>2</v>
      </c>
      <c r="E393" s="35">
        <v>1410</v>
      </c>
      <c r="F393" s="64" t="s">
        <v>979</v>
      </c>
      <c r="G393" s="73" t="s">
        <v>980</v>
      </c>
      <c r="H393" s="35" t="s">
        <v>976</v>
      </c>
      <c r="I393" s="35" t="s">
        <v>54</v>
      </c>
      <c r="J393" s="35">
        <v>100</v>
      </c>
      <c r="K393" s="35" t="s">
        <v>150</v>
      </c>
      <c r="L393" s="35" t="s">
        <v>53</v>
      </c>
      <c r="M393" s="35">
        <v>1</v>
      </c>
      <c r="N393" s="35">
        <v>1</v>
      </c>
      <c r="O393" s="35">
        <v>1</v>
      </c>
      <c r="P393" s="35">
        <v>2</v>
      </c>
      <c r="Q393" s="35">
        <v>1</v>
      </c>
      <c r="R393" s="35" t="s">
        <v>73</v>
      </c>
      <c r="S393" s="35" t="s">
        <v>73</v>
      </c>
      <c r="T393" s="36">
        <v>44901</v>
      </c>
      <c r="U393" s="36">
        <v>2958465</v>
      </c>
      <c r="V393" s="35" t="s">
        <v>282</v>
      </c>
      <c r="W393" s="35" t="s">
        <v>145</v>
      </c>
      <c r="X393" s="35"/>
      <c r="Y393" s="35" t="s">
        <v>143</v>
      </c>
      <c r="Z393" s="35">
        <v>7589154</v>
      </c>
      <c r="AA393" s="35">
        <v>674</v>
      </c>
      <c r="AB393" s="35">
        <v>337</v>
      </c>
      <c r="AC393" s="35"/>
      <c r="AE393" s="51">
        <f>M393/O393</f>
        <v>1</v>
      </c>
      <c r="AG393" s="6" t="str">
        <f>C393</f>
        <v>90MB1BJ0-C1BAY0</v>
      </c>
      <c r="AH393" s="6" t="str">
        <f>IF($D393&lt;=AH$4,"",IF(AND($D392=AH$4,$D393&gt;AH$4),$F392,AH392))</f>
        <v>59MB1BJB-MB0A02S</v>
      </c>
      <c r="AI393" s="6" t="str">
        <f>IF($D393&lt;=AI$4,"",IF(AND($D392=AI$4,$D393&gt;AI$4),$F392,AI392))</f>
        <v/>
      </c>
      <c r="AJ393" s="6" t="str">
        <f>IF($D393&lt;=AJ$4,"",IF(AND($D392=AJ$4,$D393&gt;AJ$4),$F392,AJ392))</f>
        <v/>
      </c>
      <c r="AK393" s="6" t="str">
        <f>IF($D393&lt;=AK$4,"",IF(AND($D392=AK$4,$D393&gt;AK$4),$F392,AK392))</f>
        <v/>
      </c>
      <c r="AL393" s="6" t="str">
        <f>IF($D393&lt;=AL$4,"",IF(AND($D392=AL$4,$D393&gt;AL$4),$F392,AL392))</f>
        <v/>
      </c>
      <c r="AM393" s="6" t="str">
        <f>IF($D393&lt;=AM$4,"",IF(AND($D392=AM$4,$D393&gt;AM$4),$F392,AM392))</f>
        <v/>
      </c>
      <c r="AN393" s="6" t="str">
        <f>IF($D393&lt;=AN$4,"",IF(AND($D392=AN$4,$D393&gt;AN$4),$F392,AN392))</f>
        <v/>
      </c>
      <c r="AO393" s="6" t="str">
        <f>CONCATENATE(AG393," | ",AH393," | ",AI393," | ",AJ393," | ",AK393," | ",AL393," | ",AM393," | ",AN393)</f>
        <v xml:space="preserve">90MB1BJ0-C1BAY0 | 59MB1BJB-MB0A02S |  |  |  |  |  | </v>
      </c>
      <c r="AP393" s="6">
        <f>IF(TRIM(H393)="",100,J393)</f>
        <v>100</v>
      </c>
      <c r="AQ393" s="4"/>
      <c r="AR393" s="6" t="b">
        <f>NOT(TRIM(W393)&lt;&gt;"F")</f>
        <v>1</v>
      </c>
      <c r="AS393" s="6" t="str">
        <f>$B393&amp;" | "&amp;$AO393&amp;" | "&amp;IF(TRIM(H393)="","uniq"&amp;ROW(),TRIM(H393))</f>
        <v>461E | 90MB1BJ0-C1BAY0 | 59MB1BJB-MB0A02S |  |  |  |  |  |  | E1</v>
      </c>
      <c r="AT393" s="63">
        <f>IF(NOT(AR393),IF(TRIM($H393)="","Assembly","Phantom Alt"),VLOOKUP(F393,ZPCS04!B:G,6,0))</f>
        <v>1162</v>
      </c>
      <c r="AU393" s="7"/>
      <c r="AV393" s="38">
        <f ca="1">IF(TRIM($W393)="F",OFFSET($A$5,MATCH($AS393,$AS$5:$AS393,0)-1,0),$A393)</f>
        <v>395</v>
      </c>
      <c r="AW393" s="38">
        <f ca="1">IFERROR(OFFSET(ZPCS04!$A$1,MATCH(F393,ZPCS04!B:B,0)-1,0),100)</f>
        <v>1.9999999000000002</v>
      </c>
      <c r="AX393" s="7"/>
      <c r="AY393" s="6" t="b">
        <f>SUMIF(AS:AS,AS393,AP:AP)=100</f>
        <v>1</v>
      </c>
      <c r="AZ393" s="6" t="b">
        <f>SUMIF(AS:AS,AS393,AE:AE)/COUNTIF(AS:AS,AS393)=AE393</f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>C393&amp;" | "&amp;F393</f>
        <v>90MB1BJ0-C1BAY0 | 10G212340114050</v>
      </c>
      <c r="BE393" s="55" t="str">
        <f ca="1">C393&amp;" | "&amp;OFFSET($AF393,0,8-COUNTBLANK($AG393:$AN393))</f>
        <v>90MB1BJ0-C1BAY0 | 59MB1BJB-MB0A02S</v>
      </c>
      <c r="BF393" s="57">
        <f ca="1">IFERROR(VLOOKUP($BE393,$BD$5:$BF392,3,0)*$AE393,VLOOKUP($C393,Demanda!$A:$B,2,0)*$AE393)*IF(AT393="Phantom Alt",$BC393,TRUE)</f>
        <v>1000</v>
      </c>
      <c r="BG393" s="57">
        <f ca="1">BF393*(AP393/100)</f>
        <v>1000</v>
      </c>
      <c r="BH393" s="57">
        <f>SUMIF(Invoice!A:A,F393,Invoice!B:B)</f>
        <v>10000</v>
      </c>
      <c r="BI393" s="57">
        <f ca="1">SUMIF(AS:AS,AS393,BG:BG)</f>
        <v>1000</v>
      </c>
      <c r="BJ393" s="57">
        <f ca="1">MIN((BI393-SUMIF($AS$5:AS392,AS393,$BJ$5:BJ392)),MAX(0,BH393-SUMIF($F$5:F392,F393,$BJ$5:BJ392)))</f>
        <v>1000</v>
      </c>
      <c r="BK393" s="57">
        <f ca="1">(-SUMIF(AS:AS,AS393,BG:BG)+SUMIF(AS:AS,AS393,BJ:BJ))*(AP393=100)*AR393</f>
        <v>0</v>
      </c>
      <c r="BL393" s="57">
        <f ca="1">MAX(0,SUMIF(Invoice!A:A,F393,Invoice!B:B)-SUMIF(F:F,F393,BJ:BJ))*(COUNTIF(F:F,F393)=COUNTIF($F$5:F393,F393))</f>
        <v>9000</v>
      </c>
    </row>
    <row r="394" spans="1:64" hidden="1">
      <c r="A394" s="43">
        <v>393</v>
      </c>
      <c r="B394" s="35" t="s">
        <v>147</v>
      </c>
      <c r="C394" s="35" t="s">
        <v>146</v>
      </c>
      <c r="D394" s="35">
        <v>2</v>
      </c>
      <c r="E394" s="35">
        <v>1410</v>
      </c>
      <c r="F394" s="64" t="s">
        <v>974</v>
      </c>
      <c r="G394" s="73" t="s">
        <v>975</v>
      </c>
      <c r="H394" s="35" t="s">
        <v>976</v>
      </c>
      <c r="I394" s="35" t="s">
        <v>55</v>
      </c>
      <c r="J394" s="35">
        <v>0</v>
      </c>
      <c r="K394" s="35" t="s">
        <v>150</v>
      </c>
      <c r="L394" s="35" t="s">
        <v>53</v>
      </c>
      <c r="M394" s="35">
        <v>1</v>
      </c>
      <c r="N394" s="35"/>
      <c r="O394" s="35">
        <v>1</v>
      </c>
      <c r="P394" s="35">
        <v>2</v>
      </c>
      <c r="Q394" s="35">
        <v>3</v>
      </c>
      <c r="R394" s="35" t="s">
        <v>73</v>
      </c>
      <c r="S394" s="35" t="s">
        <v>73</v>
      </c>
      <c r="T394" s="36">
        <v>44901</v>
      </c>
      <c r="U394" s="36">
        <v>2958465</v>
      </c>
      <c r="V394" s="35" t="s">
        <v>282</v>
      </c>
      <c r="W394" s="35" t="s">
        <v>145</v>
      </c>
      <c r="X394" s="35"/>
      <c r="Y394" s="35" t="s">
        <v>143</v>
      </c>
      <c r="Z394" s="35">
        <v>7589154</v>
      </c>
      <c r="AA394" s="35">
        <v>678</v>
      </c>
      <c r="AB394" s="35">
        <v>339</v>
      </c>
      <c r="AC394" s="35"/>
      <c r="AE394" s="51">
        <f>M394/O394</f>
        <v>1</v>
      </c>
      <c r="AG394" s="6" t="str">
        <f>C394</f>
        <v>90MB1BJ0-C1BAY0</v>
      </c>
      <c r="AH394" s="6" t="str">
        <f>IF($D394&lt;=AH$4,"",IF(AND($D393=AH$4,$D394&gt;AH$4),$F393,AH393))</f>
        <v>59MB1BJB-MB0A02S</v>
      </c>
      <c r="AI394" s="6" t="str">
        <f>IF($D394&lt;=AI$4,"",IF(AND($D393=AI$4,$D394&gt;AI$4),$F393,AI393))</f>
        <v/>
      </c>
      <c r="AJ394" s="6" t="str">
        <f>IF($D394&lt;=AJ$4,"",IF(AND($D393=AJ$4,$D394&gt;AJ$4),$F393,AJ393))</f>
        <v/>
      </c>
      <c r="AK394" s="6" t="str">
        <f>IF($D394&lt;=AK$4,"",IF(AND($D393=AK$4,$D394&gt;AK$4),$F393,AK393))</f>
        <v/>
      </c>
      <c r="AL394" s="6" t="str">
        <f>IF($D394&lt;=AL$4,"",IF(AND($D393=AL$4,$D394&gt;AL$4),$F393,AL393))</f>
        <v/>
      </c>
      <c r="AM394" s="6" t="str">
        <f>IF($D394&lt;=AM$4,"",IF(AND($D393=AM$4,$D394&gt;AM$4),$F393,AM393))</f>
        <v/>
      </c>
      <c r="AN394" s="6" t="str">
        <f>IF($D394&lt;=AN$4,"",IF(AND($D393=AN$4,$D394&gt;AN$4),$F393,AN393))</f>
        <v/>
      </c>
      <c r="AO394" s="6" t="str">
        <f>CONCATENATE(AG394," | ",AH394," | ",AI394," | ",AJ394," | ",AK394," | ",AL394," | ",AM394," | ",AN394)</f>
        <v xml:space="preserve">90MB1BJ0-C1BAY0 | 59MB1BJB-MB0A02S |  |  |  |  |  | </v>
      </c>
      <c r="AP394" s="6">
        <f>IF(TRIM(H394)="",100,J394)</f>
        <v>0</v>
      </c>
      <c r="AQ394" s="4"/>
      <c r="AR394" s="6" t="b">
        <f>NOT(TRIM(W394)&lt;&gt;"F")</f>
        <v>1</v>
      </c>
      <c r="AS394" s="6" t="str">
        <f>$B394&amp;" | "&amp;$AO394&amp;" | "&amp;IF(TRIM(H394)="","uniq"&amp;ROW(),TRIM(H394))</f>
        <v>461E | 90MB1BJ0-C1BAY0 | 59MB1BJB-MB0A02S |  |  |  |  |  |  | E1</v>
      </c>
      <c r="AT394" s="63">
        <f>IF(NOT(AR394),IF(TRIM($H394)="","Assembly","Phantom Alt"),VLOOKUP(F394,ZPCS04!B:G,6,0))</f>
        <v>1162</v>
      </c>
      <c r="AU394" s="7"/>
      <c r="AV394" s="38">
        <f ca="1">IF(TRIM($W394)="F",OFFSET($A$5,MATCH($AS394,$AS$5:$AS394,0)-1,0),$A394)</f>
        <v>395</v>
      </c>
      <c r="AW394" s="38">
        <f ca="1">IFERROR(OFFSET(ZPCS04!$A$1,MATCH(F394,ZPCS04!B:B,0)-1,0),100)</f>
        <v>2</v>
      </c>
      <c r="AX394" s="7"/>
      <c r="AY394" s="6" t="b">
        <f>SUMIF(AS:AS,AS394,AP:AP)=100</f>
        <v>1</v>
      </c>
      <c r="AZ394" s="6" t="b">
        <f>SUMIF(AS:AS,AS394,AE:AE)/COUNTIF(AS:AS,AS394)=AE394</f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>C394&amp;" | "&amp;F394</f>
        <v>90MB1BJ0-C1BAY0 | 10G212340114010</v>
      </c>
      <c r="BE394" s="55" t="str">
        <f ca="1">C394&amp;" | "&amp;OFFSET($AF394,0,8-COUNTBLANK($AG394:$AN394))</f>
        <v>90MB1BJ0-C1BAY0 | 59MB1BJB-MB0A02S</v>
      </c>
      <c r="BF394" s="57">
        <f ca="1">IFERROR(VLOOKUP($BE394,$BD$5:$BF393,3,0)*$AE394,VLOOKUP($C394,Demanda!$A:$B,2,0)*$AE394)*IF(AT394="Phantom Alt",$BC394,TRUE)</f>
        <v>1000</v>
      </c>
      <c r="BG394" s="57">
        <f ca="1">BF394*(AP394/100)</f>
        <v>0</v>
      </c>
      <c r="BH394" s="57">
        <f>SUMIF(Invoice!A:A,F394,Invoice!B:B)</f>
        <v>0</v>
      </c>
      <c r="BI394" s="57">
        <f ca="1">SUMIF(AS:AS,AS394,BG:BG)</f>
        <v>1000</v>
      </c>
      <c r="BJ394" s="57">
        <f ca="1">MIN((BI394-SUMIF($AS$5:AS393,AS394,$BJ$5:BJ393)),MAX(0,BH394-SUMIF($F$5:F393,F394,$BJ$5:BJ393)))</f>
        <v>0</v>
      </c>
      <c r="BK394" s="57">
        <f ca="1">(-SUMIF(AS:AS,AS394,BG:BG)+SUMIF(AS:AS,AS394,BJ:BJ))*(AP394=100)*AR394</f>
        <v>0</v>
      </c>
      <c r="BL394" s="57">
        <f ca="1">MAX(0,SUMIF(Invoice!A:A,F394,Invoice!B:B)-SUMIF(F:F,F394,BJ:BJ))*(COUNTIF(F:F,F394)=COUNTIF($F$5:F394,F394))</f>
        <v>0</v>
      </c>
    </row>
    <row r="395" spans="1:64" hidden="1">
      <c r="A395" s="43">
        <v>394</v>
      </c>
      <c r="B395" s="35" t="s">
        <v>147</v>
      </c>
      <c r="C395" s="35" t="s">
        <v>146</v>
      </c>
      <c r="D395" s="35">
        <v>2</v>
      </c>
      <c r="E395" s="35">
        <v>1410</v>
      </c>
      <c r="F395" s="64" t="s">
        <v>977</v>
      </c>
      <c r="G395" s="73" t="s">
        <v>978</v>
      </c>
      <c r="H395" s="35" t="s">
        <v>976</v>
      </c>
      <c r="I395" s="35" t="s">
        <v>55</v>
      </c>
      <c r="J395" s="35">
        <v>0</v>
      </c>
      <c r="K395" s="35" t="s">
        <v>150</v>
      </c>
      <c r="L395" s="35" t="s">
        <v>53</v>
      </c>
      <c r="M395" s="35">
        <v>1</v>
      </c>
      <c r="N395" s="35"/>
      <c r="O395" s="35">
        <v>1</v>
      </c>
      <c r="P395" s="35">
        <v>2</v>
      </c>
      <c r="Q395" s="35">
        <v>2</v>
      </c>
      <c r="R395" s="35" t="s">
        <v>73</v>
      </c>
      <c r="S395" s="35" t="s">
        <v>73</v>
      </c>
      <c r="T395" s="36">
        <v>44901</v>
      </c>
      <c r="U395" s="36">
        <v>2958465</v>
      </c>
      <c r="V395" s="35" t="s">
        <v>282</v>
      </c>
      <c r="W395" s="35" t="s">
        <v>145</v>
      </c>
      <c r="X395" s="35"/>
      <c r="Y395" s="35" t="s">
        <v>143</v>
      </c>
      <c r="Z395" s="35">
        <v>7589154</v>
      </c>
      <c r="AA395" s="35">
        <v>676</v>
      </c>
      <c r="AB395" s="35">
        <v>338</v>
      </c>
      <c r="AC395" s="35"/>
      <c r="AE395" s="51">
        <f>M395/O395</f>
        <v>1</v>
      </c>
      <c r="AG395" s="6" t="str">
        <f>C395</f>
        <v>90MB1BJ0-C1BAY0</v>
      </c>
      <c r="AH395" s="6" t="str">
        <f>IF($D395&lt;=AH$4,"",IF(AND($D394=AH$4,$D395&gt;AH$4),$F394,AH394))</f>
        <v>59MB1BJB-MB0A02S</v>
      </c>
      <c r="AI395" s="6" t="str">
        <f>IF($D395&lt;=AI$4,"",IF(AND($D394=AI$4,$D395&gt;AI$4),$F394,AI394))</f>
        <v/>
      </c>
      <c r="AJ395" s="6" t="str">
        <f>IF($D395&lt;=AJ$4,"",IF(AND($D394=AJ$4,$D395&gt;AJ$4),$F394,AJ394))</f>
        <v/>
      </c>
      <c r="AK395" s="6" t="str">
        <f>IF($D395&lt;=AK$4,"",IF(AND($D394=AK$4,$D395&gt;AK$4),$F394,AK394))</f>
        <v/>
      </c>
      <c r="AL395" s="6" t="str">
        <f>IF($D395&lt;=AL$4,"",IF(AND($D394=AL$4,$D395&gt;AL$4),$F394,AL394))</f>
        <v/>
      </c>
      <c r="AM395" s="6" t="str">
        <f>IF($D395&lt;=AM$4,"",IF(AND($D394=AM$4,$D395&gt;AM$4),$F394,AM394))</f>
        <v/>
      </c>
      <c r="AN395" s="6" t="str">
        <f>IF($D395&lt;=AN$4,"",IF(AND($D394=AN$4,$D395&gt;AN$4),$F394,AN394))</f>
        <v/>
      </c>
      <c r="AO395" s="6" t="str">
        <f>CONCATENATE(AG395," | ",AH395," | ",AI395," | ",AJ395," | ",AK395," | ",AL395," | ",AM395," | ",AN395)</f>
        <v xml:space="preserve">90MB1BJ0-C1BAY0 | 59MB1BJB-MB0A02S |  |  |  |  |  | </v>
      </c>
      <c r="AP395" s="6">
        <f>IF(TRIM(H395)="",100,J395)</f>
        <v>0</v>
      </c>
      <c r="AQ395" s="4"/>
      <c r="AR395" s="6" t="b">
        <f>NOT(TRIM(W395)&lt;&gt;"F")</f>
        <v>1</v>
      </c>
      <c r="AS395" s="6" t="str">
        <f>$B395&amp;" | "&amp;$AO395&amp;" | "&amp;IF(TRIM(H395)="","uniq"&amp;ROW(),TRIM(H395))</f>
        <v>461E | 90MB1BJ0-C1BAY0 | 59MB1BJB-MB0A02S |  |  |  |  |  |  | E1</v>
      </c>
      <c r="AT395" s="63">
        <f>IF(NOT(AR395),IF(TRIM($H395)="","Assembly","Phantom Alt"),VLOOKUP(F395,ZPCS04!B:G,6,0))</f>
        <v>1162</v>
      </c>
      <c r="AU395" s="7"/>
      <c r="AV395" s="38">
        <f ca="1">IF(TRIM($W395)="F",OFFSET($A$5,MATCH($AS395,$AS$5:$AS395,0)-1,0),$A395)</f>
        <v>395</v>
      </c>
      <c r="AW395" s="38">
        <f ca="1">IFERROR(OFFSET(ZPCS04!$A$1,MATCH(F395,ZPCS04!B:B,0)-1,0),100)</f>
        <v>2</v>
      </c>
      <c r="AX395" s="7"/>
      <c r="AY395" s="6" t="b">
        <f>SUMIF(AS:AS,AS395,AP:AP)=100</f>
        <v>1</v>
      </c>
      <c r="AZ395" s="6" t="b">
        <f>SUMIF(AS:AS,AS395,AE:AE)/COUNTIF(AS:AS,AS395)=AE395</f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>C395&amp;" | "&amp;F395</f>
        <v>90MB1BJ0-C1BAY0 | 10G212340114020</v>
      </c>
      <c r="BE395" s="55" t="str">
        <f ca="1">C395&amp;" | "&amp;OFFSET($AF395,0,8-COUNTBLANK($AG395:$AN395))</f>
        <v>90MB1BJ0-C1BAY0 | 59MB1BJB-MB0A02S</v>
      </c>
      <c r="BF395" s="57">
        <f ca="1">IFERROR(VLOOKUP($BE395,$BD$5:$BF394,3,0)*$AE395,VLOOKUP($C395,Demanda!$A:$B,2,0)*$AE395)*IF(AT395="Phantom Alt",$BC395,TRUE)</f>
        <v>1000</v>
      </c>
      <c r="BG395" s="57">
        <f ca="1">BF395*(AP395/100)</f>
        <v>0</v>
      </c>
      <c r="BH395" s="57">
        <f>SUMIF(Invoice!A:A,F395,Invoice!B:B)</f>
        <v>0</v>
      </c>
      <c r="BI395" s="57">
        <f ca="1">SUMIF(AS:AS,AS395,BG:BG)</f>
        <v>1000</v>
      </c>
      <c r="BJ395" s="57">
        <f ca="1">MIN((BI395-SUMIF($AS$5:AS394,AS395,$BJ$5:BJ394)),MAX(0,BH395-SUMIF($F$5:F394,F395,$BJ$5:BJ394)))</f>
        <v>0</v>
      </c>
      <c r="BK395" s="57">
        <f ca="1">(-SUMIF(AS:AS,AS395,BG:BG)+SUMIF(AS:AS,AS395,BJ:BJ))*(AP395=100)*AR395</f>
        <v>0</v>
      </c>
      <c r="BL395" s="57">
        <f ca="1">MAX(0,SUMIF(Invoice!A:A,F395,Invoice!B:B)-SUMIF(F:F,F395,BJ:BJ))*(COUNTIF(F:F,F395)=COUNTIF($F$5:F395,F395))</f>
        <v>0</v>
      </c>
    </row>
    <row r="396" spans="1:64" hidden="1">
      <c r="A396" s="43">
        <v>397</v>
      </c>
      <c r="B396" s="35" t="s">
        <v>147</v>
      </c>
      <c r="C396" s="35" t="s">
        <v>146</v>
      </c>
      <c r="D396" s="35">
        <v>2</v>
      </c>
      <c r="E396" s="35">
        <v>1420</v>
      </c>
      <c r="F396" s="64" t="s">
        <v>984</v>
      </c>
      <c r="G396" s="73" t="s">
        <v>985</v>
      </c>
      <c r="H396" s="35" t="s">
        <v>983</v>
      </c>
      <c r="I396" s="35" t="s">
        <v>55</v>
      </c>
      <c r="J396" s="35">
        <v>0</v>
      </c>
      <c r="K396" s="35" t="s">
        <v>489</v>
      </c>
      <c r="L396" s="35" t="s">
        <v>53</v>
      </c>
      <c r="M396" s="35">
        <v>1</v>
      </c>
      <c r="N396" s="35"/>
      <c r="O396" s="35">
        <v>1</v>
      </c>
      <c r="P396" s="35">
        <v>2</v>
      </c>
      <c r="Q396" s="35">
        <v>3</v>
      </c>
      <c r="R396" s="35" t="s">
        <v>73</v>
      </c>
      <c r="S396" s="35" t="s">
        <v>73</v>
      </c>
      <c r="T396" s="36">
        <v>44901</v>
      </c>
      <c r="U396" s="36">
        <v>2958465</v>
      </c>
      <c r="V396" s="35" t="s">
        <v>282</v>
      </c>
      <c r="W396" s="35" t="s">
        <v>145</v>
      </c>
      <c r="X396" s="35"/>
      <c r="Y396" s="35" t="s">
        <v>143</v>
      </c>
      <c r="Z396" s="35">
        <v>7589154</v>
      </c>
      <c r="AA396" s="35">
        <v>684</v>
      </c>
      <c r="AB396" s="35">
        <v>342</v>
      </c>
      <c r="AC396" s="35"/>
      <c r="AE396" s="51">
        <f>M396/O396</f>
        <v>1</v>
      </c>
      <c r="AG396" s="6" t="str">
        <f>C396</f>
        <v>90MB1BJ0-C1BAY0</v>
      </c>
      <c r="AH396" s="6" t="str">
        <f>IF($D396&lt;=AH$4,"",IF(AND($D395=AH$4,$D396&gt;AH$4),$F395,AH395))</f>
        <v>59MB1BJB-MB0A02S</v>
      </c>
      <c r="AI396" s="6" t="str">
        <f>IF($D396&lt;=AI$4,"",IF(AND($D395=AI$4,$D396&gt;AI$4),$F395,AI395))</f>
        <v/>
      </c>
      <c r="AJ396" s="6" t="str">
        <f>IF($D396&lt;=AJ$4,"",IF(AND($D395=AJ$4,$D396&gt;AJ$4),$F395,AJ395))</f>
        <v/>
      </c>
      <c r="AK396" s="6" t="str">
        <f>IF($D396&lt;=AK$4,"",IF(AND($D395=AK$4,$D396&gt;AK$4),$F395,AK395))</f>
        <v/>
      </c>
      <c r="AL396" s="6" t="str">
        <f>IF($D396&lt;=AL$4,"",IF(AND($D395=AL$4,$D396&gt;AL$4),$F395,AL395))</f>
        <v/>
      </c>
      <c r="AM396" s="6" t="str">
        <f>IF($D396&lt;=AM$4,"",IF(AND($D395=AM$4,$D396&gt;AM$4),$F395,AM395))</f>
        <v/>
      </c>
      <c r="AN396" s="6" t="str">
        <f>IF($D396&lt;=AN$4,"",IF(AND($D395=AN$4,$D396&gt;AN$4),$F395,AN395))</f>
        <v/>
      </c>
      <c r="AO396" s="6" t="str">
        <f>CONCATENATE(AG396," | ",AH396," | ",AI396," | ",AJ396," | ",AK396," | ",AL396," | ",AM396," | ",AN396)</f>
        <v xml:space="preserve">90MB1BJ0-C1BAY0 | 59MB1BJB-MB0A02S |  |  |  |  |  | </v>
      </c>
      <c r="AP396" s="6">
        <f>IF(TRIM(H396)="",100,J396)</f>
        <v>0</v>
      </c>
      <c r="AQ396" s="4"/>
      <c r="AR396" s="6" t="b">
        <f>NOT(TRIM(W396)&lt;&gt;"F")</f>
        <v>1</v>
      </c>
      <c r="AS396" s="6" t="str">
        <f>$B396&amp;" | "&amp;$AO396&amp;" | "&amp;IF(TRIM(H396)="","uniq"&amp;ROW(),TRIM(H396))</f>
        <v>461E | 90MB1BJ0-C1BAY0 | 59MB1BJB-MB0A02S |  |  |  |  |  |  | E2</v>
      </c>
      <c r="AT396" s="63">
        <f>IF(NOT(AR396),IF(TRIM($H396)="","Assembly","Phantom Alt"),VLOOKUP(F396,ZPCS04!B:G,6,0))</f>
        <v>1267</v>
      </c>
      <c r="AU396" s="7"/>
      <c r="AV396" s="38">
        <f ca="1">IF(TRIM($W396)="F",OFFSET($A$5,MATCH($AS396,$AS$5:$AS396,0)-1,0),$A396)</f>
        <v>397</v>
      </c>
      <c r="AW396" s="38">
        <f ca="1">IFERROR(OFFSET(ZPCS04!$A$1,MATCH(F396,ZPCS04!B:B,0)-1,0),100)</f>
        <v>1.9999999000000002</v>
      </c>
      <c r="AX396" s="7"/>
      <c r="AY396" s="6" t="b">
        <f>SUMIF(AS:AS,AS396,AP:AP)=100</f>
        <v>1</v>
      </c>
      <c r="AZ396" s="6" t="b">
        <f>SUMIF(AS:AS,AS396,AE:AE)/COUNTIF(AS:AS,AS396)=AE396</f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>C396&amp;" | "&amp;F396</f>
        <v>90MB1BJ0-C1BAY0 | 10G212357214020</v>
      </c>
      <c r="BE396" s="55" t="str">
        <f ca="1">C396&amp;" | "&amp;OFFSET($AF396,0,8-COUNTBLANK($AG396:$AN396))</f>
        <v>90MB1BJ0-C1BAY0 | 59MB1BJB-MB0A02S</v>
      </c>
      <c r="BF396" s="57">
        <f ca="1">IFERROR(VLOOKUP($BE396,$BD$5:$BF395,3,0)*$AE396,VLOOKUP($C396,Demanda!$A:$B,2,0)*$AE396)*IF(AT396="Phantom Alt",$BC396,TRUE)</f>
        <v>1000</v>
      </c>
      <c r="BG396" s="57">
        <f ca="1">BF396*(AP396/100)</f>
        <v>0</v>
      </c>
      <c r="BH396" s="57">
        <f>SUMIF(Invoice!A:A,F396,Invoice!B:B)</f>
        <v>10000</v>
      </c>
      <c r="BI396" s="57">
        <f ca="1">SUMIF(AS:AS,AS396,BG:BG)</f>
        <v>1000</v>
      </c>
      <c r="BJ396" s="57">
        <f ca="1">MIN((BI396-SUMIF($AS$5:AS395,AS396,$BJ$5:BJ395)),MAX(0,BH396-SUMIF($F$5:F395,F396,$BJ$5:BJ395)))</f>
        <v>1000</v>
      </c>
      <c r="BK396" s="57">
        <f ca="1">(-SUMIF(AS:AS,AS396,BG:BG)+SUMIF(AS:AS,AS396,BJ:BJ))*(AP396=100)*AR396</f>
        <v>0</v>
      </c>
      <c r="BL396" s="57">
        <f ca="1">MAX(0,SUMIF(Invoice!A:A,F396,Invoice!B:B)-SUMIF(F:F,F396,BJ:BJ))*(COUNTIF(F:F,F396)=COUNTIF($F$5:F396,F396))</f>
        <v>9000</v>
      </c>
    </row>
    <row r="397" spans="1:64" hidden="1">
      <c r="A397" s="43">
        <v>396</v>
      </c>
      <c r="B397" s="35" t="s">
        <v>147</v>
      </c>
      <c r="C397" s="35" t="s">
        <v>146</v>
      </c>
      <c r="D397" s="35">
        <v>2</v>
      </c>
      <c r="E397" s="35">
        <v>1420</v>
      </c>
      <c r="F397" s="64" t="s">
        <v>981</v>
      </c>
      <c r="G397" s="73" t="s">
        <v>982</v>
      </c>
      <c r="H397" s="35" t="s">
        <v>983</v>
      </c>
      <c r="I397" s="35" t="s">
        <v>55</v>
      </c>
      <c r="J397" s="35">
        <v>0</v>
      </c>
      <c r="K397" s="35" t="s">
        <v>489</v>
      </c>
      <c r="L397" s="35" t="s">
        <v>53</v>
      </c>
      <c r="M397" s="35">
        <v>1</v>
      </c>
      <c r="N397" s="35"/>
      <c r="O397" s="35">
        <v>1</v>
      </c>
      <c r="P397" s="35">
        <v>2</v>
      </c>
      <c r="Q397" s="35">
        <v>2</v>
      </c>
      <c r="R397" s="35" t="s">
        <v>73</v>
      </c>
      <c r="S397" s="35" t="s">
        <v>73</v>
      </c>
      <c r="T397" s="36">
        <v>44901</v>
      </c>
      <c r="U397" s="36">
        <v>2958465</v>
      </c>
      <c r="V397" s="35" t="s">
        <v>282</v>
      </c>
      <c r="W397" s="35" t="s">
        <v>145</v>
      </c>
      <c r="X397" s="35"/>
      <c r="Y397" s="35" t="s">
        <v>143</v>
      </c>
      <c r="Z397" s="35">
        <v>7589154</v>
      </c>
      <c r="AA397" s="35">
        <v>682</v>
      </c>
      <c r="AB397" s="35">
        <v>341</v>
      </c>
      <c r="AC397" s="35"/>
      <c r="AE397" s="51">
        <f>M397/O397</f>
        <v>1</v>
      </c>
      <c r="AG397" s="6" t="str">
        <f>C397</f>
        <v>90MB1BJ0-C1BAY0</v>
      </c>
      <c r="AH397" s="6" t="str">
        <f>IF($D397&lt;=AH$4,"",IF(AND($D396=AH$4,$D397&gt;AH$4),$F396,AH396))</f>
        <v>59MB1BJB-MB0A02S</v>
      </c>
      <c r="AI397" s="6" t="str">
        <f>IF($D397&lt;=AI$4,"",IF(AND($D396=AI$4,$D397&gt;AI$4),$F396,AI396))</f>
        <v/>
      </c>
      <c r="AJ397" s="6" t="str">
        <f>IF($D397&lt;=AJ$4,"",IF(AND($D396=AJ$4,$D397&gt;AJ$4),$F396,AJ396))</f>
        <v/>
      </c>
      <c r="AK397" s="6" t="str">
        <f>IF($D397&lt;=AK$4,"",IF(AND($D396=AK$4,$D397&gt;AK$4),$F396,AK396))</f>
        <v/>
      </c>
      <c r="AL397" s="6" t="str">
        <f>IF($D397&lt;=AL$4,"",IF(AND($D396=AL$4,$D397&gt;AL$4),$F396,AL396))</f>
        <v/>
      </c>
      <c r="AM397" s="6" t="str">
        <f>IF($D397&lt;=AM$4,"",IF(AND($D396=AM$4,$D397&gt;AM$4),$F396,AM396))</f>
        <v/>
      </c>
      <c r="AN397" s="6" t="str">
        <f>IF($D397&lt;=AN$4,"",IF(AND($D396=AN$4,$D397&gt;AN$4),$F396,AN396))</f>
        <v/>
      </c>
      <c r="AO397" s="6" t="str">
        <f>CONCATENATE(AG397," | ",AH397," | ",AI397," | ",AJ397," | ",AK397," | ",AL397," | ",AM397," | ",AN397)</f>
        <v xml:space="preserve">90MB1BJ0-C1BAY0 | 59MB1BJB-MB0A02S |  |  |  |  |  | </v>
      </c>
      <c r="AP397" s="6">
        <f>IF(TRIM(H397)="",100,J397)</f>
        <v>0</v>
      </c>
      <c r="AQ397" s="4"/>
      <c r="AR397" s="6" t="b">
        <f>NOT(TRIM(W397)&lt;&gt;"F")</f>
        <v>1</v>
      </c>
      <c r="AS397" s="6" t="str">
        <f>$B397&amp;" | "&amp;$AO397&amp;" | "&amp;IF(TRIM(H397)="","uniq"&amp;ROW(),TRIM(H397))</f>
        <v>461E | 90MB1BJ0-C1BAY0 | 59MB1BJB-MB0A02S |  |  |  |  |  |  | E2</v>
      </c>
      <c r="AT397" s="63">
        <f>IF(NOT(AR397),IF(TRIM($H397)="","Assembly","Phantom Alt"),VLOOKUP(F397,ZPCS04!B:G,6,0))</f>
        <v>1267</v>
      </c>
      <c r="AU397" s="7"/>
      <c r="AV397" s="38">
        <f ca="1">IF(TRIM($W397)="F",OFFSET($A$5,MATCH($AS397,$AS$5:$AS397,0)-1,0),$A397)</f>
        <v>397</v>
      </c>
      <c r="AW397" s="38">
        <f ca="1">IFERROR(OFFSET(ZPCS04!$A$1,MATCH(F397,ZPCS04!B:B,0)-1,0),100)</f>
        <v>2</v>
      </c>
      <c r="AX397" s="7"/>
      <c r="AY397" s="6" t="b">
        <f>SUMIF(AS:AS,AS397,AP:AP)=100</f>
        <v>1</v>
      </c>
      <c r="AZ397" s="6" t="b">
        <f>SUMIF(AS:AS,AS397,AE:AE)/COUNTIF(AS:AS,AS397)=AE397</f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>C397&amp;" | "&amp;F397</f>
        <v>90MB1BJ0-C1BAY0 | 10G212357214010</v>
      </c>
      <c r="BE397" s="55" t="str">
        <f ca="1">C397&amp;" | "&amp;OFFSET($AF397,0,8-COUNTBLANK($AG397:$AN397))</f>
        <v>90MB1BJ0-C1BAY0 | 59MB1BJB-MB0A02S</v>
      </c>
      <c r="BF397" s="57">
        <f ca="1">IFERROR(VLOOKUP($BE397,$BD$5:$BF396,3,0)*$AE397,VLOOKUP($C397,Demanda!$A:$B,2,0)*$AE397)*IF(AT397="Phantom Alt",$BC397,TRUE)</f>
        <v>1000</v>
      </c>
      <c r="BG397" s="57">
        <f ca="1">BF397*(AP397/100)</f>
        <v>0</v>
      </c>
      <c r="BH397" s="57">
        <f>SUMIF(Invoice!A:A,F397,Invoice!B:B)</f>
        <v>0</v>
      </c>
      <c r="BI397" s="57">
        <f ca="1">SUMIF(AS:AS,AS397,BG:BG)</f>
        <v>1000</v>
      </c>
      <c r="BJ397" s="57">
        <f ca="1">MIN((BI397-SUMIF($AS$5:AS396,AS397,$BJ$5:BJ396)),MAX(0,BH397-SUMIF($F$5:F396,F397,$BJ$5:BJ396)))</f>
        <v>0</v>
      </c>
      <c r="BK397" s="57">
        <f ca="1">(-SUMIF(AS:AS,AS397,BG:BG)+SUMIF(AS:AS,AS397,BJ:BJ))*(AP397=100)*AR397</f>
        <v>0</v>
      </c>
      <c r="BL397" s="57">
        <f ca="1">MAX(0,SUMIF(Invoice!A:A,F397,Invoice!B:B)-SUMIF(F:F,F397,BJ:BJ))*(COUNTIF(F:F,F397)=COUNTIF($F$5:F397,F397))</f>
        <v>0</v>
      </c>
    </row>
    <row r="398" spans="1:64" hidden="1">
      <c r="A398" s="43">
        <v>398</v>
      </c>
      <c r="B398" s="35" t="s">
        <v>147</v>
      </c>
      <c r="C398" s="35" t="s">
        <v>146</v>
      </c>
      <c r="D398" s="35">
        <v>2</v>
      </c>
      <c r="E398" s="35">
        <v>1420</v>
      </c>
      <c r="F398" s="64" t="s">
        <v>986</v>
      </c>
      <c r="G398" s="73" t="s">
        <v>987</v>
      </c>
      <c r="H398" s="35" t="s">
        <v>983</v>
      </c>
      <c r="I398" s="35" t="s">
        <v>54</v>
      </c>
      <c r="J398" s="35">
        <v>100</v>
      </c>
      <c r="K398" s="35" t="s">
        <v>150</v>
      </c>
      <c r="L398" s="35" t="s">
        <v>53</v>
      </c>
      <c r="M398" s="35">
        <v>1</v>
      </c>
      <c r="N398" s="35">
        <v>1</v>
      </c>
      <c r="O398" s="35">
        <v>1</v>
      </c>
      <c r="P398" s="35">
        <v>2</v>
      </c>
      <c r="Q398" s="35">
        <v>1</v>
      </c>
      <c r="R398" s="35" t="s">
        <v>73</v>
      </c>
      <c r="S398" s="35" t="s">
        <v>73</v>
      </c>
      <c r="T398" s="36">
        <v>44901</v>
      </c>
      <c r="U398" s="36">
        <v>2958465</v>
      </c>
      <c r="V398" s="35" t="s">
        <v>282</v>
      </c>
      <c r="W398" s="35" t="s">
        <v>145</v>
      </c>
      <c r="X398" s="35"/>
      <c r="Y398" s="35" t="s">
        <v>143</v>
      </c>
      <c r="Z398" s="35">
        <v>7589154</v>
      </c>
      <c r="AA398" s="35">
        <v>680</v>
      </c>
      <c r="AB398" s="35">
        <v>340</v>
      </c>
      <c r="AC398" s="35"/>
      <c r="AE398" s="51">
        <f>M398/O398</f>
        <v>1</v>
      </c>
      <c r="AG398" s="6" t="str">
        <f>C398</f>
        <v>90MB1BJ0-C1BAY0</v>
      </c>
      <c r="AH398" s="6" t="str">
        <f>IF($D398&lt;=AH$4,"",IF(AND($D397=AH$4,$D398&gt;AH$4),$F397,AH397))</f>
        <v>59MB1BJB-MB0A02S</v>
      </c>
      <c r="AI398" s="6" t="str">
        <f>IF($D398&lt;=AI$4,"",IF(AND($D397=AI$4,$D398&gt;AI$4),$F397,AI397))</f>
        <v/>
      </c>
      <c r="AJ398" s="6" t="str">
        <f>IF($D398&lt;=AJ$4,"",IF(AND($D397=AJ$4,$D398&gt;AJ$4),$F397,AJ397))</f>
        <v/>
      </c>
      <c r="AK398" s="6" t="str">
        <f>IF($D398&lt;=AK$4,"",IF(AND($D397=AK$4,$D398&gt;AK$4),$F397,AK397))</f>
        <v/>
      </c>
      <c r="AL398" s="6" t="str">
        <f>IF($D398&lt;=AL$4,"",IF(AND($D397=AL$4,$D398&gt;AL$4),$F397,AL397))</f>
        <v/>
      </c>
      <c r="AM398" s="6" t="str">
        <f>IF($D398&lt;=AM$4,"",IF(AND($D397=AM$4,$D398&gt;AM$4),$F397,AM397))</f>
        <v/>
      </c>
      <c r="AN398" s="6" t="str">
        <f>IF($D398&lt;=AN$4,"",IF(AND($D397=AN$4,$D398&gt;AN$4),$F397,AN397))</f>
        <v/>
      </c>
      <c r="AO398" s="6" t="str">
        <f>CONCATENATE(AG398," | ",AH398," | ",AI398," | ",AJ398," | ",AK398," | ",AL398," | ",AM398," | ",AN398)</f>
        <v xml:space="preserve">90MB1BJ0-C1BAY0 | 59MB1BJB-MB0A02S |  |  |  |  |  | </v>
      </c>
      <c r="AP398" s="6">
        <f>IF(TRIM(H398)="",100,J398)</f>
        <v>100</v>
      </c>
      <c r="AQ398" s="4"/>
      <c r="AR398" s="6" t="b">
        <f>NOT(TRIM(W398)&lt;&gt;"F")</f>
        <v>1</v>
      </c>
      <c r="AS398" s="6" t="str">
        <f>$B398&amp;" | "&amp;$AO398&amp;" | "&amp;IF(TRIM(H398)="","uniq"&amp;ROW(),TRIM(H398))</f>
        <v>461E | 90MB1BJ0-C1BAY0 | 59MB1BJB-MB0A02S |  |  |  |  |  |  | E2</v>
      </c>
      <c r="AT398" s="63">
        <f>IF(NOT(AR398),IF(TRIM($H398)="","Assembly","Phantom Alt"),VLOOKUP(F398,ZPCS04!B:G,6,0))</f>
        <v>1267</v>
      </c>
      <c r="AU398" s="7"/>
      <c r="AV398" s="38">
        <f ca="1">IF(TRIM($W398)="F",OFFSET($A$5,MATCH($AS398,$AS$5:$AS398,0)-1,0),$A398)</f>
        <v>397</v>
      </c>
      <c r="AW398" s="38">
        <f ca="1">IFERROR(OFFSET(ZPCS04!$A$1,MATCH(F398,ZPCS04!B:B,0)-1,0),100)</f>
        <v>2</v>
      </c>
      <c r="AX398" s="7"/>
      <c r="AY398" s="6" t="b">
        <f>SUMIF(AS:AS,AS398,AP:AP)=100</f>
        <v>1</v>
      </c>
      <c r="AZ398" s="6" t="b">
        <f>SUMIF(AS:AS,AS398,AE:AE)/COUNTIF(AS:AS,AS398)=AE398</f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>C398&amp;" | "&amp;F398</f>
        <v>90MB1BJ0-C1BAY0 | 10G212357214050</v>
      </c>
      <c r="BE398" s="55" t="str">
        <f ca="1">C398&amp;" | "&amp;OFFSET($AF398,0,8-COUNTBLANK($AG398:$AN398))</f>
        <v>90MB1BJ0-C1BAY0 | 59MB1BJB-MB0A02S</v>
      </c>
      <c r="BF398" s="57">
        <f ca="1">IFERROR(VLOOKUP($BE398,$BD$5:$BF397,3,0)*$AE398,VLOOKUP($C398,Demanda!$A:$B,2,0)*$AE398)*IF(AT398="Phantom Alt",$BC398,TRUE)</f>
        <v>1000</v>
      </c>
      <c r="BG398" s="57">
        <f ca="1">BF398*(AP398/100)</f>
        <v>1000</v>
      </c>
      <c r="BH398" s="57">
        <f>SUMIF(Invoice!A:A,F398,Invoice!B:B)</f>
        <v>0</v>
      </c>
      <c r="BI398" s="57">
        <f ca="1">SUMIF(AS:AS,AS398,BG:BG)</f>
        <v>1000</v>
      </c>
      <c r="BJ398" s="57">
        <f ca="1">MIN((BI398-SUMIF($AS$5:AS397,AS398,$BJ$5:BJ397)),MAX(0,BH398-SUMIF($F$5:F397,F398,$BJ$5:BJ397)))</f>
        <v>0</v>
      </c>
      <c r="BK398" s="57">
        <f ca="1">(-SUMIF(AS:AS,AS398,BG:BG)+SUMIF(AS:AS,AS398,BJ:BJ))*(AP398=100)*AR398</f>
        <v>0</v>
      </c>
      <c r="BL398" s="57">
        <f ca="1">MAX(0,SUMIF(Invoice!A:A,F398,Invoice!B:B)-SUMIF(F:F,F398,BJ:BJ))*(COUNTIF(F:F,F398)=COUNTIF($F$5:F398,F398))</f>
        <v>0</v>
      </c>
    </row>
    <row r="399" spans="1:64" hidden="1">
      <c r="A399" s="43">
        <v>400</v>
      </c>
      <c r="B399" s="13" t="s">
        <v>147</v>
      </c>
      <c r="C399" s="13" t="s">
        <v>146</v>
      </c>
      <c r="D399" s="13">
        <v>2</v>
      </c>
      <c r="E399" s="13">
        <v>1430</v>
      </c>
      <c r="F399" s="71" t="s">
        <v>991</v>
      </c>
      <c r="G399" s="71" t="s">
        <v>992</v>
      </c>
      <c r="H399" s="13" t="s">
        <v>990</v>
      </c>
      <c r="I399" s="13" t="s">
        <v>55</v>
      </c>
      <c r="J399" s="28">
        <v>0</v>
      </c>
      <c r="K399" s="13" t="s">
        <v>489</v>
      </c>
      <c r="L399" s="13" t="s">
        <v>53</v>
      </c>
      <c r="M399" s="13">
        <v>1</v>
      </c>
      <c r="O399" s="13">
        <v>1</v>
      </c>
      <c r="P399" s="13">
        <v>2</v>
      </c>
      <c r="Q399" s="13">
        <v>2</v>
      </c>
      <c r="R399" s="13" t="s">
        <v>122</v>
      </c>
      <c r="S399" s="13" t="s">
        <v>122</v>
      </c>
      <c r="T399" s="13">
        <v>44901</v>
      </c>
      <c r="U399" s="13">
        <v>2958465</v>
      </c>
      <c r="V399" s="13" t="s">
        <v>282</v>
      </c>
      <c r="W399" s="13" t="s">
        <v>145</v>
      </c>
      <c r="Y399" s="13" t="s">
        <v>143</v>
      </c>
      <c r="Z399" s="13">
        <v>7589154</v>
      </c>
      <c r="AA399" s="13">
        <v>688</v>
      </c>
      <c r="AB399" s="13">
        <v>344</v>
      </c>
      <c r="AE399" s="51">
        <f>M399/O399</f>
        <v>1</v>
      </c>
      <c r="AG399" s="6" t="str">
        <f>C399</f>
        <v>90MB1BJ0-C1BAY0</v>
      </c>
      <c r="AH399" s="6" t="str">
        <f>IF($D399&lt;=AH$4,"",IF(AND($D398=AH$4,$D399&gt;AH$4),$F398,AH398))</f>
        <v>59MB1BJB-MB0A02S</v>
      </c>
      <c r="AI399" s="6" t="str">
        <f>IF($D399&lt;=AI$4,"",IF(AND($D398=AI$4,$D399&gt;AI$4),$F398,AI398))</f>
        <v/>
      </c>
      <c r="AJ399" s="6" t="str">
        <f>IF($D399&lt;=AJ$4,"",IF(AND($D398=AJ$4,$D399&gt;AJ$4),$F398,AJ398))</f>
        <v/>
      </c>
      <c r="AK399" s="6" t="str">
        <f>IF($D399&lt;=AK$4,"",IF(AND($D398=AK$4,$D399&gt;AK$4),$F398,AK398))</f>
        <v/>
      </c>
      <c r="AL399" s="6" t="str">
        <f>IF($D399&lt;=AL$4,"",IF(AND($D398=AL$4,$D399&gt;AL$4),$F398,AL398))</f>
        <v/>
      </c>
      <c r="AM399" s="6" t="str">
        <f>IF($D399&lt;=AM$4,"",IF(AND($D398=AM$4,$D399&gt;AM$4),$F398,AM398))</f>
        <v/>
      </c>
      <c r="AN399" s="6" t="str">
        <f>IF($D399&lt;=AN$4,"",IF(AND($D398=AN$4,$D399&gt;AN$4),$F398,AN398))</f>
        <v/>
      </c>
      <c r="AO399" s="6" t="str">
        <f>CONCATENATE(AG399," | ",AH399," | ",AI399," | ",AJ399," | ",AK399," | ",AL399," | ",AM399," | ",AN399)</f>
        <v xml:space="preserve">90MB1BJ0-C1BAY0 | 59MB1BJB-MB0A02S |  |  |  |  |  | </v>
      </c>
      <c r="AP399" s="6">
        <f>IF(TRIM(H399)="",100,J399)</f>
        <v>0</v>
      </c>
      <c r="AQ399" s="4"/>
      <c r="AR399" s="6" t="b">
        <f>NOT(TRIM(W399)&lt;&gt;"F")</f>
        <v>1</v>
      </c>
      <c r="AS399" s="6" t="str">
        <f>$B399&amp;" | "&amp;$AO399&amp;" | "&amp;IF(TRIM(H399)="","uniq"&amp;ROW(),TRIM(H399))</f>
        <v>461E | 90MB1BJ0-C1BAY0 | 59MB1BJB-MB0A02S |  |  |  |  |  |  | E3</v>
      </c>
      <c r="AT399" s="63">
        <f>IF(NOT(AR399),IF(TRIM($H399)="","Assembly","Phantom Alt"),VLOOKUP(F399,ZPCS04!B:G,6,0))</f>
        <v>966</v>
      </c>
      <c r="AU399" s="7"/>
      <c r="AV399" s="38">
        <f ca="1">IF(TRIM($W399)="F",OFFSET($A$5,MATCH($AS399,$AS$5:$AS399,0)-1,0),$A399)</f>
        <v>400</v>
      </c>
      <c r="AW399" s="38">
        <f ca="1">IFERROR(OFFSET(ZPCS04!$A$1,MATCH(F399,ZPCS04!B:B,0)-1,0),100)</f>
        <v>1.9999999000000002</v>
      </c>
      <c r="AX399" s="7"/>
      <c r="AY399" s="6" t="b">
        <f>SUMIF(AS:AS,AS399,AP:AP)=100</f>
        <v>1</v>
      </c>
      <c r="AZ399" s="6" t="b">
        <f>SUMIF(AS:AS,AS399,AE:AE)/COUNTIF(AS:AS,AS399)=AE399</f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>C399&amp;" | "&amp;F399</f>
        <v>90MB1BJ0-C1BAY0 | 10G212360114020</v>
      </c>
      <c r="BE399" s="55" t="str">
        <f ca="1">C399&amp;" | "&amp;OFFSET($AF399,0,8-COUNTBLANK($AG399:$AN399))</f>
        <v>90MB1BJ0-C1BAY0 | 59MB1BJB-MB0A02S</v>
      </c>
      <c r="BF399" s="57">
        <f ca="1">IFERROR(VLOOKUP($BE399,$BD$5:$BF398,3,0)*$AE399,VLOOKUP($C399,Demanda!$A:$B,2,0)*$AE399)*IF(AT399="Phantom Alt",$BC399,TRUE)</f>
        <v>1000</v>
      </c>
      <c r="BG399" s="57">
        <f ca="1">BF399*(AP399/100)</f>
        <v>0</v>
      </c>
      <c r="BH399" s="57">
        <f>SUMIF(Invoice!A:A,F399,Invoice!B:B)</f>
        <v>10000</v>
      </c>
      <c r="BI399" s="57">
        <f ca="1">SUMIF(AS:AS,AS399,BG:BG)</f>
        <v>1000</v>
      </c>
      <c r="BJ399" s="57">
        <f ca="1">MIN((BI399-SUMIF($AS$5:AS398,AS399,$BJ$5:BJ398)),MAX(0,BH399-SUMIF($F$5:F398,F399,$BJ$5:BJ398)))</f>
        <v>1000</v>
      </c>
      <c r="BK399" s="57">
        <f ca="1">(-SUMIF(AS:AS,AS399,BG:BG)+SUMIF(AS:AS,AS399,BJ:BJ))*(AP399=100)*AR399</f>
        <v>0</v>
      </c>
      <c r="BL399" s="57">
        <f ca="1">MAX(0,SUMIF(Invoice!A:A,F399,Invoice!B:B)-SUMIF(F:F,F399,BJ:BJ))*(COUNTIF(F:F,F399)=COUNTIF($F$5:F399,F399))</f>
        <v>9000</v>
      </c>
    </row>
    <row r="400" spans="1:64" hidden="1">
      <c r="A400" s="43">
        <v>399</v>
      </c>
      <c r="B400" s="13" t="s">
        <v>147</v>
      </c>
      <c r="C400" s="13" t="s">
        <v>146</v>
      </c>
      <c r="D400" s="13">
        <v>2</v>
      </c>
      <c r="E400" s="13">
        <v>1430</v>
      </c>
      <c r="F400" s="71" t="s">
        <v>988</v>
      </c>
      <c r="G400" s="71" t="s">
        <v>989</v>
      </c>
      <c r="H400" s="13" t="s">
        <v>990</v>
      </c>
      <c r="I400" s="13" t="s">
        <v>54</v>
      </c>
      <c r="J400" s="28">
        <v>100</v>
      </c>
      <c r="K400" s="13" t="s">
        <v>489</v>
      </c>
      <c r="L400" s="13" t="s">
        <v>53</v>
      </c>
      <c r="M400" s="13">
        <v>1</v>
      </c>
      <c r="N400" s="13">
        <v>1</v>
      </c>
      <c r="O400" s="13">
        <v>1</v>
      </c>
      <c r="P400" s="13">
        <v>2</v>
      </c>
      <c r="Q400" s="13">
        <v>1</v>
      </c>
      <c r="R400" s="13" t="s">
        <v>122</v>
      </c>
      <c r="S400" s="13" t="s">
        <v>122</v>
      </c>
      <c r="T400" s="13">
        <v>44901</v>
      </c>
      <c r="U400" s="13">
        <v>2958465</v>
      </c>
      <c r="V400" s="13" t="s">
        <v>282</v>
      </c>
      <c r="W400" s="13" t="s">
        <v>145</v>
      </c>
      <c r="Y400" s="13" t="s">
        <v>143</v>
      </c>
      <c r="Z400" s="13">
        <v>7589154</v>
      </c>
      <c r="AA400" s="13">
        <v>686</v>
      </c>
      <c r="AB400" s="13">
        <v>343</v>
      </c>
      <c r="AE400" s="51">
        <f>M400/O400</f>
        <v>1</v>
      </c>
      <c r="AG400" s="6" t="str">
        <f>C400</f>
        <v>90MB1BJ0-C1BAY0</v>
      </c>
      <c r="AH400" s="6" t="str">
        <f>IF($D400&lt;=AH$4,"",IF(AND($D399=AH$4,$D400&gt;AH$4),$F399,AH399))</f>
        <v>59MB1BJB-MB0A02S</v>
      </c>
      <c r="AI400" s="6" t="str">
        <f>IF($D400&lt;=AI$4,"",IF(AND($D399=AI$4,$D400&gt;AI$4),$F399,AI399))</f>
        <v/>
      </c>
      <c r="AJ400" s="6" t="str">
        <f>IF($D400&lt;=AJ$4,"",IF(AND($D399=AJ$4,$D400&gt;AJ$4),$F399,AJ399))</f>
        <v/>
      </c>
      <c r="AK400" s="6" t="str">
        <f>IF($D400&lt;=AK$4,"",IF(AND($D399=AK$4,$D400&gt;AK$4),$F399,AK399))</f>
        <v/>
      </c>
      <c r="AL400" s="6" t="str">
        <f>IF($D400&lt;=AL$4,"",IF(AND($D399=AL$4,$D400&gt;AL$4),$F399,AL399))</f>
        <v/>
      </c>
      <c r="AM400" s="6" t="str">
        <f>IF($D400&lt;=AM$4,"",IF(AND($D399=AM$4,$D400&gt;AM$4),$F399,AM399))</f>
        <v/>
      </c>
      <c r="AN400" s="6" t="str">
        <f>IF($D400&lt;=AN$4,"",IF(AND($D399=AN$4,$D400&gt;AN$4),$F399,AN399))</f>
        <v/>
      </c>
      <c r="AO400" s="6" t="str">
        <f>CONCATENATE(AG400," | ",AH400," | ",AI400," | ",AJ400," | ",AK400," | ",AL400," | ",AM400," | ",AN400)</f>
        <v xml:space="preserve">90MB1BJ0-C1BAY0 | 59MB1BJB-MB0A02S |  |  |  |  |  | </v>
      </c>
      <c r="AP400" s="6">
        <f>IF(TRIM(H400)="",100,J400)</f>
        <v>100</v>
      </c>
      <c r="AQ400" s="4"/>
      <c r="AR400" s="6" t="b">
        <f>NOT(TRIM(W400)&lt;&gt;"F")</f>
        <v>1</v>
      </c>
      <c r="AS400" s="6" t="str">
        <f>$B400&amp;" | "&amp;$AO400&amp;" | "&amp;IF(TRIM(H400)="","uniq"&amp;ROW(),TRIM(H400))</f>
        <v>461E | 90MB1BJ0-C1BAY0 | 59MB1BJB-MB0A02S |  |  |  |  |  |  | E3</v>
      </c>
      <c r="AT400" s="63">
        <f>IF(NOT(AR400),IF(TRIM($H400)="","Assembly","Phantom Alt"),VLOOKUP(F400,ZPCS04!B:G,6,0))</f>
        <v>966</v>
      </c>
      <c r="AU400" s="7"/>
      <c r="AV400" s="38">
        <f ca="1">IF(TRIM($W400)="F",OFFSET($A$5,MATCH($AS400,$AS$5:$AS400,0)-1,0),$A400)</f>
        <v>400</v>
      </c>
      <c r="AW400" s="38">
        <f ca="1">IFERROR(OFFSET(ZPCS04!$A$1,MATCH(F400,ZPCS04!B:B,0)-1,0),100)</f>
        <v>2</v>
      </c>
      <c r="AX400" s="7"/>
      <c r="AY400" s="6" t="b">
        <f>SUMIF(AS:AS,AS400,AP:AP)=100</f>
        <v>1</v>
      </c>
      <c r="AZ400" s="6" t="b">
        <f>SUMIF(AS:AS,AS400,AE:AE)/COUNTIF(AS:AS,AS400)=AE400</f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>C400&amp;" | "&amp;F400</f>
        <v>90MB1BJ0-C1BAY0 | 10G212360114010</v>
      </c>
      <c r="BE400" s="55" t="str">
        <f ca="1">C400&amp;" | "&amp;OFFSET($AF400,0,8-COUNTBLANK($AG400:$AN400))</f>
        <v>90MB1BJ0-C1BAY0 | 59MB1BJB-MB0A02S</v>
      </c>
      <c r="BF400" s="57">
        <f ca="1">IFERROR(VLOOKUP($BE400,$BD$5:$BF399,3,0)*$AE400,VLOOKUP($C400,Demanda!$A:$B,2,0)*$AE400)*IF(AT400="Phantom Alt",$BC400,TRUE)</f>
        <v>1000</v>
      </c>
      <c r="BG400" s="57">
        <f ca="1">BF400*(AP400/100)</f>
        <v>1000</v>
      </c>
      <c r="BH400" s="57">
        <f>SUMIF(Invoice!A:A,F400,Invoice!B:B)</f>
        <v>0</v>
      </c>
      <c r="BI400" s="57">
        <f ca="1">SUMIF(AS:AS,AS400,BG:BG)</f>
        <v>1000</v>
      </c>
      <c r="BJ400" s="57">
        <f ca="1">MIN((BI400-SUMIF($AS$5:AS399,AS400,$BJ$5:BJ399)),MAX(0,BH400-SUMIF($F$5:F399,F400,$BJ$5:BJ399)))</f>
        <v>0</v>
      </c>
      <c r="BK400" s="57">
        <f ca="1">(-SUMIF(AS:AS,AS400,BG:BG)+SUMIF(AS:AS,AS400,BJ:BJ))*(AP400=100)*AR400</f>
        <v>0</v>
      </c>
      <c r="BL400" s="57">
        <f ca="1">MAX(0,SUMIF(Invoice!A:A,F400,Invoice!B:B)-SUMIF(F:F,F400,BJ:BJ))*(COUNTIF(F:F,F400)=COUNTIF($F$5:F400,F400))</f>
        <v>0</v>
      </c>
    </row>
    <row r="401" spans="1:64" hidden="1">
      <c r="A401" s="43">
        <v>401</v>
      </c>
      <c r="B401" s="13" t="s">
        <v>147</v>
      </c>
      <c r="C401" s="13" t="s">
        <v>146</v>
      </c>
      <c r="D401" s="13">
        <v>2</v>
      </c>
      <c r="E401" s="13">
        <v>1430</v>
      </c>
      <c r="F401" s="71" t="s">
        <v>993</v>
      </c>
      <c r="G401" s="71" t="s">
        <v>994</v>
      </c>
      <c r="H401" s="13" t="s">
        <v>990</v>
      </c>
      <c r="I401" s="13" t="s">
        <v>55</v>
      </c>
      <c r="J401" s="28">
        <v>0</v>
      </c>
      <c r="K401" s="13" t="s">
        <v>150</v>
      </c>
      <c r="L401" s="13" t="s">
        <v>53</v>
      </c>
      <c r="M401" s="13">
        <v>1</v>
      </c>
      <c r="O401" s="13">
        <v>1</v>
      </c>
      <c r="P401" s="13">
        <v>2</v>
      </c>
      <c r="Q401" s="13">
        <v>3</v>
      </c>
      <c r="R401" s="13" t="s">
        <v>73</v>
      </c>
      <c r="S401" s="13" t="s">
        <v>73</v>
      </c>
      <c r="T401" s="13">
        <v>44901</v>
      </c>
      <c r="U401" s="13">
        <v>2958465</v>
      </c>
      <c r="V401" s="13" t="s">
        <v>282</v>
      </c>
      <c r="W401" s="13" t="s">
        <v>145</v>
      </c>
      <c r="Y401" s="13" t="s">
        <v>143</v>
      </c>
      <c r="Z401" s="13">
        <v>7589154</v>
      </c>
      <c r="AA401" s="13">
        <v>690</v>
      </c>
      <c r="AB401" s="13">
        <v>345</v>
      </c>
      <c r="AE401" s="51">
        <f>M401/O401</f>
        <v>1</v>
      </c>
      <c r="AG401" s="6" t="str">
        <f>C401</f>
        <v>90MB1BJ0-C1BAY0</v>
      </c>
      <c r="AH401" s="6" t="str">
        <f>IF($D401&lt;=AH$4,"",IF(AND($D400=AH$4,$D401&gt;AH$4),$F400,AH400))</f>
        <v>59MB1BJB-MB0A02S</v>
      </c>
      <c r="AI401" s="6" t="str">
        <f>IF($D401&lt;=AI$4,"",IF(AND($D400=AI$4,$D401&gt;AI$4),$F400,AI400))</f>
        <v/>
      </c>
      <c r="AJ401" s="6" t="str">
        <f>IF($D401&lt;=AJ$4,"",IF(AND($D400=AJ$4,$D401&gt;AJ$4),$F400,AJ400))</f>
        <v/>
      </c>
      <c r="AK401" s="6" t="str">
        <f>IF($D401&lt;=AK$4,"",IF(AND($D400=AK$4,$D401&gt;AK$4),$F400,AK400))</f>
        <v/>
      </c>
      <c r="AL401" s="6" t="str">
        <f>IF($D401&lt;=AL$4,"",IF(AND($D400=AL$4,$D401&gt;AL$4),$F400,AL400))</f>
        <v/>
      </c>
      <c r="AM401" s="6" t="str">
        <f>IF($D401&lt;=AM$4,"",IF(AND($D400=AM$4,$D401&gt;AM$4),$F400,AM400))</f>
        <v/>
      </c>
      <c r="AN401" s="6" t="str">
        <f>IF($D401&lt;=AN$4,"",IF(AND($D400=AN$4,$D401&gt;AN$4),$F400,AN400))</f>
        <v/>
      </c>
      <c r="AO401" s="6" t="str">
        <f>CONCATENATE(AG401," | ",AH401," | ",AI401," | ",AJ401," | ",AK401," | ",AL401," | ",AM401," | ",AN401)</f>
        <v xml:space="preserve">90MB1BJ0-C1BAY0 | 59MB1BJB-MB0A02S |  |  |  |  |  | </v>
      </c>
      <c r="AP401" s="6">
        <f>IF(TRIM(H401)="",100,J401)</f>
        <v>0</v>
      </c>
      <c r="AQ401" s="4"/>
      <c r="AR401" s="6" t="b">
        <f>NOT(TRIM(W401)&lt;&gt;"F")</f>
        <v>1</v>
      </c>
      <c r="AS401" s="6" t="str">
        <f>$B401&amp;" | "&amp;$AO401&amp;" | "&amp;IF(TRIM(H401)="","uniq"&amp;ROW(),TRIM(H401))</f>
        <v>461E | 90MB1BJ0-C1BAY0 | 59MB1BJB-MB0A02S |  |  |  |  |  |  | E3</v>
      </c>
      <c r="AT401" s="63">
        <f>IF(NOT(AR401),IF(TRIM($H401)="","Assembly","Phantom Alt"),VLOOKUP(F401,ZPCS04!B:G,6,0))</f>
        <v>966</v>
      </c>
      <c r="AU401" s="7"/>
      <c r="AV401" s="38">
        <f ca="1">IF(TRIM($W401)="F",OFFSET($A$5,MATCH($AS401,$AS$5:$AS401,0)-1,0),$A401)</f>
        <v>400</v>
      </c>
      <c r="AW401" s="38">
        <f ca="1">IFERROR(OFFSET(ZPCS04!$A$1,MATCH(F401,ZPCS04!B:B,0)-1,0),100)</f>
        <v>2</v>
      </c>
      <c r="AX401" s="7"/>
      <c r="AY401" s="6" t="b">
        <f>SUMIF(AS:AS,AS401,AP:AP)=100</f>
        <v>1</v>
      </c>
      <c r="AZ401" s="6" t="b">
        <f>SUMIF(AS:AS,AS401,AE:AE)/COUNTIF(AS:AS,AS401)=AE401</f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>C401&amp;" | "&amp;F401</f>
        <v>90MB1BJ0-C1BAY0 | 10G212360114050</v>
      </c>
      <c r="BE401" s="55" t="str">
        <f ca="1">C401&amp;" | "&amp;OFFSET($AF401,0,8-COUNTBLANK($AG401:$AN401))</f>
        <v>90MB1BJ0-C1BAY0 | 59MB1BJB-MB0A02S</v>
      </c>
      <c r="BF401" s="57">
        <f ca="1">IFERROR(VLOOKUP($BE401,$BD$5:$BF400,3,0)*$AE401,VLOOKUP($C401,Demanda!$A:$B,2,0)*$AE401)*IF(AT401="Phantom Alt",$BC401,TRUE)</f>
        <v>1000</v>
      </c>
      <c r="BG401" s="57">
        <f ca="1">BF401*(AP401/100)</f>
        <v>0</v>
      </c>
      <c r="BH401" s="57">
        <f>SUMIF(Invoice!A:A,F401,Invoice!B:B)</f>
        <v>0</v>
      </c>
      <c r="BI401" s="57">
        <f ca="1">SUMIF(AS:AS,AS401,BG:BG)</f>
        <v>1000</v>
      </c>
      <c r="BJ401" s="57">
        <f ca="1">MIN((BI401-SUMIF($AS$5:AS400,AS401,$BJ$5:BJ400)),MAX(0,BH401-SUMIF($F$5:F400,F401,$BJ$5:BJ400)))</f>
        <v>0</v>
      </c>
      <c r="BK401" s="57">
        <f ca="1">(-SUMIF(AS:AS,AS401,BG:BG)+SUMIF(AS:AS,AS401,BJ:BJ))*(AP401=100)*AR401</f>
        <v>0</v>
      </c>
      <c r="BL401" s="57">
        <f ca="1">MAX(0,SUMIF(Invoice!A:A,F401,Invoice!B:B)-SUMIF(F:F,F401,BJ:BJ))*(COUNTIF(F:F,F401)=COUNTIF($F$5:F401,F401))</f>
        <v>0</v>
      </c>
    </row>
    <row r="402" spans="1:64" hidden="1">
      <c r="A402" s="43">
        <v>402</v>
      </c>
      <c r="B402" s="13" t="s">
        <v>147</v>
      </c>
      <c r="C402" s="13" t="s">
        <v>146</v>
      </c>
      <c r="D402" s="13">
        <v>2</v>
      </c>
      <c r="E402" s="13">
        <v>1440</v>
      </c>
      <c r="F402" s="71" t="s">
        <v>995</v>
      </c>
      <c r="G402" s="71" t="s">
        <v>996</v>
      </c>
      <c r="H402" s="13" t="s">
        <v>997</v>
      </c>
      <c r="I402" s="13" t="s">
        <v>54</v>
      </c>
      <c r="J402" s="28">
        <v>100</v>
      </c>
      <c r="K402" s="13" t="s">
        <v>150</v>
      </c>
      <c r="L402" s="13" t="s">
        <v>53</v>
      </c>
      <c r="M402" s="13">
        <v>2</v>
      </c>
      <c r="N402" s="13">
        <v>2</v>
      </c>
      <c r="O402" s="13">
        <v>1</v>
      </c>
      <c r="P402" s="13">
        <v>2</v>
      </c>
      <c r="Q402" s="13">
        <v>1</v>
      </c>
      <c r="R402" s="13" t="s">
        <v>73</v>
      </c>
      <c r="S402" s="13" t="s">
        <v>73</v>
      </c>
      <c r="T402" s="13">
        <v>44901</v>
      </c>
      <c r="U402" s="13">
        <v>2958465</v>
      </c>
      <c r="V402" s="13" t="s">
        <v>282</v>
      </c>
      <c r="W402" s="13" t="s">
        <v>145</v>
      </c>
      <c r="Y402" s="13" t="s">
        <v>143</v>
      </c>
      <c r="Z402" s="13">
        <v>7589154</v>
      </c>
      <c r="AA402" s="13">
        <v>692</v>
      </c>
      <c r="AB402" s="13">
        <v>346</v>
      </c>
      <c r="AE402" s="51">
        <f>M402/O402</f>
        <v>2</v>
      </c>
      <c r="AG402" s="6" t="str">
        <f>C402</f>
        <v>90MB1BJ0-C1BAY0</v>
      </c>
      <c r="AH402" s="6" t="str">
        <f>IF($D402&lt;=AH$4,"",IF(AND($D401=AH$4,$D402&gt;AH$4),$F401,AH401))</f>
        <v>59MB1BJB-MB0A02S</v>
      </c>
      <c r="AI402" s="6" t="str">
        <f>IF($D402&lt;=AI$4,"",IF(AND($D401=AI$4,$D402&gt;AI$4),$F401,AI401))</f>
        <v/>
      </c>
      <c r="AJ402" s="6" t="str">
        <f>IF($D402&lt;=AJ$4,"",IF(AND($D401=AJ$4,$D402&gt;AJ$4),$F401,AJ401))</f>
        <v/>
      </c>
      <c r="AK402" s="6" t="str">
        <f>IF($D402&lt;=AK$4,"",IF(AND($D401=AK$4,$D402&gt;AK$4),$F401,AK401))</f>
        <v/>
      </c>
      <c r="AL402" s="6" t="str">
        <f>IF($D402&lt;=AL$4,"",IF(AND($D401=AL$4,$D402&gt;AL$4),$F401,AL401))</f>
        <v/>
      </c>
      <c r="AM402" s="6" t="str">
        <f>IF($D402&lt;=AM$4,"",IF(AND($D401=AM$4,$D402&gt;AM$4),$F401,AM401))</f>
        <v/>
      </c>
      <c r="AN402" s="6" t="str">
        <f>IF($D402&lt;=AN$4,"",IF(AND($D401=AN$4,$D402&gt;AN$4),$F401,AN401))</f>
        <v/>
      </c>
      <c r="AO402" s="6" t="str">
        <f>CONCATENATE(AG402," | ",AH402," | ",AI402," | ",AJ402," | ",AK402," | ",AL402," | ",AM402," | ",AN402)</f>
        <v xml:space="preserve">90MB1BJ0-C1BAY0 | 59MB1BJB-MB0A02S |  |  |  |  |  | </v>
      </c>
      <c r="AP402" s="6">
        <f>IF(TRIM(H402)="",100,J402)</f>
        <v>100</v>
      </c>
      <c r="AQ402" s="4"/>
      <c r="AR402" s="6" t="b">
        <f>NOT(TRIM(W402)&lt;&gt;"F")</f>
        <v>1</v>
      </c>
      <c r="AS402" s="6" t="str">
        <f>$B402&amp;" | "&amp;$AO402&amp;" | "&amp;IF(TRIM(H402)="","uniq"&amp;ROW(),TRIM(H402))</f>
        <v>461E | 90MB1BJ0-C1BAY0 | 59MB1BJB-MB0A02S |  |  |  |  |  |  | E4</v>
      </c>
      <c r="AT402" s="63">
        <f>IF(NOT(AR402),IF(TRIM($H402)="","Assembly","Phantom Alt"),VLOOKUP(F402,ZPCS04!B:G,6,0))</f>
        <v>1033</v>
      </c>
      <c r="AU402" s="7"/>
      <c r="AV402" s="38">
        <f ca="1">IF(TRIM($W402)="F",OFFSET($A$5,MATCH($AS402,$AS$5:$AS402,0)-1,0),$A402)</f>
        <v>402</v>
      </c>
      <c r="AW402" s="38">
        <f ca="1">IFERROR(OFFSET(ZPCS04!$A$1,MATCH(F402,ZPCS04!B:B,0)-1,0),100)</f>
        <v>1.9999999000000002</v>
      </c>
      <c r="AX402" s="7"/>
      <c r="AY402" s="6" t="b">
        <f>SUMIF(AS:AS,AS402,AP:AP)=100</f>
        <v>1</v>
      </c>
      <c r="AZ402" s="6" t="b">
        <f>SUMIF(AS:AS,AS402,AE:AE)/COUNTIF(AS:AS,AS402)=AE402</f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>C402&amp;" | "&amp;F402</f>
        <v>90MB1BJ0-C1BAY0 | 10G21239R014010</v>
      </c>
      <c r="BE402" s="55" t="str">
        <f ca="1">C402&amp;" | "&amp;OFFSET($AF402,0,8-COUNTBLANK($AG402:$AN402))</f>
        <v>90MB1BJ0-C1BAY0 | 59MB1BJB-MB0A02S</v>
      </c>
      <c r="BF402" s="57">
        <f ca="1">IFERROR(VLOOKUP($BE402,$BD$5:$BF401,3,0)*$AE402,VLOOKUP($C402,Demanda!$A:$B,2,0)*$AE402)*IF(AT402="Phantom Alt",$BC402,TRUE)</f>
        <v>2000</v>
      </c>
      <c r="BG402" s="57">
        <f ca="1">BF402*(AP402/100)</f>
        <v>2000</v>
      </c>
      <c r="BH402" s="57">
        <f>SUMIF(Invoice!A:A,F402,Invoice!B:B)</f>
        <v>10000</v>
      </c>
      <c r="BI402" s="57">
        <f ca="1">SUMIF(AS:AS,AS402,BG:BG)</f>
        <v>2000</v>
      </c>
      <c r="BJ402" s="57">
        <f ca="1">MIN((BI402-SUMIF($AS$5:AS401,AS402,$BJ$5:BJ401)),MAX(0,BH402-SUMIF($F$5:F401,F402,$BJ$5:BJ401)))</f>
        <v>2000</v>
      </c>
      <c r="BK402" s="57">
        <f ca="1">(-SUMIF(AS:AS,AS402,BG:BG)+SUMIF(AS:AS,AS402,BJ:BJ))*(AP402=100)*AR402</f>
        <v>0</v>
      </c>
      <c r="BL402" s="57">
        <f ca="1">MAX(0,SUMIF(Invoice!A:A,F402,Invoice!B:B)-SUMIF(F:F,F402,BJ:BJ))*(COUNTIF(F:F,F402)=COUNTIF($F$5:F402,F402))</f>
        <v>8000</v>
      </c>
    </row>
    <row r="403" spans="1:64" hidden="1">
      <c r="A403" s="43">
        <v>403</v>
      </c>
      <c r="B403" s="13" t="s">
        <v>147</v>
      </c>
      <c r="C403" s="13" t="s">
        <v>146</v>
      </c>
      <c r="D403" s="13">
        <v>2</v>
      </c>
      <c r="E403" s="13">
        <v>1440</v>
      </c>
      <c r="F403" s="71" t="s">
        <v>998</v>
      </c>
      <c r="G403" s="71" t="s">
        <v>999</v>
      </c>
      <c r="H403" s="13" t="s">
        <v>997</v>
      </c>
      <c r="I403" s="13" t="s">
        <v>55</v>
      </c>
      <c r="J403" s="28">
        <v>0</v>
      </c>
      <c r="K403" s="13" t="s">
        <v>150</v>
      </c>
      <c r="L403" s="13" t="s">
        <v>53</v>
      </c>
      <c r="M403" s="13">
        <v>2</v>
      </c>
      <c r="O403" s="13">
        <v>1</v>
      </c>
      <c r="P403" s="13">
        <v>2</v>
      </c>
      <c r="Q403" s="13">
        <v>3</v>
      </c>
      <c r="R403" s="13" t="s">
        <v>73</v>
      </c>
      <c r="S403" s="13" t="s">
        <v>73</v>
      </c>
      <c r="T403" s="13">
        <v>44901</v>
      </c>
      <c r="U403" s="13">
        <v>2958465</v>
      </c>
      <c r="V403" s="13" t="s">
        <v>282</v>
      </c>
      <c r="W403" s="13" t="s">
        <v>145</v>
      </c>
      <c r="Y403" s="13" t="s">
        <v>143</v>
      </c>
      <c r="Z403" s="13">
        <v>7589154</v>
      </c>
      <c r="AA403" s="13">
        <v>696</v>
      </c>
      <c r="AB403" s="13">
        <v>348</v>
      </c>
      <c r="AE403" s="51">
        <f>M403/O403</f>
        <v>2</v>
      </c>
      <c r="AG403" s="6" t="str">
        <f>C403</f>
        <v>90MB1BJ0-C1BAY0</v>
      </c>
      <c r="AH403" s="6" t="str">
        <f>IF($D403&lt;=AH$4,"",IF(AND($D402=AH$4,$D403&gt;AH$4),$F402,AH402))</f>
        <v>59MB1BJB-MB0A02S</v>
      </c>
      <c r="AI403" s="6" t="str">
        <f>IF($D403&lt;=AI$4,"",IF(AND($D402=AI$4,$D403&gt;AI$4),$F402,AI402))</f>
        <v/>
      </c>
      <c r="AJ403" s="6" t="str">
        <f>IF($D403&lt;=AJ$4,"",IF(AND($D402=AJ$4,$D403&gt;AJ$4),$F402,AJ402))</f>
        <v/>
      </c>
      <c r="AK403" s="6" t="str">
        <f>IF($D403&lt;=AK$4,"",IF(AND($D402=AK$4,$D403&gt;AK$4),$F402,AK402))</f>
        <v/>
      </c>
      <c r="AL403" s="6" t="str">
        <f>IF($D403&lt;=AL$4,"",IF(AND($D402=AL$4,$D403&gt;AL$4),$F402,AL402))</f>
        <v/>
      </c>
      <c r="AM403" s="6" t="str">
        <f>IF($D403&lt;=AM$4,"",IF(AND($D402=AM$4,$D403&gt;AM$4),$F402,AM402))</f>
        <v/>
      </c>
      <c r="AN403" s="6" t="str">
        <f>IF($D403&lt;=AN$4,"",IF(AND($D402=AN$4,$D403&gt;AN$4),$F402,AN402))</f>
        <v/>
      </c>
      <c r="AO403" s="6" t="str">
        <f>CONCATENATE(AG403," | ",AH403," | ",AI403," | ",AJ403," | ",AK403," | ",AL403," | ",AM403," | ",AN403)</f>
        <v xml:space="preserve">90MB1BJ0-C1BAY0 | 59MB1BJB-MB0A02S |  |  |  |  |  | </v>
      </c>
      <c r="AP403" s="6">
        <f>IF(TRIM(H403)="",100,J403)</f>
        <v>0</v>
      </c>
      <c r="AQ403" s="4"/>
      <c r="AR403" s="6" t="b">
        <f>NOT(TRIM(W403)&lt;&gt;"F")</f>
        <v>1</v>
      </c>
      <c r="AS403" s="6" t="str">
        <f>$B403&amp;" | "&amp;$AO403&amp;" | "&amp;IF(TRIM(H403)="","uniq"&amp;ROW(),TRIM(H403))</f>
        <v>461E | 90MB1BJ0-C1BAY0 | 59MB1BJB-MB0A02S |  |  |  |  |  |  | E4</v>
      </c>
      <c r="AT403" s="63">
        <f>IF(NOT(AR403),IF(TRIM($H403)="","Assembly","Phantom Alt"),VLOOKUP(F403,ZPCS04!B:G,6,0))</f>
        <v>1033</v>
      </c>
      <c r="AU403" s="7"/>
      <c r="AV403" s="38">
        <f ca="1">IF(TRIM($W403)="F",OFFSET($A$5,MATCH($AS403,$AS$5:$AS403,0)-1,0),$A403)</f>
        <v>402</v>
      </c>
      <c r="AW403" s="38">
        <f ca="1">IFERROR(OFFSET(ZPCS04!$A$1,MATCH(F403,ZPCS04!B:B,0)-1,0),100)</f>
        <v>2</v>
      </c>
      <c r="AX403" s="7"/>
      <c r="AY403" s="6" t="b">
        <f>SUMIF(AS:AS,AS403,AP:AP)=100</f>
        <v>1</v>
      </c>
      <c r="AZ403" s="6" t="b">
        <f>SUMIF(AS:AS,AS403,AE:AE)/COUNTIF(AS:AS,AS403)=AE403</f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>C403&amp;" | "&amp;F403</f>
        <v>90MB1BJ0-C1BAY0 | 10G21239R014020</v>
      </c>
      <c r="BE403" s="55" t="str">
        <f ca="1">C403&amp;" | "&amp;OFFSET($AF403,0,8-COUNTBLANK($AG403:$AN403))</f>
        <v>90MB1BJ0-C1BAY0 | 59MB1BJB-MB0A02S</v>
      </c>
      <c r="BF403" s="57">
        <f ca="1">IFERROR(VLOOKUP($BE403,$BD$5:$BF402,3,0)*$AE403,VLOOKUP($C403,Demanda!$A:$B,2,0)*$AE403)*IF(AT403="Phantom Alt",$BC403,TRUE)</f>
        <v>2000</v>
      </c>
      <c r="BG403" s="57">
        <f ca="1">BF403*(AP403/100)</f>
        <v>0</v>
      </c>
      <c r="BH403" s="57">
        <f>SUMIF(Invoice!A:A,F403,Invoice!B:B)</f>
        <v>0</v>
      </c>
      <c r="BI403" s="57">
        <f ca="1">SUMIF(AS:AS,AS403,BG:BG)</f>
        <v>2000</v>
      </c>
      <c r="BJ403" s="57">
        <f ca="1">MIN((BI403-SUMIF($AS$5:AS402,AS403,$BJ$5:BJ402)),MAX(0,BH403-SUMIF($F$5:F402,F403,$BJ$5:BJ402)))</f>
        <v>0</v>
      </c>
      <c r="BK403" s="57">
        <f ca="1">(-SUMIF(AS:AS,AS403,BG:BG)+SUMIF(AS:AS,AS403,BJ:BJ))*(AP403=100)*AR403</f>
        <v>0</v>
      </c>
      <c r="BL403" s="57">
        <f ca="1">MAX(0,SUMIF(Invoice!A:A,F403,Invoice!B:B)-SUMIF(F:F,F403,BJ:BJ))*(COUNTIF(F:F,F403)=COUNTIF($F$5:F403,F403))</f>
        <v>0</v>
      </c>
    </row>
    <row r="404" spans="1:64" hidden="1">
      <c r="A404" s="43">
        <v>404</v>
      </c>
      <c r="B404" s="13" t="s">
        <v>147</v>
      </c>
      <c r="C404" s="13" t="s">
        <v>146</v>
      </c>
      <c r="D404" s="13">
        <v>2</v>
      </c>
      <c r="E404" s="13">
        <v>1440</v>
      </c>
      <c r="F404" s="71" t="s">
        <v>1000</v>
      </c>
      <c r="G404" s="71" t="s">
        <v>1001</v>
      </c>
      <c r="H404" s="13" t="s">
        <v>997</v>
      </c>
      <c r="I404" s="13" t="s">
        <v>55</v>
      </c>
      <c r="J404" s="28">
        <v>0</v>
      </c>
      <c r="K404" s="13" t="s">
        <v>150</v>
      </c>
      <c r="L404" s="13" t="s">
        <v>53</v>
      </c>
      <c r="M404" s="13">
        <v>2</v>
      </c>
      <c r="O404" s="13">
        <v>1</v>
      </c>
      <c r="P404" s="13">
        <v>2</v>
      </c>
      <c r="Q404" s="13">
        <v>2</v>
      </c>
      <c r="R404" s="13" t="s">
        <v>73</v>
      </c>
      <c r="S404" s="13" t="s">
        <v>73</v>
      </c>
      <c r="T404" s="13">
        <v>44901</v>
      </c>
      <c r="U404" s="13">
        <v>2958465</v>
      </c>
      <c r="V404" s="13" t="s">
        <v>282</v>
      </c>
      <c r="W404" s="13" t="s">
        <v>145</v>
      </c>
      <c r="Y404" s="13" t="s">
        <v>143</v>
      </c>
      <c r="Z404" s="13">
        <v>7589154</v>
      </c>
      <c r="AA404" s="13">
        <v>694</v>
      </c>
      <c r="AB404" s="13">
        <v>347</v>
      </c>
      <c r="AE404" s="51">
        <f>M404/O404</f>
        <v>2</v>
      </c>
      <c r="AG404" s="6" t="str">
        <f>C404</f>
        <v>90MB1BJ0-C1BAY0</v>
      </c>
      <c r="AH404" s="6" t="str">
        <f>IF($D404&lt;=AH$4,"",IF(AND($D403=AH$4,$D404&gt;AH$4),$F403,AH403))</f>
        <v>59MB1BJB-MB0A02S</v>
      </c>
      <c r="AI404" s="6" t="str">
        <f>IF($D404&lt;=AI$4,"",IF(AND($D403=AI$4,$D404&gt;AI$4),$F403,AI403))</f>
        <v/>
      </c>
      <c r="AJ404" s="6" t="str">
        <f>IF($D404&lt;=AJ$4,"",IF(AND($D403=AJ$4,$D404&gt;AJ$4),$F403,AJ403))</f>
        <v/>
      </c>
      <c r="AK404" s="6" t="str">
        <f>IF($D404&lt;=AK$4,"",IF(AND($D403=AK$4,$D404&gt;AK$4),$F403,AK403))</f>
        <v/>
      </c>
      <c r="AL404" s="6" t="str">
        <f>IF($D404&lt;=AL$4,"",IF(AND($D403=AL$4,$D404&gt;AL$4),$F403,AL403))</f>
        <v/>
      </c>
      <c r="AM404" s="6" t="str">
        <f>IF($D404&lt;=AM$4,"",IF(AND($D403=AM$4,$D404&gt;AM$4),$F403,AM403))</f>
        <v/>
      </c>
      <c r="AN404" s="6" t="str">
        <f>IF($D404&lt;=AN$4,"",IF(AND($D403=AN$4,$D404&gt;AN$4),$F403,AN403))</f>
        <v/>
      </c>
      <c r="AO404" s="6" t="str">
        <f>CONCATENATE(AG404," | ",AH404," | ",AI404," | ",AJ404," | ",AK404," | ",AL404," | ",AM404," | ",AN404)</f>
        <v xml:space="preserve">90MB1BJ0-C1BAY0 | 59MB1BJB-MB0A02S |  |  |  |  |  | </v>
      </c>
      <c r="AP404" s="6">
        <f>IF(TRIM(H404)="",100,J404)</f>
        <v>0</v>
      </c>
      <c r="AQ404" s="4"/>
      <c r="AR404" s="6" t="b">
        <f>NOT(TRIM(W404)&lt;&gt;"F")</f>
        <v>1</v>
      </c>
      <c r="AS404" s="6" t="str">
        <f>$B404&amp;" | "&amp;$AO404&amp;" | "&amp;IF(TRIM(H404)="","uniq"&amp;ROW(),TRIM(H404))</f>
        <v>461E | 90MB1BJ0-C1BAY0 | 59MB1BJB-MB0A02S |  |  |  |  |  |  | E4</v>
      </c>
      <c r="AT404" s="63">
        <f>IF(NOT(AR404),IF(TRIM($H404)="","Assembly","Phantom Alt"),VLOOKUP(F404,ZPCS04!B:G,6,0))</f>
        <v>1033</v>
      </c>
      <c r="AU404" s="7"/>
      <c r="AV404" s="38">
        <f ca="1">IF(TRIM($W404)="F",OFFSET($A$5,MATCH($AS404,$AS$5:$AS404,0)-1,0),$A404)</f>
        <v>402</v>
      </c>
      <c r="AW404" s="38">
        <f ca="1">IFERROR(OFFSET(ZPCS04!$A$1,MATCH(F404,ZPCS04!B:B,0)-1,0),100)</f>
        <v>2</v>
      </c>
      <c r="AX404" s="7"/>
      <c r="AY404" s="6" t="b">
        <f>SUMIF(AS:AS,AS404,AP:AP)=100</f>
        <v>1</v>
      </c>
      <c r="AZ404" s="6" t="b">
        <f>SUMIF(AS:AS,AS404,AE:AE)/COUNTIF(AS:AS,AS404)=AE404</f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>C404&amp;" | "&amp;F404</f>
        <v>90MB1BJ0-C1BAY0 | 10G21239R014050</v>
      </c>
      <c r="BE404" s="55" t="str">
        <f ca="1">C404&amp;" | "&amp;OFFSET($AF404,0,8-COUNTBLANK($AG404:$AN404))</f>
        <v>90MB1BJ0-C1BAY0 | 59MB1BJB-MB0A02S</v>
      </c>
      <c r="BF404" s="57">
        <f ca="1">IFERROR(VLOOKUP($BE404,$BD$5:$BF403,3,0)*$AE404,VLOOKUP($C404,Demanda!$A:$B,2,0)*$AE404)*IF(AT404="Phantom Alt",$BC404,TRUE)</f>
        <v>2000</v>
      </c>
      <c r="BG404" s="57">
        <f ca="1">BF404*(AP404/100)</f>
        <v>0</v>
      </c>
      <c r="BH404" s="57">
        <f>SUMIF(Invoice!A:A,F404,Invoice!B:B)</f>
        <v>0</v>
      </c>
      <c r="BI404" s="57">
        <f ca="1">SUMIF(AS:AS,AS404,BG:BG)</f>
        <v>2000</v>
      </c>
      <c r="BJ404" s="57">
        <f ca="1">MIN((BI404-SUMIF($AS$5:AS403,AS404,$BJ$5:BJ403)),MAX(0,BH404-SUMIF($F$5:F403,F404,$BJ$5:BJ403)))</f>
        <v>0</v>
      </c>
      <c r="BK404" s="57">
        <f ca="1">(-SUMIF(AS:AS,AS404,BG:BG)+SUMIF(AS:AS,AS404,BJ:BJ))*(AP404=100)*AR404</f>
        <v>0</v>
      </c>
      <c r="BL404" s="57">
        <f ca="1">MAX(0,SUMIF(Invoice!A:A,F404,Invoice!B:B)-SUMIF(F:F,F404,BJ:BJ))*(COUNTIF(F:F,F404)=COUNTIF($F$5:F404,F404))</f>
        <v>0</v>
      </c>
    </row>
    <row r="405" spans="1:64" hidden="1">
      <c r="A405" s="43">
        <v>406</v>
      </c>
      <c r="B405" s="13" t="s">
        <v>147</v>
      </c>
      <c r="C405" s="13" t="s">
        <v>146</v>
      </c>
      <c r="D405" s="13">
        <v>2</v>
      </c>
      <c r="E405" s="13">
        <v>1450</v>
      </c>
      <c r="F405" s="71" t="s">
        <v>1005</v>
      </c>
      <c r="G405" s="71" t="s">
        <v>1006</v>
      </c>
      <c r="H405" s="13" t="s">
        <v>1004</v>
      </c>
      <c r="I405" s="13" t="s">
        <v>54</v>
      </c>
      <c r="J405" s="28">
        <v>100</v>
      </c>
      <c r="K405" s="13" t="s">
        <v>489</v>
      </c>
      <c r="L405" s="13" t="s">
        <v>53</v>
      </c>
      <c r="M405" s="13">
        <v>1</v>
      </c>
      <c r="N405" s="13">
        <v>1</v>
      </c>
      <c r="O405" s="13">
        <v>1</v>
      </c>
      <c r="P405" s="13">
        <v>2</v>
      </c>
      <c r="Q405" s="13">
        <v>1</v>
      </c>
      <c r="R405" s="13" t="s">
        <v>122</v>
      </c>
      <c r="S405" s="13" t="s">
        <v>122</v>
      </c>
      <c r="T405" s="13">
        <v>44901</v>
      </c>
      <c r="U405" s="13">
        <v>2958465</v>
      </c>
      <c r="V405" s="13" t="s">
        <v>282</v>
      </c>
      <c r="W405" s="13" t="s">
        <v>145</v>
      </c>
      <c r="Y405" s="13" t="s">
        <v>143</v>
      </c>
      <c r="Z405" s="13">
        <v>7589154</v>
      </c>
      <c r="AA405" s="13">
        <v>698</v>
      </c>
      <c r="AB405" s="13">
        <v>349</v>
      </c>
      <c r="AE405" s="51">
        <f>M405/O405</f>
        <v>1</v>
      </c>
      <c r="AG405" s="6" t="str">
        <f>C405</f>
        <v>90MB1BJ0-C1BAY0</v>
      </c>
      <c r="AH405" s="6" t="str">
        <f>IF($D405&lt;=AH$4,"",IF(AND($D404=AH$4,$D405&gt;AH$4),$F404,AH404))</f>
        <v>59MB1BJB-MB0A02S</v>
      </c>
      <c r="AI405" s="6" t="str">
        <f>IF($D405&lt;=AI$4,"",IF(AND($D404=AI$4,$D405&gt;AI$4),$F404,AI404))</f>
        <v/>
      </c>
      <c r="AJ405" s="6" t="str">
        <f>IF($D405&lt;=AJ$4,"",IF(AND($D404=AJ$4,$D405&gt;AJ$4),$F404,AJ404))</f>
        <v/>
      </c>
      <c r="AK405" s="6" t="str">
        <f>IF($D405&lt;=AK$4,"",IF(AND($D404=AK$4,$D405&gt;AK$4),$F404,AK404))</f>
        <v/>
      </c>
      <c r="AL405" s="6" t="str">
        <f>IF($D405&lt;=AL$4,"",IF(AND($D404=AL$4,$D405&gt;AL$4),$F404,AL404))</f>
        <v/>
      </c>
      <c r="AM405" s="6" t="str">
        <f>IF($D405&lt;=AM$4,"",IF(AND($D404=AM$4,$D405&gt;AM$4),$F404,AM404))</f>
        <v/>
      </c>
      <c r="AN405" s="6" t="str">
        <f>IF($D405&lt;=AN$4,"",IF(AND($D404=AN$4,$D405&gt;AN$4),$F404,AN404))</f>
        <v/>
      </c>
      <c r="AO405" s="6" t="str">
        <f>CONCATENATE(AG405," | ",AH405," | ",AI405," | ",AJ405," | ",AK405," | ",AL405," | ",AM405," | ",AN405)</f>
        <v xml:space="preserve">90MB1BJ0-C1BAY0 | 59MB1BJB-MB0A02S |  |  |  |  |  | </v>
      </c>
      <c r="AP405" s="6">
        <f>IF(TRIM(H405)="",100,J405)</f>
        <v>100</v>
      </c>
      <c r="AQ405" s="4"/>
      <c r="AR405" s="6" t="b">
        <f>NOT(TRIM(W405)&lt;&gt;"F")</f>
        <v>1</v>
      </c>
      <c r="AS405" s="6" t="str">
        <f>$B405&amp;" | "&amp;$AO405&amp;" | "&amp;IF(TRIM(H405)="","uniq"&amp;ROW(),TRIM(H405))</f>
        <v>461E | 90MB1BJ0-C1BAY0 | 59MB1BJB-MB0A02S |  |  |  |  |  |  | E5</v>
      </c>
      <c r="AT405" s="63">
        <f>IF(NOT(AR405),IF(TRIM($H405)="","Assembly","Phantom Alt"),VLOOKUP(F405,ZPCS04!B:G,6,0))</f>
        <v>969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1.9999999000000002</v>
      </c>
      <c r="AX405" s="7"/>
      <c r="AY405" s="6" t="b">
        <f>SUMIF(AS:AS,AS405,AP:AP)=100</f>
        <v>1</v>
      </c>
      <c r="AZ405" s="6" t="b">
        <f>SUMIF(AS:AS,AS405,AE:AE)/COUNTIF(AS:AS,AS405)=AE405</f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>C405&amp;" | "&amp;F405</f>
        <v>90MB1BJ0-C1BAY0 | 10G212402214020</v>
      </c>
      <c r="BE405" s="55" t="str">
        <f ca="1">C405&amp;" | "&amp;OFFSET($AF405,0,8-COUNTBLANK($AG405:$AN405))</f>
        <v>90MB1BJ0-C1BAY0 | 59MB1BJB-MB0A02S</v>
      </c>
      <c r="BF405" s="57">
        <f ca="1">IFERROR(VLOOKUP($BE405,$BD$5:$BF404,3,0)*$AE405,VLOOKUP($C405,Demanda!$A:$B,2,0)*$AE405)*IF(AT405="Phantom Alt",$BC405,TRUE)</f>
        <v>1000</v>
      </c>
      <c r="BG405" s="57">
        <f ca="1">BF405*(AP405/100)</f>
        <v>1000</v>
      </c>
      <c r="BH405" s="57">
        <f>SUMIF(Invoice!A:A,F405,Invoice!B:B)</f>
        <v>10000</v>
      </c>
      <c r="BI405" s="57">
        <f ca="1">SUMIF(AS:AS,AS405,BG:BG)</f>
        <v>1000</v>
      </c>
      <c r="BJ405" s="57">
        <f ca="1">MIN((BI405-SUMIF($AS$5:AS404,AS405,$BJ$5:BJ404)),MAX(0,BH405-SUMIF($F$5:F404,F405,$BJ$5:BJ404)))</f>
        <v>1000</v>
      </c>
      <c r="BK405" s="57">
        <f ca="1">(-SUMIF(AS:AS,AS405,BG:BG)+SUMIF(AS:AS,AS405,BJ:BJ))*(AP405=100)*AR405</f>
        <v>0</v>
      </c>
      <c r="BL405" s="57">
        <f ca="1">MAX(0,SUMIF(Invoice!A:A,F405,Invoice!B:B)-SUMIF(F:F,F405,BJ:BJ))*(COUNTIF(F:F,F405)=COUNTIF($F$5:F405,F405))</f>
        <v>9000</v>
      </c>
    </row>
    <row r="406" spans="1:64" hidden="1">
      <c r="A406" s="43">
        <v>405</v>
      </c>
      <c r="B406" s="13" t="s">
        <v>147</v>
      </c>
      <c r="C406" s="13" t="s">
        <v>146</v>
      </c>
      <c r="D406" s="13">
        <v>2</v>
      </c>
      <c r="E406" s="13">
        <v>1450</v>
      </c>
      <c r="F406" s="71" t="s">
        <v>1002</v>
      </c>
      <c r="G406" s="71" t="s">
        <v>1003</v>
      </c>
      <c r="H406" s="13" t="s">
        <v>1004</v>
      </c>
      <c r="I406" s="13" t="s">
        <v>55</v>
      </c>
      <c r="J406" s="28">
        <v>0</v>
      </c>
      <c r="K406" s="13" t="s">
        <v>489</v>
      </c>
      <c r="L406" s="13" t="s">
        <v>53</v>
      </c>
      <c r="M406" s="13">
        <v>1</v>
      </c>
      <c r="O406" s="13">
        <v>1</v>
      </c>
      <c r="P406" s="13">
        <v>2</v>
      </c>
      <c r="Q406" s="13">
        <v>3</v>
      </c>
      <c r="R406" s="13" t="s">
        <v>122</v>
      </c>
      <c r="S406" s="13" t="s">
        <v>122</v>
      </c>
      <c r="T406" s="13">
        <v>44901</v>
      </c>
      <c r="U406" s="13">
        <v>2958465</v>
      </c>
      <c r="V406" s="13" t="s">
        <v>282</v>
      </c>
      <c r="W406" s="13" t="s">
        <v>145</v>
      </c>
      <c r="Y406" s="13" t="s">
        <v>143</v>
      </c>
      <c r="Z406" s="13">
        <v>7589154</v>
      </c>
      <c r="AA406" s="13">
        <v>702</v>
      </c>
      <c r="AB406" s="13">
        <v>351</v>
      </c>
      <c r="AE406" s="51">
        <f>M406/O406</f>
        <v>1</v>
      </c>
      <c r="AG406" s="6" t="str">
        <f>C406</f>
        <v>90MB1BJ0-C1BAY0</v>
      </c>
      <c r="AH406" s="6" t="str">
        <f>IF($D406&lt;=AH$4,"",IF(AND($D405=AH$4,$D406&gt;AH$4),$F405,AH405))</f>
        <v>59MB1BJB-MB0A02S</v>
      </c>
      <c r="AI406" s="6" t="str">
        <f>IF($D406&lt;=AI$4,"",IF(AND($D405=AI$4,$D406&gt;AI$4),$F405,AI405))</f>
        <v/>
      </c>
      <c r="AJ406" s="6" t="str">
        <f>IF($D406&lt;=AJ$4,"",IF(AND($D405=AJ$4,$D406&gt;AJ$4),$F405,AJ405))</f>
        <v/>
      </c>
      <c r="AK406" s="6" t="str">
        <f>IF($D406&lt;=AK$4,"",IF(AND($D405=AK$4,$D406&gt;AK$4),$F405,AK405))</f>
        <v/>
      </c>
      <c r="AL406" s="6" t="str">
        <f>IF($D406&lt;=AL$4,"",IF(AND($D405=AL$4,$D406&gt;AL$4),$F405,AL405))</f>
        <v/>
      </c>
      <c r="AM406" s="6" t="str">
        <f>IF($D406&lt;=AM$4,"",IF(AND($D405=AM$4,$D406&gt;AM$4),$F405,AM405))</f>
        <v/>
      </c>
      <c r="AN406" s="6" t="str">
        <f>IF($D406&lt;=AN$4,"",IF(AND($D405=AN$4,$D406&gt;AN$4),$F405,AN405))</f>
        <v/>
      </c>
      <c r="AO406" s="6" t="str">
        <f>CONCATENATE(AG406," | ",AH406," | ",AI406," | ",AJ406," | ",AK406," | ",AL406," | ",AM406," | ",AN406)</f>
        <v xml:space="preserve">90MB1BJ0-C1BAY0 | 59MB1BJB-MB0A02S |  |  |  |  |  | </v>
      </c>
      <c r="AP406" s="6">
        <f>IF(TRIM(H406)="",100,J406)</f>
        <v>0</v>
      </c>
      <c r="AQ406" s="4"/>
      <c r="AR406" s="6" t="b">
        <f>NOT(TRIM(W406)&lt;&gt;"F")</f>
        <v>1</v>
      </c>
      <c r="AS406" s="6" t="str">
        <f>$B406&amp;" | "&amp;$AO406&amp;" | "&amp;IF(TRIM(H406)="","uniq"&amp;ROW(),TRIM(H406))</f>
        <v>461E | 90MB1BJ0-C1BAY0 | 59MB1BJB-MB0A02S |  |  |  |  |  |  | E5</v>
      </c>
      <c r="AT406" s="63">
        <f>IF(NOT(AR406),IF(TRIM($H406)="","Assembly","Phantom Alt"),VLOOKUP(F406,ZPCS04!B:G,6,0))</f>
        <v>969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>SUMIF(AS:AS,AS406,AP:AP)=100</f>
        <v>1</v>
      </c>
      <c r="AZ406" s="6" t="b">
        <f>SUMIF(AS:AS,AS406,AE:AE)/COUNTIF(AS:AS,AS406)=AE406</f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>C406&amp;" | "&amp;F406</f>
        <v>90MB1BJ0-C1BAY0 | 10G212402214010</v>
      </c>
      <c r="BE406" s="55" t="str">
        <f ca="1">C406&amp;" | "&amp;OFFSET($AF406,0,8-COUNTBLANK($AG406:$AN406))</f>
        <v>90MB1BJ0-C1BAY0 | 59MB1BJB-MB0A02S</v>
      </c>
      <c r="BF406" s="57">
        <f ca="1">IFERROR(VLOOKUP($BE406,$BD$5:$BF405,3,0)*$AE406,VLOOKUP($C406,Demanda!$A:$B,2,0)*$AE406)*IF(AT406="Phantom Alt",$BC406,TRUE)</f>
        <v>1000</v>
      </c>
      <c r="BG406" s="57">
        <f ca="1">BF406*(AP406/100)</f>
        <v>0</v>
      </c>
      <c r="BH406" s="57">
        <f>SUMIF(Invoice!A:A,F406,Invoice!B:B)</f>
        <v>0</v>
      </c>
      <c r="BI406" s="57">
        <f ca="1">SUMIF(AS:AS,AS406,BG:BG)</f>
        <v>1000</v>
      </c>
      <c r="BJ406" s="57">
        <f ca="1">MIN((BI406-SUMIF($AS$5:AS405,AS406,$BJ$5:BJ405)),MAX(0,BH406-SUMIF($F$5:F405,F406,$BJ$5:BJ405)))</f>
        <v>0</v>
      </c>
      <c r="BK406" s="57">
        <f ca="1">(-SUMIF(AS:AS,AS406,BG:BG)+SUMIF(AS:AS,AS406,BJ:BJ))*(AP406=100)*AR406</f>
        <v>0</v>
      </c>
      <c r="BL406" s="57">
        <f ca="1">MAX(0,SUMIF(Invoice!A:A,F406,Invoice!B:B)-SUMIF(F:F,F406,BJ:BJ))*(COUNTIF(F:F,F406)=COUNTIF($F$5:F406,F406))</f>
        <v>0</v>
      </c>
    </row>
    <row r="407" spans="1:64" hidden="1">
      <c r="A407" s="43">
        <v>407</v>
      </c>
      <c r="B407" s="13" t="s">
        <v>147</v>
      </c>
      <c r="C407" s="13" t="s">
        <v>146</v>
      </c>
      <c r="D407" s="13">
        <v>2</v>
      </c>
      <c r="E407" s="13">
        <v>1450</v>
      </c>
      <c r="F407" s="71" t="s">
        <v>1007</v>
      </c>
      <c r="G407" s="71" t="s">
        <v>1008</v>
      </c>
      <c r="H407" s="13" t="s">
        <v>1004</v>
      </c>
      <c r="I407" s="13" t="s">
        <v>55</v>
      </c>
      <c r="J407" s="28">
        <v>0</v>
      </c>
      <c r="K407" s="13" t="s">
        <v>150</v>
      </c>
      <c r="L407" s="13" t="s">
        <v>53</v>
      </c>
      <c r="M407" s="13">
        <v>1</v>
      </c>
      <c r="O407" s="13">
        <v>1</v>
      </c>
      <c r="P407" s="13">
        <v>2</v>
      </c>
      <c r="Q407" s="13">
        <v>2</v>
      </c>
      <c r="R407" s="13" t="s">
        <v>73</v>
      </c>
      <c r="S407" s="13" t="s">
        <v>73</v>
      </c>
      <c r="T407" s="13">
        <v>44901</v>
      </c>
      <c r="U407" s="13">
        <v>2958465</v>
      </c>
      <c r="V407" s="13" t="s">
        <v>282</v>
      </c>
      <c r="W407" s="13" t="s">
        <v>145</v>
      </c>
      <c r="Y407" s="13" t="s">
        <v>143</v>
      </c>
      <c r="Z407" s="13">
        <v>7589154</v>
      </c>
      <c r="AA407" s="13">
        <v>700</v>
      </c>
      <c r="AB407" s="13">
        <v>350</v>
      </c>
      <c r="AE407" s="51">
        <f>M407/O407</f>
        <v>1</v>
      </c>
      <c r="AG407" s="6" t="str">
        <f>C407</f>
        <v>90MB1BJ0-C1BAY0</v>
      </c>
      <c r="AH407" s="6" t="str">
        <f>IF($D407&lt;=AH$4,"",IF(AND($D406=AH$4,$D407&gt;AH$4),$F406,AH406))</f>
        <v>59MB1BJB-MB0A02S</v>
      </c>
      <c r="AI407" s="6" t="str">
        <f>IF($D407&lt;=AI$4,"",IF(AND($D406=AI$4,$D407&gt;AI$4),$F406,AI406))</f>
        <v/>
      </c>
      <c r="AJ407" s="6" t="str">
        <f>IF($D407&lt;=AJ$4,"",IF(AND($D406=AJ$4,$D407&gt;AJ$4),$F406,AJ406))</f>
        <v/>
      </c>
      <c r="AK407" s="6" t="str">
        <f>IF($D407&lt;=AK$4,"",IF(AND($D406=AK$4,$D407&gt;AK$4),$F406,AK406))</f>
        <v/>
      </c>
      <c r="AL407" s="6" t="str">
        <f>IF($D407&lt;=AL$4,"",IF(AND($D406=AL$4,$D407&gt;AL$4),$F406,AL406))</f>
        <v/>
      </c>
      <c r="AM407" s="6" t="str">
        <f>IF($D407&lt;=AM$4,"",IF(AND($D406=AM$4,$D407&gt;AM$4),$F406,AM406))</f>
        <v/>
      </c>
      <c r="AN407" s="6" t="str">
        <f>IF($D407&lt;=AN$4,"",IF(AND($D406=AN$4,$D407&gt;AN$4),$F406,AN406))</f>
        <v/>
      </c>
      <c r="AO407" s="6" t="str">
        <f>CONCATENATE(AG407," | ",AH407," | ",AI407," | ",AJ407," | ",AK407," | ",AL407," | ",AM407," | ",AN407)</f>
        <v xml:space="preserve">90MB1BJ0-C1BAY0 | 59MB1BJB-MB0A02S |  |  |  |  |  | </v>
      </c>
      <c r="AP407" s="6">
        <f>IF(TRIM(H407)="",100,J407)</f>
        <v>0</v>
      </c>
      <c r="AQ407" s="4"/>
      <c r="AR407" s="6" t="b">
        <f>NOT(TRIM(W407)&lt;&gt;"F")</f>
        <v>1</v>
      </c>
      <c r="AS407" s="6" t="str">
        <f>$B407&amp;" | "&amp;$AO407&amp;" | "&amp;IF(TRIM(H407)="","uniq"&amp;ROW(),TRIM(H407))</f>
        <v>461E | 90MB1BJ0-C1BAY0 | 59MB1BJB-MB0A02S |  |  |  |  |  |  | E5</v>
      </c>
      <c r="AT407" s="63">
        <f>IF(NOT(AR407),IF(TRIM($H407)="","Assembly","Phantom Alt"),VLOOKUP(F407,ZPCS04!B:G,6,0))</f>
        <v>969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>SUMIF(AS:AS,AS407,AP:AP)=100</f>
        <v>1</v>
      </c>
      <c r="AZ407" s="6" t="b">
        <f>SUMIF(AS:AS,AS407,AE:AE)/COUNTIF(AS:AS,AS407)=AE407</f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>C407&amp;" | "&amp;F407</f>
        <v>90MB1BJ0-C1BAY0 | 10G212402214050</v>
      </c>
      <c r="BE407" s="55" t="str">
        <f ca="1">C407&amp;" | "&amp;OFFSET($AF407,0,8-COUNTBLANK($AG407:$AN407))</f>
        <v>90MB1BJ0-C1BAY0 | 59MB1BJB-MB0A02S</v>
      </c>
      <c r="BF407" s="57">
        <f ca="1">IFERROR(VLOOKUP($BE407,$BD$5:$BF406,3,0)*$AE407,VLOOKUP($C407,Demanda!$A:$B,2,0)*$AE407)*IF(AT407="Phantom Alt",$BC407,TRUE)</f>
        <v>1000</v>
      </c>
      <c r="BG407" s="57">
        <f ca="1">BF407*(AP407/100)</f>
        <v>0</v>
      </c>
      <c r="BH407" s="57">
        <f>SUMIF(Invoice!A:A,F407,Invoice!B:B)</f>
        <v>0</v>
      </c>
      <c r="BI407" s="57">
        <f ca="1">SUMIF(AS:AS,AS407,BG:BG)</f>
        <v>1000</v>
      </c>
      <c r="BJ407" s="57">
        <f ca="1">MIN((BI407-SUMIF($AS$5:AS406,AS407,$BJ$5:BJ406)),MAX(0,BH407-SUMIF($F$5:F406,F407,$BJ$5:BJ406)))</f>
        <v>0</v>
      </c>
      <c r="BK407" s="57">
        <f ca="1">(-SUMIF(AS:AS,AS407,BG:BG)+SUMIF(AS:AS,AS407,BJ:BJ))*(AP407=100)*AR407</f>
        <v>0</v>
      </c>
      <c r="BL407" s="57">
        <f ca="1">MAX(0,SUMIF(Invoice!A:A,F407,Invoice!B:B)-SUMIF(F:F,F407,BJ:BJ))*(COUNTIF(F:F,F407)=COUNTIF($F$5:F407,F407))</f>
        <v>0</v>
      </c>
    </row>
    <row r="408" spans="1:64" hidden="1">
      <c r="A408" s="43">
        <v>409</v>
      </c>
      <c r="B408" s="13" t="s">
        <v>147</v>
      </c>
      <c r="C408" s="13" t="s">
        <v>146</v>
      </c>
      <c r="D408" s="13">
        <v>2</v>
      </c>
      <c r="E408" s="13">
        <v>1460</v>
      </c>
      <c r="F408" s="71" t="s">
        <v>1012</v>
      </c>
      <c r="G408" s="71" t="s">
        <v>1013</v>
      </c>
      <c r="H408" s="13" t="s">
        <v>1011</v>
      </c>
      <c r="I408" s="13" t="s">
        <v>55</v>
      </c>
      <c r="J408" s="28">
        <v>0</v>
      </c>
      <c r="K408" s="13" t="s">
        <v>150</v>
      </c>
      <c r="L408" s="13" t="s">
        <v>53</v>
      </c>
      <c r="M408" s="13">
        <v>1</v>
      </c>
      <c r="O408" s="13">
        <v>1</v>
      </c>
      <c r="P408" s="13">
        <v>2</v>
      </c>
      <c r="Q408" s="13">
        <v>2</v>
      </c>
      <c r="R408" s="13" t="s">
        <v>73</v>
      </c>
      <c r="S408" s="13" t="s">
        <v>73</v>
      </c>
      <c r="T408" s="13">
        <v>44901</v>
      </c>
      <c r="U408" s="13">
        <v>2958465</v>
      </c>
      <c r="V408" s="13" t="s">
        <v>282</v>
      </c>
      <c r="W408" s="13" t="s">
        <v>145</v>
      </c>
      <c r="Y408" s="13" t="s">
        <v>143</v>
      </c>
      <c r="Z408" s="13">
        <v>7589154</v>
      </c>
      <c r="AA408" s="13">
        <v>706</v>
      </c>
      <c r="AB408" s="13">
        <v>353</v>
      </c>
      <c r="AE408" s="51">
        <f>M408/O408</f>
        <v>1</v>
      </c>
      <c r="AG408" s="6" t="str">
        <f>C408</f>
        <v>90MB1BJ0-C1BAY0</v>
      </c>
      <c r="AH408" s="6" t="str">
        <f>IF($D408&lt;=AH$4,"",IF(AND($D407=AH$4,$D408&gt;AH$4),$F407,AH407))</f>
        <v>59MB1BJB-MB0A02S</v>
      </c>
      <c r="AI408" s="6" t="str">
        <f>IF($D408&lt;=AI$4,"",IF(AND($D407=AI$4,$D408&gt;AI$4),$F407,AI407))</f>
        <v/>
      </c>
      <c r="AJ408" s="6" t="str">
        <f>IF($D408&lt;=AJ$4,"",IF(AND($D407=AJ$4,$D408&gt;AJ$4),$F407,AJ407))</f>
        <v/>
      </c>
      <c r="AK408" s="6" t="str">
        <f>IF($D408&lt;=AK$4,"",IF(AND($D407=AK$4,$D408&gt;AK$4),$F407,AK407))</f>
        <v/>
      </c>
      <c r="AL408" s="6" t="str">
        <f>IF($D408&lt;=AL$4,"",IF(AND($D407=AL$4,$D408&gt;AL$4),$F407,AL407))</f>
        <v/>
      </c>
      <c r="AM408" s="6" t="str">
        <f>IF($D408&lt;=AM$4,"",IF(AND($D407=AM$4,$D408&gt;AM$4),$F407,AM407))</f>
        <v/>
      </c>
      <c r="AN408" s="6" t="str">
        <f>IF($D408&lt;=AN$4,"",IF(AND($D407=AN$4,$D408&gt;AN$4),$F407,AN407))</f>
        <v/>
      </c>
      <c r="AO408" s="6" t="str">
        <f>CONCATENATE(AG408," | ",AH408," | ",AI408," | ",AJ408," | ",AK408," | ",AL408," | ",AM408," | ",AN408)</f>
        <v xml:space="preserve">90MB1BJ0-C1BAY0 | 59MB1BJB-MB0A02S |  |  |  |  |  | </v>
      </c>
      <c r="AP408" s="6">
        <f>IF(TRIM(H408)="",100,J408)</f>
        <v>0</v>
      </c>
      <c r="AQ408" s="4"/>
      <c r="AR408" s="6" t="b">
        <f>NOT(TRIM(W408)&lt;&gt;"F")</f>
        <v>1</v>
      </c>
      <c r="AS408" s="6" t="str">
        <f>$B408&amp;" | "&amp;$AO408&amp;" | "&amp;IF(TRIM(H408)="","uniq"&amp;ROW(),TRIM(H408))</f>
        <v>461E | 90MB1BJ0-C1BAY0 | 59MB1BJB-MB0A02S |  |  |  |  |  |  | E6</v>
      </c>
      <c r="AT408" s="63">
        <f>IF(NOT(AR408),IF(TRIM($H408)="","Assembly","Phantom Alt"),VLOOKUP(F408,ZPCS04!B:G,6,0))</f>
        <v>1268</v>
      </c>
      <c r="AU408" s="7"/>
      <c r="AV408" s="38">
        <f ca="1">IF(TRIM($W408)="F",OFFSET($A$5,MATCH($AS408,$AS$5:$AS408,0)-1,0),$A408)</f>
        <v>409</v>
      </c>
      <c r="AW408" s="38">
        <f ca="1">IFERROR(OFFSET(ZPCS04!$A$1,MATCH(F408,ZPCS04!B:B,0)-1,0),100)</f>
        <v>1.9999999000000002</v>
      </c>
      <c r="AX408" s="7"/>
      <c r="AY408" s="6" t="b">
        <f>SUMIF(AS:AS,AS408,AP:AP)=100</f>
        <v>1</v>
      </c>
      <c r="AZ408" s="6" t="b">
        <f>SUMIF(AS:AS,AS408,AE:AE)/COUNTIF(AS:AS,AS408)=AE408</f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>C408&amp;" | "&amp;F408</f>
        <v>90MB1BJ0-C1BAY0 | 10G212422114020</v>
      </c>
      <c r="BE408" s="55" t="str">
        <f ca="1">C408&amp;" | "&amp;OFFSET($AF408,0,8-COUNTBLANK($AG408:$AN408))</f>
        <v>90MB1BJ0-C1BAY0 | 59MB1BJB-MB0A02S</v>
      </c>
      <c r="BF408" s="57">
        <f ca="1">IFERROR(VLOOKUP($BE408,$BD$5:$BF407,3,0)*$AE408,VLOOKUP($C408,Demanda!$A:$B,2,0)*$AE408)*IF(AT408="Phantom Alt",$BC408,TRUE)</f>
        <v>1000</v>
      </c>
      <c r="BG408" s="57">
        <f ca="1">BF408*(AP408/100)</f>
        <v>0</v>
      </c>
      <c r="BH408" s="57">
        <f>SUMIF(Invoice!A:A,F408,Invoice!B:B)</f>
        <v>10000</v>
      </c>
      <c r="BI408" s="57">
        <f ca="1">SUMIF(AS:AS,AS408,BG:BG)</f>
        <v>1000</v>
      </c>
      <c r="BJ408" s="57">
        <f ca="1">MIN((BI408-SUMIF($AS$5:AS407,AS408,$BJ$5:BJ407)),MAX(0,BH408-SUMIF($F$5:F407,F408,$BJ$5:BJ407)))</f>
        <v>1000</v>
      </c>
      <c r="BK408" s="57">
        <f ca="1">(-SUMIF(AS:AS,AS408,BG:BG)+SUMIF(AS:AS,AS408,BJ:BJ))*(AP408=100)*AR408</f>
        <v>0</v>
      </c>
      <c r="BL408" s="57">
        <f ca="1">MAX(0,SUMIF(Invoice!A:A,F408,Invoice!B:B)-SUMIF(F:F,F408,BJ:BJ))*(COUNTIF(F:F,F408)=COUNTIF($F$5:F408,F408))</f>
        <v>9000</v>
      </c>
    </row>
    <row r="409" spans="1:64" hidden="1">
      <c r="A409" s="43">
        <v>408</v>
      </c>
      <c r="B409" s="13" t="s">
        <v>147</v>
      </c>
      <c r="C409" s="13" t="s">
        <v>146</v>
      </c>
      <c r="D409" s="13">
        <v>2</v>
      </c>
      <c r="E409" s="13">
        <v>1460</v>
      </c>
      <c r="F409" s="71" t="s">
        <v>1009</v>
      </c>
      <c r="G409" s="71" t="s">
        <v>1010</v>
      </c>
      <c r="H409" s="13" t="s">
        <v>1011</v>
      </c>
      <c r="I409" s="13" t="s">
        <v>54</v>
      </c>
      <c r="J409" s="28">
        <v>100</v>
      </c>
      <c r="K409" s="13" t="s">
        <v>489</v>
      </c>
      <c r="L409" s="13" t="s">
        <v>53</v>
      </c>
      <c r="M409" s="13">
        <v>1</v>
      </c>
      <c r="N409" s="13">
        <v>1</v>
      </c>
      <c r="O409" s="13">
        <v>1</v>
      </c>
      <c r="P409" s="13">
        <v>2</v>
      </c>
      <c r="Q409" s="13">
        <v>1</v>
      </c>
      <c r="R409" s="13" t="s">
        <v>73</v>
      </c>
      <c r="S409" s="13" t="s">
        <v>73</v>
      </c>
      <c r="T409" s="13">
        <v>44901</v>
      </c>
      <c r="U409" s="13">
        <v>2958465</v>
      </c>
      <c r="V409" s="13" t="s">
        <v>282</v>
      </c>
      <c r="W409" s="13" t="s">
        <v>145</v>
      </c>
      <c r="Y409" s="13" t="s">
        <v>143</v>
      </c>
      <c r="Z409" s="13">
        <v>7589154</v>
      </c>
      <c r="AA409" s="13">
        <v>704</v>
      </c>
      <c r="AB409" s="13">
        <v>352</v>
      </c>
      <c r="AE409" s="51">
        <f>M409/O409</f>
        <v>1</v>
      </c>
      <c r="AG409" s="6" t="str">
        <f>C409</f>
        <v>90MB1BJ0-C1BAY0</v>
      </c>
      <c r="AH409" s="6" t="str">
        <f>IF($D409&lt;=AH$4,"",IF(AND($D408=AH$4,$D409&gt;AH$4),$F408,AH408))</f>
        <v>59MB1BJB-MB0A02S</v>
      </c>
      <c r="AI409" s="6" t="str">
        <f>IF($D409&lt;=AI$4,"",IF(AND($D408=AI$4,$D409&gt;AI$4),$F408,AI408))</f>
        <v/>
      </c>
      <c r="AJ409" s="6" t="str">
        <f>IF($D409&lt;=AJ$4,"",IF(AND($D408=AJ$4,$D409&gt;AJ$4),$F408,AJ408))</f>
        <v/>
      </c>
      <c r="AK409" s="6" t="str">
        <f>IF($D409&lt;=AK$4,"",IF(AND($D408=AK$4,$D409&gt;AK$4),$F408,AK408))</f>
        <v/>
      </c>
      <c r="AL409" s="6" t="str">
        <f>IF($D409&lt;=AL$4,"",IF(AND($D408=AL$4,$D409&gt;AL$4),$F408,AL408))</f>
        <v/>
      </c>
      <c r="AM409" s="6" t="str">
        <f>IF($D409&lt;=AM$4,"",IF(AND($D408=AM$4,$D409&gt;AM$4),$F408,AM408))</f>
        <v/>
      </c>
      <c r="AN409" s="6" t="str">
        <f>IF($D409&lt;=AN$4,"",IF(AND($D408=AN$4,$D409&gt;AN$4),$F408,AN408))</f>
        <v/>
      </c>
      <c r="AO409" s="6" t="str">
        <f>CONCATENATE(AG409," | ",AH409," | ",AI409," | ",AJ409," | ",AK409," | ",AL409," | ",AM409," | ",AN409)</f>
        <v xml:space="preserve">90MB1BJ0-C1BAY0 | 59MB1BJB-MB0A02S |  |  |  |  |  | </v>
      </c>
      <c r="AP409" s="6">
        <f>IF(TRIM(H409)="",100,J409)</f>
        <v>100</v>
      </c>
      <c r="AQ409" s="4"/>
      <c r="AR409" s="6" t="b">
        <f>NOT(TRIM(W409)&lt;&gt;"F")</f>
        <v>1</v>
      </c>
      <c r="AS409" s="6" t="str">
        <f>$B409&amp;" | "&amp;$AO409&amp;" | "&amp;IF(TRIM(H409)="","uniq"&amp;ROW(),TRIM(H409))</f>
        <v>461E | 90MB1BJ0-C1BAY0 | 59MB1BJB-MB0A02S |  |  |  |  |  |  | E6</v>
      </c>
      <c r="AT409" s="63">
        <f>IF(NOT(AR409),IF(TRIM($H409)="","Assembly","Phantom Alt"),VLOOKUP(F409,ZPCS04!B:G,6,0))</f>
        <v>1268</v>
      </c>
      <c r="AU409" s="7"/>
      <c r="AV409" s="38">
        <f ca="1">IF(TRIM($W409)="F",OFFSET($A$5,MATCH($AS409,$AS$5:$AS409,0)-1,0),$A409)</f>
        <v>409</v>
      </c>
      <c r="AW409" s="38">
        <f ca="1">IFERROR(OFFSET(ZPCS04!$A$1,MATCH(F409,ZPCS04!B:B,0)-1,0),100)</f>
        <v>2</v>
      </c>
      <c r="AX409" s="7"/>
      <c r="AY409" s="6" t="b">
        <f>SUMIF(AS:AS,AS409,AP:AP)=100</f>
        <v>1</v>
      </c>
      <c r="AZ409" s="6" t="b">
        <f>SUMIF(AS:AS,AS409,AE:AE)/COUNTIF(AS:AS,AS409)=AE409</f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>C409&amp;" | "&amp;F409</f>
        <v>90MB1BJ0-C1BAY0 | 10G212422114010</v>
      </c>
      <c r="BE409" s="55" t="str">
        <f ca="1">C409&amp;" | "&amp;OFFSET($AF409,0,8-COUNTBLANK($AG409:$AN409))</f>
        <v>90MB1BJ0-C1BAY0 | 59MB1BJB-MB0A02S</v>
      </c>
      <c r="BF409" s="57">
        <f ca="1">IFERROR(VLOOKUP($BE409,$BD$5:$BF408,3,0)*$AE409,VLOOKUP($C409,Demanda!$A:$B,2,0)*$AE409)*IF(AT409="Phantom Alt",$BC409,TRUE)</f>
        <v>1000</v>
      </c>
      <c r="BG409" s="57">
        <f ca="1">BF409*(AP409/100)</f>
        <v>1000</v>
      </c>
      <c r="BH409" s="57">
        <f>SUMIF(Invoice!A:A,F409,Invoice!B:B)</f>
        <v>0</v>
      </c>
      <c r="BI409" s="57">
        <f ca="1">SUMIF(AS:AS,AS409,BG:BG)</f>
        <v>1000</v>
      </c>
      <c r="BJ409" s="57">
        <f ca="1">MIN((BI409-SUMIF($AS$5:AS408,AS409,$BJ$5:BJ408)),MAX(0,BH409-SUMIF($F$5:F408,F409,$BJ$5:BJ408)))</f>
        <v>0</v>
      </c>
      <c r="BK409" s="57">
        <f ca="1">(-SUMIF(AS:AS,AS409,BG:BG)+SUMIF(AS:AS,AS409,BJ:BJ))*(AP409=100)*AR409</f>
        <v>0</v>
      </c>
      <c r="BL409" s="57">
        <f ca="1">MAX(0,SUMIF(Invoice!A:A,F409,Invoice!B:B)-SUMIF(F:F,F409,BJ:BJ))*(COUNTIF(F:F,F409)=COUNTIF($F$5:F409,F409))</f>
        <v>0</v>
      </c>
    </row>
    <row r="410" spans="1:64" hidden="1">
      <c r="A410" s="43">
        <v>410</v>
      </c>
      <c r="B410" s="13" t="s">
        <v>147</v>
      </c>
      <c r="C410" s="13" t="s">
        <v>146</v>
      </c>
      <c r="D410" s="13">
        <v>2</v>
      </c>
      <c r="E410" s="13">
        <v>1460</v>
      </c>
      <c r="F410" s="71" t="s">
        <v>1014</v>
      </c>
      <c r="G410" s="71" t="s">
        <v>1015</v>
      </c>
      <c r="H410" s="13" t="s">
        <v>1011</v>
      </c>
      <c r="I410" s="13" t="s">
        <v>55</v>
      </c>
      <c r="J410" s="28">
        <v>0</v>
      </c>
      <c r="K410" s="13" t="s">
        <v>150</v>
      </c>
      <c r="L410" s="13" t="s">
        <v>53</v>
      </c>
      <c r="M410" s="13">
        <v>1</v>
      </c>
      <c r="O410" s="13">
        <v>1</v>
      </c>
      <c r="P410" s="13">
        <v>2</v>
      </c>
      <c r="Q410" s="13">
        <v>3</v>
      </c>
      <c r="R410" s="13" t="s">
        <v>73</v>
      </c>
      <c r="S410" s="13" t="s">
        <v>73</v>
      </c>
      <c r="T410" s="13">
        <v>44901</v>
      </c>
      <c r="U410" s="13">
        <v>2958465</v>
      </c>
      <c r="V410" s="13" t="s">
        <v>282</v>
      </c>
      <c r="W410" s="13" t="s">
        <v>145</v>
      </c>
      <c r="Y410" s="13" t="s">
        <v>143</v>
      </c>
      <c r="Z410" s="13">
        <v>7589154</v>
      </c>
      <c r="AA410" s="13">
        <v>708</v>
      </c>
      <c r="AB410" s="13">
        <v>354</v>
      </c>
      <c r="AE410" s="51">
        <f>M410/O410</f>
        <v>1</v>
      </c>
      <c r="AG410" s="6" t="str">
        <f>C410</f>
        <v>90MB1BJ0-C1BAY0</v>
      </c>
      <c r="AH410" s="6" t="str">
        <f>IF($D410&lt;=AH$4,"",IF(AND($D409=AH$4,$D410&gt;AH$4),$F409,AH409))</f>
        <v>59MB1BJB-MB0A02S</v>
      </c>
      <c r="AI410" s="6" t="str">
        <f>IF($D410&lt;=AI$4,"",IF(AND($D409=AI$4,$D410&gt;AI$4),$F409,AI409))</f>
        <v/>
      </c>
      <c r="AJ410" s="6" t="str">
        <f>IF($D410&lt;=AJ$4,"",IF(AND($D409=AJ$4,$D410&gt;AJ$4),$F409,AJ409))</f>
        <v/>
      </c>
      <c r="AK410" s="6" t="str">
        <f>IF($D410&lt;=AK$4,"",IF(AND($D409=AK$4,$D410&gt;AK$4),$F409,AK409))</f>
        <v/>
      </c>
      <c r="AL410" s="6" t="str">
        <f>IF($D410&lt;=AL$4,"",IF(AND($D409=AL$4,$D410&gt;AL$4),$F409,AL409))</f>
        <v/>
      </c>
      <c r="AM410" s="6" t="str">
        <f>IF($D410&lt;=AM$4,"",IF(AND($D409=AM$4,$D410&gt;AM$4),$F409,AM409))</f>
        <v/>
      </c>
      <c r="AN410" s="6" t="str">
        <f>IF($D410&lt;=AN$4,"",IF(AND($D409=AN$4,$D410&gt;AN$4),$F409,AN409))</f>
        <v/>
      </c>
      <c r="AO410" s="6" t="str">
        <f>CONCATENATE(AG410," | ",AH410," | ",AI410," | ",AJ410," | ",AK410," | ",AL410," | ",AM410," | ",AN410)</f>
        <v xml:space="preserve">90MB1BJ0-C1BAY0 | 59MB1BJB-MB0A02S |  |  |  |  |  | </v>
      </c>
      <c r="AP410" s="6">
        <f>IF(TRIM(H410)="",100,J410)</f>
        <v>0</v>
      </c>
      <c r="AQ410" s="4"/>
      <c r="AR410" s="6" t="b">
        <f>NOT(TRIM(W410)&lt;&gt;"F")</f>
        <v>1</v>
      </c>
      <c r="AS410" s="6" t="str">
        <f>$B410&amp;" | "&amp;$AO410&amp;" | "&amp;IF(TRIM(H410)="","uniq"&amp;ROW(),TRIM(H410))</f>
        <v>461E | 90MB1BJ0-C1BAY0 | 59MB1BJB-MB0A02S |  |  |  |  |  |  | E6</v>
      </c>
      <c r="AT410" s="63">
        <f>IF(NOT(AR410),IF(TRIM($H410)="","Assembly","Phantom Alt"),VLOOKUP(F410,ZPCS04!B:G,6,0))</f>
        <v>1268</v>
      </c>
      <c r="AU410" s="7"/>
      <c r="AV410" s="38">
        <f ca="1">IF(TRIM($W410)="F",OFFSET($A$5,MATCH($AS410,$AS$5:$AS410,0)-1,0),$A410)</f>
        <v>409</v>
      </c>
      <c r="AW410" s="38">
        <f ca="1">IFERROR(OFFSET(ZPCS04!$A$1,MATCH(F410,ZPCS04!B:B,0)-1,0),100)</f>
        <v>2</v>
      </c>
      <c r="AX410" s="7"/>
      <c r="AY410" s="6" t="b">
        <f>SUMIF(AS:AS,AS410,AP:AP)=100</f>
        <v>1</v>
      </c>
      <c r="AZ410" s="6" t="b">
        <f>SUMIF(AS:AS,AS410,AE:AE)/COUNTIF(AS:AS,AS410)=AE410</f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>C410&amp;" | "&amp;F410</f>
        <v>90MB1BJ0-C1BAY0 | 10G212422114050</v>
      </c>
      <c r="BE410" s="55" t="str">
        <f ca="1">C410&amp;" | "&amp;OFFSET($AF410,0,8-COUNTBLANK($AG410:$AN410))</f>
        <v>90MB1BJ0-C1BAY0 | 59MB1BJB-MB0A02S</v>
      </c>
      <c r="BF410" s="57">
        <f ca="1">IFERROR(VLOOKUP($BE410,$BD$5:$BF409,3,0)*$AE410,VLOOKUP($C410,Demanda!$A:$B,2,0)*$AE410)*IF(AT410="Phantom Alt",$BC410,TRUE)</f>
        <v>1000</v>
      </c>
      <c r="BG410" s="57">
        <f ca="1">BF410*(AP410/100)</f>
        <v>0</v>
      </c>
      <c r="BH410" s="57">
        <f>SUMIF(Invoice!A:A,F410,Invoice!B:B)</f>
        <v>0</v>
      </c>
      <c r="BI410" s="57">
        <f ca="1">SUMIF(AS:AS,AS410,BG:BG)</f>
        <v>1000</v>
      </c>
      <c r="BJ410" s="57">
        <f ca="1">MIN((BI410-SUMIF($AS$5:AS409,AS410,$BJ$5:BJ409)),MAX(0,BH410-SUMIF($F$5:F409,F410,$BJ$5:BJ409)))</f>
        <v>0</v>
      </c>
      <c r="BK410" s="57">
        <f ca="1">(-SUMIF(AS:AS,AS410,BG:BG)+SUMIF(AS:AS,AS410,BJ:BJ))*(AP410=100)*AR410</f>
        <v>0</v>
      </c>
      <c r="BL410" s="57">
        <f ca="1">MAX(0,SUMIF(Invoice!A:A,F410,Invoice!B:B)-SUMIF(F:F,F410,BJ:BJ))*(COUNTIF(F:F,F410)=COUNTIF($F$5:F410,F410))</f>
        <v>0</v>
      </c>
    </row>
    <row r="411" spans="1:64" hidden="1">
      <c r="A411" s="43">
        <v>411</v>
      </c>
      <c r="B411" s="13" t="s">
        <v>147</v>
      </c>
      <c r="C411" s="13" t="s">
        <v>146</v>
      </c>
      <c r="D411" s="13">
        <v>2</v>
      </c>
      <c r="E411" s="13">
        <v>1470</v>
      </c>
      <c r="F411" s="71" t="s">
        <v>1016</v>
      </c>
      <c r="G411" s="71" t="s">
        <v>1017</v>
      </c>
      <c r="H411" s="13" t="s">
        <v>1018</v>
      </c>
      <c r="I411" s="13" t="s">
        <v>55</v>
      </c>
      <c r="J411" s="28">
        <v>0</v>
      </c>
      <c r="K411" s="13" t="s">
        <v>489</v>
      </c>
      <c r="L411" s="13" t="s">
        <v>53</v>
      </c>
      <c r="M411" s="13">
        <v>36</v>
      </c>
      <c r="O411" s="13">
        <v>1</v>
      </c>
      <c r="P411" s="13">
        <v>2</v>
      </c>
      <c r="Q411" s="13">
        <v>2</v>
      </c>
      <c r="R411" s="13" t="s">
        <v>122</v>
      </c>
      <c r="S411" s="13" t="s">
        <v>122</v>
      </c>
      <c r="T411" s="13">
        <v>44901</v>
      </c>
      <c r="U411" s="13">
        <v>2958465</v>
      </c>
      <c r="V411" s="13" t="s">
        <v>282</v>
      </c>
      <c r="W411" s="13" t="s">
        <v>145</v>
      </c>
      <c r="Y411" s="13" t="s">
        <v>143</v>
      </c>
      <c r="Z411" s="13">
        <v>7589154</v>
      </c>
      <c r="AA411" s="13">
        <v>712</v>
      </c>
      <c r="AB411" s="13">
        <v>356</v>
      </c>
      <c r="AE411" s="51">
        <f>M411/O411</f>
        <v>36</v>
      </c>
      <c r="AG411" s="6" t="str">
        <f>C411</f>
        <v>90MB1BJ0-C1BAY0</v>
      </c>
      <c r="AH411" s="6" t="str">
        <f>IF($D411&lt;=AH$4,"",IF(AND($D410=AH$4,$D411&gt;AH$4),$F410,AH410))</f>
        <v>59MB1BJB-MB0A02S</v>
      </c>
      <c r="AI411" s="6" t="str">
        <f>IF($D411&lt;=AI$4,"",IF(AND($D410=AI$4,$D411&gt;AI$4),$F410,AI410))</f>
        <v/>
      </c>
      <c r="AJ411" s="6" t="str">
        <f>IF($D411&lt;=AJ$4,"",IF(AND($D410=AJ$4,$D411&gt;AJ$4),$F410,AJ410))</f>
        <v/>
      </c>
      <c r="AK411" s="6" t="str">
        <f>IF($D411&lt;=AK$4,"",IF(AND($D410=AK$4,$D411&gt;AK$4),$F410,AK410))</f>
        <v/>
      </c>
      <c r="AL411" s="6" t="str">
        <f>IF($D411&lt;=AL$4,"",IF(AND($D410=AL$4,$D411&gt;AL$4),$F410,AL410))</f>
        <v/>
      </c>
      <c r="AM411" s="6" t="str">
        <f>IF($D411&lt;=AM$4,"",IF(AND($D410=AM$4,$D411&gt;AM$4),$F410,AM410))</f>
        <v/>
      </c>
      <c r="AN411" s="6" t="str">
        <f>IF($D411&lt;=AN$4,"",IF(AND($D410=AN$4,$D411&gt;AN$4),$F410,AN410))</f>
        <v/>
      </c>
      <c r="AO411" s="6" t="str">
        <f>CONCATENATE(AG411," | ",AH411," | ",AI411," | ",AJ411," | ",AK411," | ",AL411," | ",AM411," | ",AN411)</f>
        <v xml:space="preserve">90MB1BJ0-C1BAY0 | 59MB1BJB-MB0A02S |  |  |  |  |  | </v>
      </c>
      <c r="AP411" s="6">
        <f>IF(TRIM(H411)="",100,J411)</f>
        <v>0</v>
      </c>
      <c r="AQ411" s="4"/>
      <c r="AR411" s="6" t="b">
        <f>NOT(TRIM(W411)&lt;&gt;"F")</f>
        <v>1</v>
      </c>
      <c r="AS411" s="6" t="str">
        <f>$B411&amp;" | "&amp;$AO411&amp;" | "&amp;IF(TRIM(H411)="","uniq"&amp;ROW(),TRIM(H411))</f>
        <v>461E | 90MB1BJ0-C1BAY0 | 59MB1BJB-MB0A02S |  |  |  |  |  |  | E7</v>
      </c>
      <c r="AT411" s="63">
        <f>IF(NOT(AR411),IF(TRIM($H411)="","Assembly","Phantom Alt"),VLOOKUP(F411,ZPCS04!B:G,6,0))</f>
        <v>685</v>
      </c>
      <c r="AU411" s="7"/>
      <c r="AV411" s="38">
        <f ca="1">IF(TRIM($W411)="F",OFFSET($A$5,MATCH($AS411,$AS$5:$AS411,0)-1,0),$A411)</f>
        <v>411</v>
      </c>
      <c r="AW411" s="38">
        <f ca="1">IFERROR(OFFSET(ZPCS04!$A$1,MATCH(F411,ZPCS04!B:B,0)-1,0),100)</f>
        <v>1.9999996</v>
      </c>
      <c r="AX411" s="7"/>
      <c r="AY411" s="6" t="b">
        <f>SUMIF(AS:AS,AS411,AP:AP)=100</f>
        <v>1</v>
      </c>
      <c r="AZ411" s="6" t="b">
        <f>SUMIF(AS:AS,AS411,AE:AE)/COUNTIF(AS:AS,AS411)=AE411</f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>C411&amp;" | "&amp;F411</f>
        <v>90MB1BJ0-C1BAY0 | 10G212470114010</v>
      </c>
      <c r="BE411" s="55" t="str">
        <f ca="1">C411&amp;" | "&amp;OFFSET($AF411,0,8-COUNTBLANK($AG411:$AN411))</f>
        <v>90MB1BJ0-C1BAY0 | 59MB1BJB-MB0A02S</v>
      </c>
      <c r="BF411" s="57">
        <f ca="1">IFERROR(VLOOKUP($BE411,$BD$5:$BF410,3,0)*$AE411,VLOOKUP($C411,Demanda!$A:$B,2,0)*$AE411)*IF(AT411="Phantom Alt",$BC411,TRUE)</f>
        <v>36000</v>
      </c>
      <c r="BG411" s="57">
        <f ca="1">BF411*(AP411/100)</f>
        <v>0</v>
      </c>
      <c r="BH411" s="57">
        <f>SUMIF(Invoice!A:A,F411,Invoice!B:B)</f>
        <v>40000</v>
      </c>
      <c r="BI411" s="57">
        <f ca="1">SUMIF(AS:AS,AS411,BG:BG)</f>
        <v>36000</v>
      </c>
      <c r="BJ411" s="57">
        <f ca="1">MIN((BI411-SUMIF($AS$5:AS410,AS411,$BJ$5:BJ410)),MAX(0,BH411-SUMIF($F$5:F410,F411,$BJ$5:BJ410)))</f>
        <v>36000</v>
      </c>
      <c r="BK411" s="57">
        <f ca="1">(-SUMIF(AS:AS,AS411,BG:BG)+SUMIF(AS:AS,AS411,BJ:BJ))*(AP411=100)*AR411</f>
        <v>0</v>
      </c>
      <c r="BL411" s="57">
        <f ca="1">MAX(0,SUMIF(Invoice!A:A,F411,Invoice!B:B)-SUMIF(F:F,F411,BJ:BJ))*(COUNTIF(F:F,F411)=COUNTIF($F$5:F411,F411))</f>
        <v>4000</v>
      </c>
    </row>
    <row r="412" spans="1:64" hidden="1">
      <c r="A412" s="43">
        <v>412</v>
      </c>
      <c r="B412" s="13" t="s">
        <v>147</v>
      </c>
      <c r="C412" s="13" t="s">
        <v>146</v>
      </c>
      <c r="D412" s="13">
        <v>2</v>
      </c>
      <c r="E412" s="13">
        <v>1470</v>
      </c>
      <c r="F412" s="71" t="s">
        <v>1019</v>
      </c>
      <c r="G412" s="71" t="s">
        <v>1020</v>
      </c>
      <c r="H412" s="13" t="s">
        <v>1018</v>
      </c>
      <c r="I412" s="13" t="s">
        <v>54</v>
      </c>
      <c r="J412" s="28">
        <v>100</v>
      </c>
      <c r="K412" s="13" t="s">
        <v>489</v>
      </c>
      <c r="L412" s="13" t="s">
        <v>53</v>
      </c>
      <c r="M412" s="13">
        <v>36</v>
      </c>
      <c r="N412" s="13">
        <v>36</v>
      </c>
      <c r="O412" s="13">
        <v>1</v>
      </c>
      <c r="P412" s="13">
        <v>2</v>
      </c>
      <c r="Q412" s="13">
        <v>1</v>
      </c>
      <c r="R412" s="13" t="s">
        <v>122</v>
      </c>
      <c r="S412" s="13" t="s">
        <v>122</v>
      </c>
      <c r="T412" s="13">
        <v>44901</v>
      </c>
      <c r="U412" s="13">
        <v>2958465</v>
      </c>
      <c r="V412" s="13" t="s">
        <v>282</v>
      </c>
      <c r="W412" s="13" t="s">
        <v>145</v>
      </c>
      <c r="Y412" s="13" t="s">
        <v>143</v>
      </c>
      <c r="Z412" s="13">
        <v>7589154</v>
      </c>
      <c r="AA412" s="13">
        <v>710</v>
      </c>
      <c r="AB412" s="13">
        <v>355</v>
      </c>
      <c r="AE412" s="51">
        <f>M412/O412</f>
        <v>36</v>
      </c>
      <c r="AG412" s="6" t="str">
        <f>C412</f>
        <v>90MB1BJ0-C1BAY0</v>
      </c>
      <c r="AH412" s="6" t="str">
        <f>IF($D412&lt;=AH$4,"",IF(AND($D411=AH$4,$D412&gt;AH$4),$F411,AH411))</f>
        <v>59MB1BJB-MB0A02S</v>
      </c>
      <c r="AI412" s="6" t="str">
        <f>IF($D412&lt;=AI$4,"",IF(AND($D411=AI$4,$D412&gt;AI$4),$F411,AI411))</f>
        <v/>
      </c>
      <c r="AJ412" s="6" t="str">
        <f>IF($D412&lt;=AJ$4,"",IF(AND($D411=AJ$4,$D412&gt;AJ$4),$F411,AJ411))</f>
        <v/>
      </c>
      <c r="AK412" s="6" t="str">
        <f>IF($D412&lt;=AK$4,"",IF(AND($D411=AK$4,$D412&gt;AK$4),$F411,AK411))</f>
        <v/>
      </c>
      <c r="AL412" s="6" t="str">
        <f>IF($D412&lt;=AL$4,"",IF(AND($D411=AL$4,$D412&gt;AL$4),$F411,AL411))</f>
        <v/>
      </c>
      <c r="AM412" s="6" t="str">
        <f>IF($D412&lt;=AM$4,"",IF(AND($D411=AM$4,$D412&gt;AM$4),$F411,AM411))</f>
        <v/>
      </c>
      <c r="AN412" s="6" t="str">
        <f>IF($D412&lt;=AN$4,"",IF(AND($D411=AN$4,$D412&gt;AN$4),$F411,AN411))</f>
        <v/>
      </c>
      <c r="AO412" s="6" t="str">
        <f>CONCATENATE(AG412," | ",AH412," | ",AI412," | ",AJ412," | ",AK412," | ",AL412," | ",AM412," | ",AN412)</f>
        <v xml:space="preserve">90MB1BJ0-C1BAY0 | 59MB1BJB-MB0A02S |  |  |  |  |  | </v>
      </c>
      <c r="AP412" s="6">
        <f>IF(TRIM(H412)="",100,J412)</f>
        <v>100</v>
      </c>
      <c r="AQ412" s="4"/>
      <c r="AR412" s="6" t="b">
        <f>NOT(TRIM(W412)&lt;&gt;"F")</f>
        <v>1</v>
      </c>
      <c r="AS412" s="6" t="str">
        <f>$B412&amp;" | "&amp;$AO412&amp;" | "&amp;IF(TRIM(H412)="","uniq"&amp;ROW(),TRIM(H412))</f>
        <v>461E | 90MB1BJ0-C1BAY0 | 59MB1BJB-MB0A02S |  |  |  |  |  |  | E7</v>
      </c>
      <c r="AT412" s="63">
        <f>IF(NOT(AR412),IF(TRIM($H412)="","Assembly","Phantom Alt"),VLOOKUP(F412,ZPCS04!B:G,6,0))</f>
        <v>685</v>
      </c>
      <c r="AU412" s="7"/>
      <c r="AV412" s="38">
        <f ca="1">IF(TRIM($W412)="F",OFFSET($A$5,MATCH($AS412,$AS$5:$AS412,0)-1,0),$A412)</f>
        <v>411</v>
      </c>
      <c r="AW412" s="38">
        <f ca="1">IFERROR(OFFSET(ZPCS04!$A$1,MATCH(F412,ZPCS04!B:B,0)-1,0),100)</f>
        <v>2</v>
      </c>
      <c r="AX412" s="7"/>
      <c r="AY412" s="6" t="b">
        <f>SUMIF(AS:AS,AS412,AP:AP)=100</f>
        <v>1</v>
      </c>
      <c r="AZ412" s="6" t="b">
        <f>SUMIF(AS:AS,AS412,AE:AE)/COUNTIF(AS:AS,AS412)=AE412</f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>C412&amp;" | "&amp;F412</f>
        <v>90MB1BJ0-C1BAY0 | 10G212470114020</v>
      </c>
      <c r="BE412" s="55" t="str">
        <f ca="1">C412&amp;" | "&amp;OFFSET($AF412,0,8-COUNTBLANK($AG412:$AN412))</f>
        <v>90MB1BJ0-C1BAY0 | 59MB1BJB-MB0A02S</v>
      </c>
      <c r="BF412" s="57">
        <f ca="1">IFERROR(VLOOKUP($BE412,$BD$5:$BF411,3,0)*$AE412,VLOOKUP($C412,Demanda!$A:$B,2,0)*$AE412)*IF(AT412="Phantom Alt",$BC412,TRUE)</f>
        <v>36000</v>
      </c>
      <c r="BG412" s="57">
        <f ca="1">BF412*(AP412/100)</f>
        <v>36000</v>
      </c>
      <c r="BH412" s="57">
        <f>SUMIF(Invoice!A:A,F412,Invoice!B:B)</f>
        <v>0</v>
      </c>
      <c r="BI412" s="57">
        <f ca="1">SUMIF(AS:AS,AS412,BG:BG)</f>
        <v>36000</v>
      </c>
      <c r="BJ412" s="57">
        <f ca="1">MIN((BI412-SUMIF($AS$5:AS411,AS412,$BJ$5:BJ411)),MAX(0,BH412-SUMIF($F$5:F411,F412,$BJ$5:BJ411)))</f>
        <v>0</v>
      </c>
      <c r="BK412" s="57">
        <f ca="1">(-SUMIF(AS:AS,AS412,BG:BG)+SUMIF(AS:AS,AS412,BJ:BJ))*(AP412=100)*AR412</f>
        <v>0</v>
      </c>
      <c r="BL412" s="57">
        <f ca="1">MAX(0,SUMIF(Invoice!A:A,F412,Invoice!B:B)-SUMIF(F:F,F412,BJ:BJ))*(COUNTIF(F:F,F412)=COUNTIF($F$5:F412,F412))</f>
        <v>0</v>
      </c>
    </row>
    <row r="413" spans="1:64" hidden="1">
      <c r="A413" s="43">
        <v>413</v>
      </c>
      <c r="B413" s="13" t="s">
        <v>147</v>
      </c>
      <c r="C413" s="13" t="s">
        <v>146</v>
      </c>
      <c r="D413" s="13">
        <v>2</v>
      </c>
      <c r="E413" s="13">
        <v>1470</v>
      </c>
      <c r="F413" s="71" t="s">
        <v>1021</v>
      </c>
      <c r="G413" s="71" t="s">
        <v>1022</v>
      </c>
      <c r="H413" s="13" t="s">
        <v>1018</v>
      </c>
      <c r="I413" s="13" t="s">
        <v>55</v>
      </c>
      <c r="J413" s="28">
        <v>0</v>
      </c>
      <c r="K413" s="13" t="s">
        <v>150</v>
      </c>
      <c r="L413" s="13" t="s">
        <v>53</v>
      </c>
      <c r="M413" s="13">
        <v>36</v>
      </c>
      <c r="O413" s="13">
        <v>1</v>
      </c>
      <c r="P413" s="13">
        <v>2</v>
      </c>
      <c r="Q413" s="13">
        <v>3</v>
      </c>
      <c r="R413" s="13" t="s">
        <v>73</v>
      </c>
      <c r="S413" s="13" t="s">
        <v>73</v>
      </c>
      <c r="T413" s="13">
        <v>44901</v>
      </c>
      <c r="U413" s="13">
        <v>2958465</v>
      </c>
      <c r="V413" s="13" t="s">
        <v>282</v>
      </c>
      <c r="W413" s="13" t="s">
        <v>145</v>
      </c>
      <c r="Y413" s="13" t="s">
        <v>143</v>
      </c>
      <c r="Z413" s="13">
        <v>7589154</v>
      </c>
      <c r="AA413" s="13">
        <v>714</v>
      </c>
      <c r="AB413" s="13">
        <v>357</v>
      </c>
      <c r="AE413" s="51">
        <f>M413/O413</f>
        <v>36</v>
      </c>
      <c r="AG413" s="6" t="str">
        <f>C413</f>
        <v>90MB1BJ0-C1BAY0</v>
      </c>
      <c r="AH413" s="6" t="str">
        <f>IF($D413&lt;=AH$4,"",IF(AND($D412=AH$4,$D413&gt;AH$4),$F412,AH412))</f>
        <v>59MB1BJB-MB0A02S</v>
      </c>
      <c r="AI413" s="6" t="str">
        <f>IF($D413&lt;=AI$4,"",IF(AND($D412=AI$4,$D413&gt;AI$4),$F412,AI412))</f>
        <v/>
      </c>
      <c r="AJ413" s="6" t="str">
        <f>IF($D413&lt;=AJ$4,"",IF(AND($D412=AJ$4,$D413&gt;AJ$4),$F412,AJ412))</f>
        <v/>
      </c>
      <c r="AK413" s="6" t="str">
        <f>IF($D413&lt;=AK$4,"",IF(AND($D412=AK$4,$D413&gt;AK$4),$F412,AK412))</f>
        <v/>
      </c>
      <c r="AL413" s="6" t="str">
        <f>IF($D413&lt;=AL$4,"",IF(AND($D412=AL$4,$D413&gt;AL$4),$F412,AL412))</f>
        <v/>
      </c>
      <c r="AM413" s="6" t="str">
        <f>IF($D413&lt;=AM$4,"",IF(AND($D412=AM$4,$D413&gt;AM$4),$F412,AM412))</f>
        <v/>
      </c>
      <c r="AN413" s="6" t="str">
        <f>IF($D413&lt;=AN$4,"",IF(AND($D412=AN$4,$D413&gt;AN$4),$F412,AN412))</f>
        <v/>
      </c>
      <c r="AO413" s="6" t="str">
        <f>CONCATENATE(AG413," | ",AH413," | ",AI413," | ",AJ413," | ",AK413," | ",AL413," | ",AM413," | ",AN413)</f>
        <v xml:space="preserve">90MB1BJ0-C1BAY0 | 59MB1BJB-MB0A02S |  |  |  |  |  | </v>
      </c>
      <c r="AP413" s="6">
        <f>IF(TRIM(H413)="",100,J413)</f>
        <v>0</v>
      </c>
      <c r="AQ413" s="4"/>
      <c r="AR413" s="6" t="b">
        <f>NOT(TRIM(W413)&lt;&gt;"F")</f>
        <v>1</v>
      </c>
      <c r="AS413" s="6" t="str">
        <f>$B413&amp;" | "&amp;$AO413&amp;" | "&amp;IF(TRIM(H413)="","uniq"&amp;ROW(),TRIM(H413))</f>
        <v>461E | 90MB1BJ0-C1BAY0 | 59MB1BJB-MB0A02S |  |  |  |  |  |  | E7</v>
      </c>
      <c r="AT413" s="63">
        <f>IF(NOT(AR413),IF(TRIM($H413)="","Assembly","Phantom Alt"),VLOOKUP(F413,ZPCS04!B:G,6,0))</f>
        <v>685</v>
      </c>
      <c r="AU413" s="7"/>
      <c r="AV413" s="38">
        <f ca="1">IF(TRIM($W413)="F",OFFSET($A$5,MATCH($AS413,$AS$5:$AS413,0)-1,0),$A413)</f>
        <v>411</v>
      </c>
      <c r="AW413" s="38">
        <f ca="1">IFERROR(OFFSET(ZPCS04!$A$1,MATCH(F413,ZPCS04!B:B,0)-1,0),100)</f>
        <v>2</v>
      </c>
      <c r="AX413" s="7"/>
      <c r="AY413" s="6" t="b">
        <f>SUMIF(AS:AS,AS413,AP:AP)=100</f>
        <v>1</v>
      </c>
      <c r="AZ413" s="6" t="b">
        <f>SUMIF(AS:AS,AS413,AE:AE)/COUNTIF(AS:AS,AS413)=AE413</f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>C413&amp;" | "&amp;F413</f>
        <v>90MB1BJ0-C1BAY0 | 10G212470114050</v>
      </c>
      <c r="BE413" s="55" t="str">
        <f ca="1">C413&amp;" | "&amp;OFFSET($AF413,0,8-COUNTBLANK($AG413:$AN413))</f>
        <v>90MB1BJ0-C1BAY0 | 59MB1BJB-MB0A02S</v>
      </c>
      <c r="BF413" s="57">
        <f ca="1">IFERROR(VLOOKUP($BE413,$BD$5:$BF412,3,0)*$AE413,VLOOKUP($C413,Demanda!$A:$B,2,0)*$AE413)*IF(AT413="Phantom Alt",$BC413,TRUE)</f>
        <v>36000</v>
      </c>
      <c r="BG413" s="57">
        <f ca="1">BF413*(AP413/100)</f>
        <v>0</v>
      </c>
      <c r="BH413" s="57">
        <f>SUMIF(Invoice!A:A,F413,Invoice!B:B)</f>
        <v>0</v>
      </c>
      <c r="BI413" s="57">
        <f ca="1">SUMIF(AS:AS,AS413,BG:BG)</f>
        <v>36000</v>
      </c>
      <c r="BJ413" s="57">
        <f ca="1">MIN((BI413-SUMIF($AS$5:AS412,AS413,$BJ$5:BJ412)),MAX(0,BH413-SUMIF($F$5:F412,F413,$BJ$5:BJ412)))</f>
        <v>0</v>
      </c>
      <c r="BK413" s="57">
        <f ca="1">(-SUMIF(AS:AS,AS413,BG:BG)+SUMIF(AS:AS,AS413,BJ:BJ))*(AP413=100)*AR413</f>
        <v>0</v>
      </c>
      <c r="BL413" s="57">
        <f ca="1">MAX(0,SUMIF(Invoice!A:A,F413,Invoice!B:B)-SUMIF(F:F,F413,BJ:BJ))*(COUNTIF(F:F,F413)=COUNTIF($F$5:F413,F413))</f>
        <v>0</v>
      </c>
    </row>
    <row r="414" spans="1:64" hidden="1">
      <c r="A414" s="43">
        <v>416</v>
      </c>
      <c r="B414" s="13" t="s">
        <v>147</v>
      </c>
      <c r="C414" s="13" t="s">
        <v>146</v>
      </c>
      <c r="D414" s="13">
        <v>2</v>
      </c>
      <c r="E414" s="13">
        <v>1480</v>
      </c>
      <c r="F414" s="71" t="s">
        <v>1028</v>
      </c>
      <c r="G414" s="71" t="s">
        <v>1029</v>
      </c>
      <c r="H414" s="13" t="s">
        <v>1025</v>
      </c>
      <c r="I414" s="13" t="s">
        <v>55</v>
      </c>
      <c r="J414" s="28">
        <v>0</v>
      </c>
      <c r="K414" s="13" t="s">
        <v>150</v>
      </c>
      <c r="L414" s="13" t="s">
        <v>53</v>
      </c>
      <c r="M414" s="13">
        <v>20</v>
      </c>
      <c r="O414" s="13">
        <v>1</v>
      </c>
      <c r="P414" s="13">
        <v>2</v>
      </c>
      <c r="Q414" s="13">
        <v>3</v>
      </c>
      <c r="R414" s="13" t="s">
        <v>73</v>
      </c>
      <c r="S414" s="13" t="s">
        <v>73</v>
      </c>
      <c r="T414" s="13">
        <v>44901</v>
      </c>
      <c r="U414" s="13">
        <v>2958465</v>
      </c>
      <c r="V414" s="13" t="s">
        <v>282</v>
      </c>
      <c r="W414" s="13" t="s">
        <v>145</v>
      </c>
      <c r="Y414" s="13" t="s">
        <v>143</v>
      </c>
      <c r="Z414" s="13">
        <v>7589154</v>
      </c>
      <c r="AA414" s="13">
        <v>720</v>
      </c>
      <c r="AB414" s="13">
        <v>360</v>
      </c>
      <c r="AE414" s="51">
        <f>M414/O414</f>
        <v>20</v>
      </c>
      <c r="AG414" s="6" t="str">
        <f>C414</f>
        <v>90MB1BJ0-C1BAY0</v>
      </c>
      <c r="AH414" s="6" t="str">
        <f>IF($D414&lt;=AH$4,"",IF(AND($D413=AH$4,$D414&gt;AH$4),$F413,AH413))</f>
        <v>59MB1BJB-MB0A02S</v>
      </c>
      <c r="AI414" s="6" t="str">
        <f>IF($D414&lt;=AI$4,"",IF(AND($D413=AI$4,$D414&gt;AI$4),$F413,AI413))</f>
        <v/>
      </c>
      <c r="AJ414" s="6" t="str">
        <f>IF($D414&lt;=AJ$4,"",IF(AND($D413=AJ$4,$D414&gt;AJ$4),$F413,AJ413))</f>
        <v/>
      </c>
      <c r="AK414" s="6" t="str">
        <f>IF($D414&lt;=AK$4,"",IF(AND($D413=AK$4,$D414&gt;AK$4),$F413,AK413))</f>
        <v/>
      </c>
      <c r="AL414" s="6" t="str">
        <f>IF($D414&lt;=AL$4,"",IF(AND($D413=AL$4,$D414&gt;AL$4),$F413,AL413))</f>
        <v/>
      </c>
      <c r="AM414" s="6" t="str">
        <f>IF($D414&lt;=AM$4,"",IF(AND($D413=AM$4,$D414&gt;AM$4),$F413,AM413))</f>
        <v/>
      </c>
      <c r="AN414" s="6" t="str">
        <f>IF($D414&lt;=AN$4,"",IF(AND($D413=AN$4,$D414&gt;AN$4),$F413,AN413))</f>
        <v/>
      </c>
      <c r="AO414" s="6" t="str">
        <f>CONCATENATE(AG414," | ",AH414," | ",AI414," | ",AJ414," | ",AK414," | ",AL414," | ",AM414," | ",AN414)</f>
        <v xml:space="preserve">90MB1BJ0-C1BAY0 | 59MB1BJB-MB0A02S |  |  |  |  |  | </v>
      </c>
      <c r="AP414" s="6">
        <f>IF(TRIM(H414)="",100,J414)</f>
        <v>0</v>
      </c>
      <c r="AQ414" s="4"/>
      <c r="AR414" s="6" t="b">
        <f>NOT(TRIM(W414)&lt;&gt;"F")</f>
        <v>1</v>
      </c>
      <c r="AS414" s="6" t="str">
        <f>$B414&amp;" | "&amp;$AO414&amp;" | "&amp;IF(TRIM(H414)="","uniq"&amp;ROW(),TRIM(H414))</f>
        <v>461E | 90MB1BJ0-C1BAY0 | 59MB1BJB-MB0A02S |  |  |  |  |  |  | E8</v>
      </c>
      <c r="AT414" s="63">
        <f>IF(NOT(AR414),IF(TRIM($H414)="","Assembly","Phantom Alt"),VLOOKUP(F414,ZPCS04!B:G,6,0))</f>
        <v>689</v>
      </c>
      <c r="AU414" s="7"/>
      <c r="AV414" s="38">
        <f ca="1">IF(TRIM($W414)="F",OFFSET($A$5,MATCH($AS414,$AS$5:$AS414,0)-1,0),$A414)</f>
        <v>416</v>
      </c>
      <c r="AW414" s="38">
        <f ca="1">IFERROR(OFFSET(ZPCS04!$A$1,MATCH(F414,ZPCS04!B:B,0)-1,0),100)</f>
        <v>1.9999997999999999</v>
      </c>
      <c r="AX414" s="7"/>
      <c r="AY414" s="6" t="b">
        <f>SUMIF(AS:AS,AS414,AP:AP)=100</f>
        <v>1</v>
      </c>
      <c r="AZ414" s="6" t="b">
        <f>SUMIF(AS:AS,AS414,AE:AE)/COUNTIF(AS:AS,AS414)=AE414</f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>C414&amp;" | "&amp;F414</f>
        <v>90MB1BJ0-C1BAY0 | 10G212499014050</v>
      </c>
      <c r="BE414" s="55" t="str">
        <f ca="1">C414&amp;" | "&amp;OFFSET($AF414,0,8-COUNTBLANK($AG414:$AN414))</f>
        <v>90MB1BJ0-C1BAY0 | 59MB1BJB-MB0A02S</v>
      </c>
      <c r="BF414" s="57">
        <f ca="1">IFERROR(VLOOKUP($BE414,$BD$5:$BF413,3,0)*$AE414,VLOOKUP($C414,Demanda!$A:$B,2,0)*$AE414)*IF(AT414="Phantom Alt",$BC414,TRUE)</f>
        <v>20000</v>
      </c>
      <c r="BG414" s="57">
        <f ca="1">BF414*(AP414/100)</f>
        <v>0</v>
      </c>
      <c r="BH414" s="57">
        <f>SUMIF(Invoice!A:A,F414,Invoice!B:B)</f>
        <v>20000</v>
      </c>
      <c r="BI414" s="57">
        <f ca="1">SUMIF(AS:AS,AS414,BG:BG)</f>
        <v>20000</v>
      </c>
      <c r="BJ414" s="57">
        <f ca="1">MIN((BI414-SUMIF($AS$5:AS413,AS414,$BJ$5:BJ413)),MAX(0,BH414-SUMIF($F$5:F413,F414,$BJ$5:BJ413)))</f>
        <v>20000</v>
      </c>
      <c r="BK414" s="57">
        <f ca="1">(-SUMIF(AS:AS,AS414,BG:BG)+SUMIF(AS:AS,AS414,BJ:BJ))*(AP414=100)*AR414</f>
        <v>0</v>
      </c>
      <c r="BL414" s="57">
        <f ca="1">MAX(0,SUMIF(Invoice!A:A,F414,Invoice!B:B)-SUMIF(F:F,F414,BJ:BJ))*(COUNTIF(F:F,F414)=COUNTIF($F$5:F414,F414))</f>
        <v>0</v>
      </c>
    </row>
    <row r="415" spans="1:64" hidden="1">
      <c r="A415" s="43">
        <v>414</v>
      </c>
      <c r="B415" s="13" t="s">
        <v>147</v>
      </c>
      <c r="C415" s="13" t="s">
        <v>146</v>
      </c>
      <c r="D415" s="13">
        <v>2</v>
      </c>
      <c r="E415" s="13">
        <v>1480</v>
      </c>
      <c r="F415" s="71" t="s">
        <v>1023</v>
      </c>
      <c r="G415" s="71" t="s">
        <v>1024</v>
      </c>
      <c r="H415" s="13" t="s">
        <v>1025</v>
      </c>
      <c r="I415" s="13" t="s">
        <v>54</v>
      </c>
      <c r="J415" s="28">
        <v>100</v>
      </c>
      <c r="K415" s="13" t="s">
        <v>489</v>
      </c>
      <c r="L415" s="13" t="s">
        <v>53</v>
      </c>
      <c r="M415" s="13">
        <v>20</v>
      </c>
      <c r="N415" s="13">
        <v>20</v>
      </c>
      <c r="O415" s="13">
        <v>1</v>
      </c>
      <c r="P415" s="13">
        <v>2</v>
      </c>
      <c r="Q415" s="13">
        <v>1</v>
      </c>
      <c r="R415" s="13" t="s">
        <v>122</v>
      </c>
      <c r="S415" s="13" t="s">
        <v>122</v>
      </c>
      <c r="T415" s="13">
        <v>44901</v>
      </c>
      <c r="U415" s="13">
        <v>2958465</v>
      </c>
      <c r="V415" s="13" t="s">
        <v>282</v>
      </c>
      <c r="W415" s="13" t="s">
        <v>145</v>
      </c>
      <c r="Y415" s="13" t="s">
        <v>143</v>
      </c>
      <c r="Z415" s="13">
        <v>7589154</v>
      </c>
      <c r="AA415" s="13">
        <v>716</v>
      </c>
      <c r="AB415" s="13">
        <v>358</v>
      </c>
      <c r="AE415" s="51">
        <f>M415/O415</f>
        <v>20</v>
      </c>
      <c r="AG415" s="6" t="str">
        <f>C415</f>
        <v>90MB1BJ0-C1BAY0</v>
      </c>
      <c r="AH415" s="6" t="str">
        <f>IF($D415&lt;=AH$4,"",IF(AND($D414=AH$4,$D415&gt;AH$4),$F414,AH414))</f>
        <v>59MB1BJB-MB0A02S</v>
      </c>
      <c r="AI415" s="6" t="str">
        <f>IF($D415&lt;=AI$4,"",IF(AND($D414=AI$4,$D415&gt;AI$4),$F414,AI414))</f>
        <v/>
      </c>
      <c r="AJ415" s="6" t="str">
        <f>IF($D415&lt;=AJ$4,"",IF(AND($D414=AJ$4,$D415&gt;AJ$4),$F414,AJ414))</f>
        <v/>
      </c>
      <c r="AK415" s="6" t="str">
        <f>IF($D415&lt;=AK$4,"",IF(AND($D414=AK$4,$D415&gt;AK$4),$F414,AK414))</f>
        <v/>
      </c>
      <c r="AL415" s="6" t="str">
        <f>IF($D415&lt;=AL$4,"",IF(AND($D414=AL$4,$D415&gt;AL$4),$F414,AL414))</f>
        <v/>
      </c>
      <c r="AM415" s="6" t="str">
        <f>IF($D415&lt;=AM$4,"",IF(AND($D414=AM$4,$D415&gt;AM$4),$F414,AM414))</f>
        <v/>
      </c>
      <c r="AN415" s="6" t="str">
        <f>IF($D415&lt;=AN$4,"",IF(AND($D414=AN$4,$D415&gt;AN$4),$F414,AN414))</f>
        <v/>
      </c>
      <c r="AO415" s="6" t="str">
        <f>CONCATENATE(AG415," | ",AH415," | ",AI415," | ",AJ415," | ",AK415," | ",AL415," | ",AM415," | ",AN415)</f>
        <v xml:space="preserve">90MB1BJ0-C1BAY0 | 59MB1BJB-MB0A02S |  |  |  |  |  | </v>
      </c>
      <c r="AP415" s="6">
        <f>IF(TRIM(H415)="",100,J415)</f>
        <v>100</v>
      </c>
      <c r="AQ415" s="4"/>
      <c r="AR415" s="6" t="b">
        <f>NOT(TRIM(W415)&lt;&gt;"F")</f>
        <v>1</v>
      </c>
      <c r="AS415" s="6" t="str">
        <f>$B415&amp;" | "&amp;$AO415&amp;" | "&amp;IF(TRIM(H415)="","uniq"&amp;ROW(),TRIM(H415))</f>
        <v>461E | 90MB1BJ0-C1BAY0 | 59MB1BJB-MB0A02S |  |  |  |  |  |  | E8</v>
      </c>
      <c r="AT415" s="63">
        <f>IF(NOT(AR415),IF(TRIM($H415)="","Assembly","Phantom Alt"),VLOOKUP(F415,ZPCS04!B:G,6,0))</f>
        <v>689</v>
      </c>
      <c r="AU415" s="7"/>
      <c r="AV415" s="38">
        <f ca="1">IF(TRIM($W415)="F",OFFSET($A$5,MATCH($AS415,$AS$5:$AS415,0)-1,0),$A415)</f>
        <v>416</v>
      </c>
      <c r="AW415" s="38">
        <f ca="1">IFERROR(OFFSET(ZPCS04!$A$1,MATCH(F415,ZPCS04!B:B,0)-1,0),100)</f>
        <v>2</v>
      </c>
      <c r="AX415" s="7"/>
      <c r="AY415" s="6" t="b">
        <f>SUMIF(AS:AS,AS415,AP:AP)=100</f>
        <v>1</v>
      </c>
      <c r="AZ415" s="6" t="b">
        <f>SUMIF(AS:AS,AS415,AE:AE)/COUNTIF(AS:AS,AS415)=AE415</f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>C415&amp;" | "&amp;F415</f>
        <v>90MB1BJ0-C1BAY0 | 10G212499014010</v>
      </c>
      <c r="BE415" s="55" t="str">
        <f ca="1">C415&amp;" | "&amp;OFFSET($AF415,0,8-COUNTBLANK($AG415:$AN415))</f>
        <v>90MB1BJ0-C1BAY0 | 59MB1BJB-MB0A02S</v>
      </c>
      <c r="BF415" s="57">
        <f ca="1">IFERROR(VLOOKUP($BE415,$BD$5:$BF414,3,0)*$AE415,VLOOKUP($C415,Demanda!$A:$B,2,0)*$AE415)*IF(AT415="Phantom Alt",$BC415,TRUE)</f>
        <v>20000</v>
      </c>
      <c r="BG415" s="57">
        <f ca="1">BF415*(AP415/100)</f>
        <v>20000</v>
      </c>
      <c r="BH415" s="57">
        <f>SUMIF(Invoice!A:A,F415,Invoice!B:B)</f>
        <v>0</v>
      </c>
      <c r="BI415" s="57">
        <f ca="1">SUMIF(AS:AS,AS415,BG:BG)</f>
        <v>20000</v>
      </c>
      <c r="BJ415" s="57">
        <f ca="1">MIN((BI415-SUMIF($AS$5:AS414,AS415,$BJ$5:BJ414)),MAX(0,BH415-SUMIF($F$5:F414,F415,$BJ$5:BJ414)))</f>
        <v>0</v>
      </c>
      <c r="BK415" s="57">
        <f ca="1">(-SUMIF(AS:AS,AS415,BG:BG)+SUMIF(AS:AS,AS415,BJ:BJ))*(AP415=100)*AR415</f>
        <v>0</v>
      </c>
      <c r="BL415" s="57">
        <f ca="1">MAX(0,SUMIF(Invoice!A:A,F415,Invoice!B:B)-SUMIF(F:F,F415,BJ:BJ))*(COUNTIF(F:F,F415)=COUNTIF($F$5:F415,F415))</f>
        <v>0</v>
      </c>
    </row>
    <row r="416" spans="1:64" hidden="1">
      <c r="A416" s="43">
        <v>415</v>
      </c>
      <c r="B416" s="13" t="s">
        <v>147</v>
      </c>
      <c r="C416" s="13" t="s">
        <v>146</v>
      </c>
      <c r="D416" s="13">
        <v>2</v>
      </c>
      <c r="E416" s="13">
        <v>1480</v>
      </c>
      <c r="F416" s="71" t="s">
        <v>1026</v>
      </c>
      <c r="G416" s="71" t="s">
        <v>1027</v>
      </c>
      <c r="H416" s="13" t="s">
        <v>1025</v>
      </c>
      <c r="I416" s="13" t="s">
        <v>55</v>
      </c>
      <c r="J416" s="28">
        <v>0</v>
      </c>
      <c r="K416" s="13" t="s">
        <v>489</v>
      </c>
      <c r="L416" s="13" t="s">
        <v>53</v>
      </c>
      <c r="M416" s="13">
        <v>20</v>
      </c>
      <c r="O416" s="13">
        <v>1</v>
      </c>
      <c r="P416" s="13">
        <v>2</v>
      </c>
      <c r="Q416" s="13">
        <v>2</v>
      </c>
      <c r="R416" s="13" t="s">
        <v>122</v>
      </c>
      <c r="S416" s="13" t="s">
        <v>122</v>
      </c>
      <c r="T416" s="13">
        <v>44901</v>
      </c>
      <c r="U416" s="13">
        <v>2958465</v>
      </c>
      <c r="V416" s="13" t="s">
        <v>282</v>
      </c>
      <c r="W416" s="13" t="s">
        <v>145</v>
      </c>
      <c r="Y416" s="13" t="s">
        <v>143</v>
      </c>
      <c r="Z416" s="13">
        <v>7589154</v>
      </c>
      <c r="AA416" s="13">
        <v>718</v>
      </c>
      <c r="AB416" s="13">
        <v>359</v>
      </c>
      <c r="AE416" s="51">
        <f>M416/O416</f>
        <v>20</v>
      </c>
      <c r="AG416" s="6" t="str">
        <f>C416</f>
        <v>90MB1BJ0-C1BAY0</v>
      </c>
      <c r="AH416" s="6" t="str">
        <f>IF($D416&lt;=AH$4,"",IF(AND($D415=AH$4,$D416&gt;AH$4),$F415,AH415))</f>
        <v>59MB1BJB-MB0A02S</v>
      </c>
      <c r="AI416" s="6" t="str">
        <f>IF($D416&lt;=AI$4,"",IF(AND($D415=AI$4,$D416&gt;AI$4),$F415,AI415))</f>
        <v/>
      </c>
      <c r="AJ416" s="6" t="str">
        <f>IF($D416&lt;=AJ$4,"",IF(AND($D415=AJ$4,$D416&gt;AJ$4),$F415,AJ415))</f>
        <v/>
      </c>
      <c r="AK416" s="6" t="str">
        <f>IF($D416&lt;=AK$4,"",IF(AND($D415=AK$4,$D416&gt;AK$4),$F415,AK415))</f>
        <v/>
      </c>
      <c r="AL416" s="6" t="str">
        <f>IF($D416&lt;=AL$4,"",IF(AND($D415=AL$4,$D416&gt;AL$4),$F415,AL415))</f>
        <v/>
      </c>
      <c r="AM416" s="6" t="str">
        <f>IF($D416&lt;=AM$4,"",IF(AND($D415=AM$4,$D416&gt;AM$4),$F415,AM415))</f>
        <v/>
      </c>
      <c r="AN416" s="6" t="str">
        <f>IF($D416&lt;=AN$4,"",IF(AND($D415=AN$4,$D416&gt;AN$4),$F415,AN415))</f>
        <v/>
      </c>
      <c r="AO416" s="6" t="str">
        <f>CONCATENATE(AG416," | ",AH416," | ",AI416," | ",AJ416," | ",AK416," | ",AL416," | ",AM416," | ",AN416)</f>
        <v xml:space="preserve">90MB1BJ0-C1BAY0 | 59MB1BJB-MB0A02S |  |  |  |  |  | </v>
      </c>
      <c r="AP416" s="6">
        <f>IF(TRIM(H416)="",100,J416)</f>
        <v>0</v>
      </c>
      <c r="AQ416" s="4"/>
      <c r="AR416" s="6" t="b">
        <f>NOT(TRIM(W416)&lt;&gt;"F")</f>
        <v>1</v>
      </c>
      <c r="AS416" s="6" t="str">
        <f>$B416&amp;" | "&amp;$AO416&amp;" | "&amp;IF(TRIM(H416)="","uniq"&amp;ROW(),TRIM(H416))</f>
        <v>461E | 90MB1BJ0-C1BAY0 | 59MB1BJB-MB0A02S |  |  |  |  |  |  | E8</v>
      </c>
      <c r="AT416" s="63">
        <f>IF(NOT(AR416),IF(TRIM($H416)="","Assembly","Phantom Alt"),VLOOKUP(F416,ZPCS04!B:G,6,0))</f>
        <v>689</v>
      </c>
      <c r="AU416" s="7"/>
      <c r="AV416" s="38">
        <f ca="1">IF(TRIM($W416)="F",OFFSET($A$5,MATCH($AS416,$AS$5:$AS416,0)-1,0),$A416)</f>
        <v>416</v>
      </c>
      <c r="AW416" s="38">
        <f ca="1">IFERROR(OFFSET(ZPCS04!$A$1,MATCH(F416,ZPCS04!B:B,0)-1,0),100)</f>
        <v>2</v>
      </c>
      <c r="AX416" s="7"/>
      <c r="AY416" s="6" t="b">
        <f>SUMIF(AS:AS,AS416,AP:AP)=100</f>
        <v>1</v>
      </c>
      <c r="AZ416" s="6" t="b">
        <f>SUMIF(AS:AS,AS416,AE:AE)/COUNTIF(AS:AS,AS416)=AE416</f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>C416&amp;" | "&amp;F416</f>
        <v>90MB1BJ0-C1BAY0 | 10G212499014020</v>
      </c>
      <c r="BE416" s="55" t="str">
        <f ca="1">C416&amp;" | "&amp;OFFSET($AF416,0,8-COUNTBLANK($AG416:$AN416))</f>
        <v>90MB1BJ0-C1BAY0 | 59MB1BJB-MB0A02S</v>
      </c>
      <c r="BF416" s="57">
        <f ca="1">IFERROR(VLOOKUP($BE416,$BD$5:$BF415,3,0)*$AE416,VLOOKUP($C416,Demanda!$A:$B,2,0)*$AE416)*IF(AT416="Phantom Alt",$BC416,TRUE)</f>
        <v>20000</v>
      </c>
      <c r="BG416" s="57">
        <f ca="1">BF416*(AP416/100)</f>
        <v>0</v>
      </c>
      <c r="BH416" s="57">
        <f>SUMIF(Invoice!A:A,F416,Invoice!B:B)</f>
        <v>0</v>
      </c>
      <c r="BI416" s="57">
        <f ca="1">SUMIF(AS:AS,AS416,BG:BG)</f>
        <v>20000</v>
      </c>
      <c r="BJ416" s="57">
        <f ca="1">MIN((BI416-SUMIF($AS$5:AS415,AS416,$BJ$5:BJ415)),MAX(0,BH416-SUMIF($F$5:F415,F416,$BJ$5:BJ415)))</f>
        <v>0</v>
      </c>
      <c r="BK416" s="57">
        <f ca="1">(-SUMIF(AS:AS,AS416,BG:BG)+SUMIF(AS:AS,AS416,BJ:BJ))*(AP416=100)*AR416</f>
        <v>0</v>
      </c>
      <c r="BL416" s="57">
        <f ca="1">MAX(0,SUMIF(Invoice!A:A,F416,Invoice!B:B)-SUMIF(F:F,F416,BJ:BJ))*(COUNTIF(F:F,F416)=COUNTIF($F$5:F416,F416))</f>
        <v>0</v>
      </c>
    </row>
    <row r="417" spans="1:64" hidden="1">
      <c r="A417" s="43">
        <v>418</v>
      </c>
      <c r="B417" s="13" t="s">
        <v>147</v>
      </c>
      <c r="C417" s="13" t="s">
        <v>146</v>
      </c>
      <c r="D417" s="13">
        <v>2</v>
      </c>
      <c r="E417" s="13">
        <v>1490</v>
      </c>
      <c r="F417" s="71" t="s">
        <v>1033</v>
      </c>
      <c r="G417" s="71" t="s">
        <v>1034</v>
      </c>
      <c r="H417" s="13" t="s">
        <v>1032</v>
      </c>
      <c r="I417" s="13" t="s">
        <v>54</v>
      </c>
      <c r="J417" s="28">
        <v>100</v>
      </c>
      <c r="K417" s="13" t="s">
        <v>489</v>
      </c>
      <c r="L417" s="13" t="s">
        <v>53</v>
      </c>
      <c r="M417" s="13">
        <v>2</v>
      </c>
      <c r="N417" s="13">
        <v>2</v>
      </c>
      <c r="O417" s="13">
        <v>1</v>
      </c>
      <c r="P417" s="13">
        <v>2</v>
      </c>
      <c r="Q417" s="13">
        <v>1</v>
      </c>
      <c r="R417" s="13" t="s">
        <v>122</v>
      </c>
      <c r="S417" s="13" t="s">
        <v>122</v>
      </c>
      <c r="T417" s="13">
        <v>44901</v>
      </c>
      <c r="U417" s="13">
        <v>2958465</v>
      </c>
      <c r="V417" s="13" t="s">
        <v>282</v>
      </c>
      <c r="W417" s="13" t="s">
        <v>145</v>
      </c>
      <c r="Y417" s="13" t="s">
        <v>143</v>
      </c>
      <c r="Z417" s="13">
        <v>7589154</v>
      </c>
      <c r="AA417" s="13">
        <v>722</v>
      </c>
      <c r="AB417" s="13">
        <v>361</v>
      </c>
      <c r="AE417" s="51">
        <f>M417/O417</f>
        <v>2</v>
      </c>
      <c r="AG417" s="6" t="str">
        <f>C417</f>
        <v>90MB1BJ0-C1BAY0</v>
      </c>
      <c r="AH417" s="6" t="str">
        <f>IF($D417&lt;=AH$4,"",IF(AND($D416=AH$4,$D417&gt;AH$4),$F416,AH416))</f>
        <v>59MB1BJB-MB0A02S</v>
      </c>
      <c r="AI417" s="6" t="str">
        <f>IF($D417&lt;=AI$4,"",IF(AND($D416=AI$4,$D417&gt;AI$4),$F416,AI416))</f>
        <v/>
      </c>
      <c r="AJ417" s="6" t="str">
        <f>IF($D417&lt;=AJ$4,"",IF(AND($D416=AJ$4,$D417&gt;AJ$4),$F416,AJ416))</f>
        <v/>
      </c>
      <c r="AK417" s="6" t="str">
        <f>IF($D417&lt;=AK$4,"",IF(AND($D416=AK$4,$D417&gt;AK$4),$F416,AK416))</f>
        <v/>
      </c>
      <c r="AL417" s="6" t="str">
        <f>IF($D417&lt;=AL$4,"",IF(AND($D416=AL$4,$D417&gt;AL$4),$F416,AL416))</f>
        <v/>
      </c>
      <c r="AM417" s="6" t="str">
        <f>IF($D417&lt;=AM$4,"",IF(AND($D416=AM$4,$D417&gt;AM$4),$F416,AM416))</f>
        <v/>
      </c>
      <c r="AN417" s="6" t="str">
        <f>IF($D417&lt;=AN$4,"",IF(AND($D416=AN$4,$D417&gt;AN$4),$F416,AN416))</f>
        <v/>
      </c>
      <c r="AO417" s="6" t="str">
        <f>CONCATENATE(AG417," | ",AH417," | ",AI417," | ",AJ417," | ",AK417," | ",AL417," | ",AM417," | ",AN417)</f>
        <v xml:space="preserve">90MB1BJ0-C1BAY0 | 59MB1BJB-MB0A02S |  |  |  |  |  | </v>
      </c>
      <c r="AP417" s="6">
        <f>IF(TRIM(H417)="",100,J417)</f>
        <v>100</v>
      </c>
      <c r="AQ417" s="4"/>
      <c r="AR417" s="6" t="b">
        <f>NOT(TRIM(W417)&lt;&gt;"F")</f>
        <v>1</v>
      </c>
      <c r="AS417" s="6" t="str">
        <f>$B417&amp;" | "&amp;$AO417&amp;" | "&amp;IF(TRIM(H417)="","uniq"&amp;ROW(),TRIM(H417))</f>
        <v>461E | 90MB1BJ0-C1BAY0 | 59MB1BJB-MB0A02S |  |  |  |  |  |  | E9</v>
      </c>
      <c r="AT417" s="63">
        <f>IF(NOT(AR417),IF(TRIM($H417)="","Assembly","Phantom Alt"),VLOOKUP(F417,ZPCS04!B:G,6,0))</f>
        <v>692</v>
      </c>
      <c r="AU417" s="7"/>
      <c r="AV417" s="38">
        <f ca="1">IF(TRIM($W417)="F",OFFSET($A$5,MATCH($AS417,$AS$5:$AS417,0)-1,0),$A417)</f>
        <v>418</v>
      </c>
      <c r="AW417" s="38">
        <f ca="1">IFERROR(OFFSET(ZPCS04!$A$1,MATCH(F417,ZPCS04!B:B,0)-1,0),100)</f>
        <v>1.9999999000000002</v>
      </c>
      <c r="AX417" s="7"/>
      <c r="AY417" s="6" t="b">
        <f>SUMIF(AS:AS,AS417,AP:AP)=100</f>
        <v>1</v>
      </c>
      <c r="AZ417" s="6" t="b">
        <f>SUMIF(AS:AS,AS417,AE:AE)/COUNTIF(AS:AS,AS417)=AE417</f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>C417&amp;" | "&amp;F417</f>
        <v>90MB1BJ0-C1BAY0 | 10G21249R914020</v>
      </c>
      <c r="BE417" s="55" t="str">
        <f ca="1">C417&amp;" | "&amp;OFFSET($AF417,0,8-COUNTBLANK($AG417:$AN417))</f>
        <v>90MB1BJ0-C1BAY0 | 59MB1BJB-MB0A02S</v>
      </c>
      <c r="BF417" s="57">
        <f ca="1">IFERROR(VLOOKUP($BE417,$BD$5:$BF416,3,0)*$AE417,VLOOKUP($C417,Demanda!$A:$B,2,0)*$AE417)*IF(AT417="Phantom Alt",$BC417,TRUE)</f>
        <v>2000</v>
      </c>
      <c r="BG417" s="57">
        <f ca="1">BF417*(AP417/100)</f>
        <v>2000</v>
      </c>
      <c r="BH417" s="57">
        <f>SUMIF(Invoice!A:A,F417,Invoice!B:B)</f>
        <v>10000</v>
      </c>
      <c r="BI417" s="57">
        <f ca="1">SUMIF(AS:AS,AS417,BG:BG)</f>
        <v>2000</v>
      </c>
      <c r="BJ417" s="57">
        <f ca="1">MIN((BI417-SUMIF($AS$5:AS416,AS417,$BJ$5:BJ416)),MAX(0,BH417-SUMIF($F$5:F416,F417,$BJ$5:BJ416)))</f>
        <v>2000</v>
      </c>
      <c r="BK417" s="57">
        <f ca="1">(-SUMIF(AS:AS,AS417,BG:BG)+SUMIF(AS:AS,AS417,BJ:BJ))*(AP417=100)*AR417</f>
        <v>0</v>
      </c>
      <c r="BL417" s="57">
        <f ca="1">MAX(0,SUMIF(Invoice!A:A,F417,Invoice!B:B)-SUMIF(F:F,F417,BJ:BJ))*(COUNTIF(F:F,F417)=COUNTIF($F$5:F417,F417))</f>
        <v>8000</v>
      </c>
    </row>
    <row r="418" spans="1:64" hidden="1">
      <c r="A418" s="43">
        <v>417</v>
      </c>
      <c r="B418" s="13" t="s">
        <v>147</v>
      </c>
      <c r="C418" s="13" t="s">
        <v>146</v>
      </c>
      <c r="D418" s="13">
        <v>2</v>
      </c>
      <c r="E418" s="13">
        <v>1490</v>
      </c>
      <c r="F418" s="71" t="s">
        <v>1030</v>
      </c>
      <c r="G418" s="71" t="s">
        <v>1031</v>
      </c>
      <c r="H418" s="13" t="s">
        <v>1032</v>
      </c>
      <c r="I418" s="13" t="s">
        <v>55</v>
      </c>
      <c r="J418" s="28">
        <v>0</v>
      </c>
      <c r="K418" s="13" t="s">
        <v>489</v>
      </c>
      <c r="L418" s="13" t="s">
        <v>53</v>
      </c>
      <c r="M418" s="13">
        <v>2</v>
      </c>
      <c r="O418" s="13">
        <v>1</v>
      </c>
      <c r="P418" s="13">
        <v>2</v>
      </c>
      <c r="Q418" s="13">
        <v>2</v>
      </c>
      <c r="R418" s="13" t="s">
        <v>122</v>
      </c>
      <c r="S418" s="13" t="s">
        <v>122</v>
      </c>
      <c r="T418" s="13">
        <v>44901</v>
      </c>
      <c r="U418" s="13">
        <v>2958465</v>
      </c>
      <c r="V418" s="13" t="s">
        <v>282</v>
      </c>
      <c r="W418" s="13" t="s">
        <v>145</v>
      </c>
      <c r="Y418" s="13" t="s">
        <v>143</v>
      </c>
      <c r="Z418" s="13">
        <v>7589154</v>
      </c>
      <c r="AA418" s="13">
        <v>724</v>
      </c>
      <c r="AB418" s="13">
        <v>362</v>
      </c>
      <c r="AE418" s="51">
        <f>M418/O418</f>
        <v>2</v>
      </c>
      <c r="AG418" s="6" t="str">
        <f>C418</f>
        <v>90MB1BJ0-C1BAY0</v>
      </c>
      <c r="AH418" s="6" t="str">
        <f>IF($D418&lt;=AH$4,"",IF(AND($D417=AH$4,$D418&gt;AH$4),$F417,AH417))</f>
        <v>59MB1BJB-MB0A02S</v>
      </c>
      <c r="AI418" s="6" t="str">
        <f>IF($D418&lt;=AI$4,"",IF(AND($D417=AI$4,$D418&gt;AI$4),$F417,AI417))</f>
        <v/>
      </c>
      <c r="AJ418" s="6" t="str">
        <f>IF($D418&lt;=AJ$4,"",IF(AND($D417=AJ$4,$D418&gt;AJ$4),$F417,AJ417))</f>
        <v/>
      </c>
      <c r="AK418" s="6" t="str">
        <f>IF($D418&lt;=AK$4,"",IF(AND($D417=AK$4,$D418&gt;AK$4),$F417,AK417))</f>
        <v/>
      </c>
      <c r="AL418" s="6" t="str">
        <f>IF($D418&lt;=AL$4,"",IF(AND($D417=AL$4,$D418&gt;AL$4),$F417,AL417))</f>
        <v/>
      </c>
      <c r="AM418" s="6" t="str">
        <f>IF($D418&lt;=AM$4,"",IF(AND($D417=AM$4,$D418&gt;AM$4),$F417,AM417))</f>
        <v/>
      </c>
      <c r="AN418" s="6" t="str">
        <f>IF($D418&lt;=AN$4,"",IF(AND($D417=AN$4,$D418&gt;AN$4),$F417,AN417))</f>
        <v/>
      </c>
      <c r="AO418" s="6" t="str">
        <f>CONCATENATE(AG418," | ",AH418," | ",AI418," | ",AJ418," | ",AK418," | ",AL418," | ",AM418," | ",AN418)</f>
        <v xml:space="preserve">90MB1BJ0-C1BAY0 | 59MB1BJB-MB0A02S |  |  |  |  |  | </v>
      </c>
      <c r="AP418" s="6">
        <f>IF(TRIM(H418)="",100,J418)</f>
        <v>0</v>
      </c>
      <c r="AQ418" s="4"/>
      <c r="AR418" s="6" t="b">
        <f>NOT(TRIM(W418)&lt;&gt;"F")</f>
        <v>1</v>
      </c>
      <c r="AS418" s="6" t="str">
        <f>$B418&amp;" | "&amp;$AO418&amp;" | "&amp;IF(TRIM(H418)="","uniq"&amp;ROW(),TRIM(H418))</f>
        <v>461E | 90MB1BJ0-C1BAY0 | 59MB1BJB-MB0A02S |  |  |  |  |  |  | E9</v>
      </c>
      <c r="AT418" s="63">
        <f>IF(NOT(AR418),IF(TRIM($H418)="","Assembly","Phantom Alt"),VLOOKUP(F418,ZPCS04!B:G,6,0))</f>
        <v>692</v>
      </c>
      <c r="AU418" s="7"/>
      <c r="AV418" s="38">
        <f ca="1">IF(TRIM($W418)="F",OFFSET($A$5,MATCH($AS418,$AS$5:$AS418,0)-1,0),$A418)</f>
        <v>418</v>
      </c>
      <c r="AW418" s="38">
        <f ca="1">IFERROR(OFFSET(ZPCS04!$A$1,MATCH(F418,ZPCS04!B:B,0)-1,0),100)</f>
        <v>2</v>
      </c>
      <c r="AX418" s="7"/>
      <c r="AY418" s="6" t="b">
        <f>SUMIF(AS:AS,AS418,AP:AP)=100</f>
        <v>1</v>
      </c>
      <c r="AZ418" s="6" t="b">
        <f>SUMIF(AS:AS,AS418,AE:AE)/COUNTIF(AS:AS,AS418)=AE418</f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>C418&amp;" | "&amp;F418</f>
        <v>90MB1BJ0-C1BAY0 | 10G21249R914010</v>
      </c>
      <c r="BE418" s="55" t="str">
        <f ca="1">C418&amp;" | "&amp;OFFSET($AF418,0,8-COUNTBLANK($AG418:$AN418))</f>
        <v>90MB1BJ0-C1BAY0 | 59MB1BJB-MB0A02S</v>
      </c>
      <c r="BF418" s="57">
        <f ca="1">IFERROR(VLOOKUP($BE418,$BD$5:$BF417,3,0)*$AE418,VLOOKUP($C418,Demanda!$A:$B,2,0)*$AE418)*IF(AT418="Phantom Alt",$BC418,TRUE)</f>
        <v>2000</v>
      </c>
      <c r="BG418" s="57">
        <f ca="1">BF418*(AP418/100)</f>
        <v>0</v>
      </c>
      <c r="BH418" s="57">
        <f>SUMIF(Invoice!A:A,F418,Invoice!B:B)</f>
        <v>0</v>
      </c>
      <c r="BI418" s="57">
        <f ca="1">SUMIF(AS:AS,AS418,BG:BG)</f>
        <v>2000</v>
      </c>
      <c r="BJ418" s="57">
        <f ca="1">MIN((BI418-SUMIF($AS$5:AS417,AS418,$BJ$5:BJ417)),MAX(0,BH418-SUMIF($F$5:F417,F418,$BJ$5:BJ417)))</f>
        <v>0</v>
      </c>
      <c r="BK418" s="57">
        <f ca="1">(-SUMIF(AS:AS,AS418,BG:BG)+SUMIF(AS:AS,AS418,BJ:BJ))*(AP418=100)*AR418</f>
        <v>0</v>
      </c>
      <c r="BL418" s="57">
        <f ca="1">MAX(0,SUMIF(Invoice!A:A,F418,Invoice!B:B)-SUMIF(F:F,F418,BJ:BJ))*(COUNTIF(F:F,F418)=COUNTIF($F$5:F418,F418))</f>
        <v>0</v>
      </c>
    </row>
    <row r="419" spans="1:64" hidden="1">
      <c r="A419" s="43">
        <v>419</v>
      </c>
      <c r="B419" s="13" t="s">
        <v>147</v>
      </c>
      <c r="C419" s="13" t="s">
        <v>146</v>
      </c>
      <c r="D419" s="13">
        <v>2</v>
      </c>
      <c r="E419" s="13">
        <v>1490</v>
      </c>
      <c r="F419" s="71" t="s">
        <v>1035</v>
      </c>
      <c r="G419" s="71" t="s">
        <v>1036</v>
      </c>
      <c r="H419" s="13" t="s">
        <v>1032</v>
      </c>
      <c r="I419" s="13" t="s">
        <v>55</v>
      </c>
      <c r="J419" s="28">
        <v>0</v>
      </c>
      <c r="K419" s="13" t="s">
        <v>150</v>
      </c>
      <c r="L419" s="13" t="s">
        <v>53</v>
      </c>
      <c r="M419" s="13">
        <v>2</v>
      </c>
      <c r="O419" s="13">
        <v>1</v>
      </c>
      <c r="P419" s="13">
        <v>2</v>
      </c>
      <c r="Q419" s="13">
        <v>3</v>
      </c>
      <c r="R419" s="13" t="s">
        <v>73</v>
      </c>
      <c r="S419" s="13" t="s">
        <v>73</v>
      </c>
      <c r="T419" s="13">
        <v>44901</v>
      </c>
      <c r="U419" s="13">
        <v>2958465</v>
      </c>
      <c r="V419" s="13" t="s">
        <v>282</v>
      </c>
      <c r="W419" s="13" t="s">
        <v>145</v>
      </c>
      <c r="Y419" s="13" t="s">
        <v>143</v>
      </c>
      <c r="Z419" s="13">
        <v>7589154</v>
      </c>
      <c r="AA419" s="13">
        <v>726</v>
      </c>
      <c r="AB419" s="13">
        <v>363</v>
      </c>
      <c r="AE419" s="51">
        <f>M419/O419</f>
        <v>2</v>
      </c>
      <c r="AG419" s="6" t="str">
        <f>C419</f>
        <v>90MB1BJ0-C1BAY0</v>
      </c>
      <c r="AH419" s="6" t="str">
        <f>IF($D419&lt;=AH$4,"",IF(AND($D418=AH$4,$D419&gt;AH$4),$F418,AH418))</f>
        <v>59MB1BJB-MB0A02S</v>
      </c>
      <c r="AI419" s="6" t="str">
        <f>IF($D419&lt;=AI$4,"",IF(AND($D418=AI$4,$D419&gt;AI$4),$F418,AI418))</f>
        <v/>
      </c>
      <c r="AJ419" s="6" t="str">
        <f>IF($D419&lt;=AJ$4,"",IF(AND($D418=AJ$4,$D419&gt;AJ$4),$F418,AJ418))</f>
        <v/>
      </c>
      <c r="AK419" s="6" t="str">
        <f>IF($D419&lt;=AK$4,"",IF(AND($D418=AK$4,$D419&gt;AK$4),$F418,AK418))</f>
        <v/>
      </c>
      <c r="AL419" s="6" t="str">
        <f>IF($D419&lt;=AL$4,"",IF(AND($D418=AL$4,$D419&gt;AL$4),$F418,AL418))</f>
        <v/>
      </c>
      <c r="AM419" s="6" t="str">
        <f>IF($D419&lt;=AM$4,"",IF(AND($D418=AM$4,$D419&gt;AM$4),$F418,AM418))</f>
        <v/>
      </c>
      <c r="AN419" s="6" t="str">
        <f>IF($D419&lt;=AN$4,"",IF(AND($D418=AN$4,$D419&gt;AN$4),$F418,AN418))</f>
        <v/>
      </c>
      <c r="AO419" s="6" t="str">
        <f>CONCATENATE(AG419," | ",AH419," | ",AI419," | ",AJ419," | ",AK419," | ",AL419," | ",AM419," | ",AN419)</f>
        <v xml:space="preserve">90MB1BJ0-C1BAY0 | 59MB1BJB-MB0A02S |  |  |  |  |  | </v>
      </c>
      <c r="AP419" s="6">
        <f>IF(TRIM(H419)="",100,J419)</f>
        <v>0</v>
      </c>
      <c r="AQ419" s="4"/>
      <c r="AR419" s="6" t="b">
        <f>NOT(TRIM(W419)&lt;&gt;"F")</f>
        <v>1</v>
      </c>
      <c r="AS419" s="6" t="str">
        <f>$B419&amp;" | "&amp;$AO419&amp;" | "&amp;IF(TRIM(H419)="","uniq"&amp;ROW(),TRIM(H419))</f>
        <v>461E | 90MB1BJ0-C1BAY0 | 59MB1BJB-MB0A02S |  |  |  |  |  |  | E9</v>
      </c>
      <c r="AT419" s="63">
        <f>IF(NOT(AR419),IF(TRIM($H419)="","Assembly","Phantom Alt"),VLOOKUP(F419,ZPCS04!B:G,6,0))</f>
        <v>692</v>
      </c>
      <c r="AU419" s="7"/>
      <c r="AV419" s="38">
        <f ca="1">IF(TRIM($W419)="F",OFFSET($A$5,MATCH($AS419,$AS$5:$AS419,0)-1,0),$A419)</f>
        <v>418</v>
      </c>
      <c r="AW419" s="38">
        <f ca="1">IFERROR(OFFSET(ZPCS04!$A$1,MATCH(F419,ZPCS04!B:B,0)-1,0),100)</f>
        <v>2</v>
      </c>
      <c r="AX419" s="7"/>
      <c r="AY419" s="6" t="b">
        <f>SUMIF(AS:AS,AS419,AP:AP)=100</f>
        <v>1</v>
      </c>
      <c r="AZ419" s="6" t="b">
        <f>SUMIF(AS:AS,AS419,AE:AE)/COUNTIF(AS:AS,AS419)=AE419</f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>C419&amp;" | "&amp;F419</f>
        <v>90MB1BJ0-C1BAY0 | 10G21249R914050</v>
      </c>
      <c r="BE419" s="55" t="str">
        <f ca="1">C419&amp;" | "&amp;OFFSET($AF419,0,8-COUNTBLANK($AG419:$AN419))</f>
        <v>90MB1BJ0-C1BAY0 | 59MB1BJB-MB0A02S</v>
      </c>
      <c r="BF419" s="57">
        <f ca="1">IFERROR(VLOOKUP($BE419,$BD$5:$BF418,3,0)*$AE419,VLOOKUP($C419,Demanda!$A:$B,2,0)*$AE419)*IF(AT419="Phantom Alt",$BC419,TRUE)</f>
        <v>2000</v>
      </c>
      <c r="BG419" s="57">
        <f ca="1">BF419*(AP419/100)</f>
        <v>0</v>
      </c>
      <c r="BH419" s="57">
        <f>SUMIF(Invoice!A:A,F419,Invoice!B:B)</f>
        <v>0</v>
      </c>
      <c r="BI419" s="57">
        <f ca="1">SUMIF(AS:AS,AS419,BG:BG)</f>
        <v>2000</v>
      </c>
      <c r="BJ419" s="57">
        <f ca="1">MIN((BI419-SUMIF($AS$5:AS418,AS419,$BJ$5:BJ418)),MAX(0,BH419-SUMIF($F$5:F418,F419,$BJ$5:BJ418)))</f>
        <v>0</v>
      </c>
      <c r="BK419" s="57">
        <f ca="1">(-SUMIF(AS:AS,AS419,BG:BG)+SUMIF(AS:AS,AS419,BJ:BJ))*(AP419=100)*AR419</f>
        <v>0</v>
      </c>
      <c r="BL419" s="57">
        <f ca="1">MAX(0,SUMIF(Invoice!A:A,F419,Invoice!B:B)-SUMIF(F:F,F419,BJ:BJ))*(COUNTIF(F:F,F419)=COUNTIF($F$5:F419,F419))</f>
        <v>0</v>
      </c>
    </row>
    <row r="420" spans="1:64" hidden="1">
      <c r="A420" s="43">
        <v>420</v>
      </c>
      <c r="B420" s="13" t="s">
        <v>147</v>
      </c>
      <c r="C420" s="13" t="s">
        <v>146</v>
      </c>
      <c r="D420" s="13">
        <v>2</v>
      </c>
      <c r="E420" s="13">
        <v>1500</v>
      </c>
      <c r="F420" s="71" t="s">
        <v>1037</v>
      </c>
      <c r="G420" s="71" t="s">
        <v>1038</v>
      </c>
      <c r="H420" s="13" t="s">
        <v>1039</v>
      </c>
      <c r="I420" s="13" t="s">
        <v>54</v>
      </c>
      <c r="J420" s="28">
        <v>100</v>
      </c>
      <c r="K420" s="13" t="s">
        <v>489</v>
      </c>
      <c r="L420" s="13" t="s">
        <v>53</v>
      </c>
      <c r="M420" s="13">
        <v>1</v>
      </c>
      <c r="N420" s="13">
        <v>1</v>
      </c>
      <c r="O420" s="13">
        <v>1</v>
      </c>
      <c r="P420" s="13">
        <v>2</v>
      </c>
      <c r="Q420" s="13">
        <v>1</v>
      </c>
      <c r="R420" s="13" t="s">
        <v>122</v>
      </c>
      <c r="S420" s="13" t="s">
        <v>122</v>
      </c>
      <c r="T420" s="13">
        <v>44901</v>
      </c>
      <c r="U420" s="13">
        <v>2958465</v>
      </c>
      <c r="V420" s="13" t="s">
        <v>282</v>
      </c>
      <c r="W420" s="13" t="s">
        <v>145</v>
      </c>
      <c r="Y420" s="13" t="s">
        <v>143</v>
      </c>
      <c r="Z420" s="13">
        <v>7589154</v>
      </c>
      <c r="AA420" s="13">
        <v>728</v>
      </c>
      <c r="AB420" s="13">
        <v>364</v>
      </c>
      <c r="AE420" s="51">
        <f>M420/O420</f>
        <v>1</v>
      </c>
      <c r="AG420" s="6" t="str">
        <f>C420</f>
        <v>90MB1BJ0-C1BAY0</v>
      </c>
      <c r="AH420" s="6" t="str">
        <f>IF($D420&lt;=AH$4,"",IF(AND($D419=AH$4,$D420&gt;AH$4),$F419,AH419))</f>
        <v>59MB1BJB-MB0A02S</v>
      </c>
      <c r="AI420" s="6" t="str">
        <f>IF($D420&lt;=AI$4,"",IF(AND($D419=AI$4,$D420&gt;AI$4),$F419,AI419))</f>
        <v/>
      </c>
      <c r="AJ420" s="6" t="str">
        <f>IF($D420&lt;=AJ$4,"",IF(AND($D419=AJ$4,$D420&gt;AJ$4),$F419,AJ419))</f>
        <v/>
      </c>
      <c r="AK420" s="6" t="str">
        <f>IF($D420&lt;=AK$4,"",IF(AND($D419=AK$4,$D420&gt;AK$4),$F419,AK419))</f>
        <v/>
      </c>
      <c r="AL420" s="6" t="str">
        <f>IF($D420&lt;=AL$4,"",IF(AND($D419=AL$4,$D420&gt;AL$4),$F419,AL419))</f>
        <v/>
      </c>
      <c r="AM420" s="6" t="str">
        <f>IF($D420&lt;=AM$4,"",IF(AND($D419=AM$4,$D420&gt;AM$4),$F419,AM419))</f>
        <v/>
      </c>
      <c r="AN420" s="6" t="str">
        <f>IF($D420&lt;=AN$4,"",IF(AND($D419=AN$4,$D420&gt;AN$4),$F419,AN419))</f>
        <v/>
      </c>
      <c r="AO420" s="6" t="str">
        <f>CONCATENATE(AG420," | ",AH420," | ",AI420," | ",AJ420," | ",AK420," | ",AL420," | ",AM420," | ",AN420)</f>
        <v xml:space="preserve">90MB1BJ0-C1BAY0 | 59MB1BJB-MB0A02S |  |  |  |  |  | </v>
      </c>
      <c r="AP420" s="6">
        <f>IF(TRIM(H420)="",100,J420)</f>
        <v>100</v>
      </c>
      <c r="AQ420" s="4"/>
      <c r="AR420" s="6" t="b">
        <f>NOT(TRIM(W420)&lt;&gt;"F")</f>
        <v>1</v>
      </c>
      <c r="AS420" s="6" t="str">
        <f>$B420&amp;" | "&amp;$AO420&amp;" | "&amp;IF(TRIM(H420)="","uniq"&amp;ROW(),TRIM(H420))</f>
        <v>461E | 90MB1BJ0-C1BAY0 | 59MB1BJB-MB0A02S |  |  |  |  |  |  | F0</v>
      </c>
      <c r="AT420" s="63">
        <f>IF(NOT(AR420),IF(TRIM($H420)="","Assembly","Phantom Alt"),VLOOKUP(F420,ZPCS04!B:G,6,0))</f>
        <v>1269</v>
      </c>
      <c r="AU420" s="7"/>
      <c r="AV420" s="38">
        <f ca="1">IF(TRIM($W420)="F",OFFSET($A$5,MATCH($AS420,$AS$5:$AS420,0)-1,0),$A420)</f>
        <v>420</v>
      </c>
      <c r="AW420" s="38">
        <f ca="1">IFERROR(OFFSET(ZPCS04!$A$1,MATCH(F420,ZPCS04!B:B,0)-1,0),100)</f>
        <v>1.9999999000000002</v>
      </c>
      <c r="AX420" s="7"/>
      <c r="AY420" s="6" t="b">
        <f>SUMIF(AS:AS,AS420,AP:AP)=100</f>
        <v>1</v>
      </c>
      <c r="AZ420" s="6" t="b">
        <f>SUMIF(AS:AS,AS420,AE:AE)/COUNTIF(AS:AS,AS420)=AE420</f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>C420&amp;" | "&amp;F420</f>
        <v>90MB1BJ0-C1BAY0 | 10G212536114010</v>
      </c>
      <c r="BE420" s="55" t="str">
        <f ca="1">C420&amp;" | "&amp;OFFSET($AF420,0,8-COUNTBLANK($AG420:$AN420))</f>
        <v>90MB1BJ0-C1BAY0 | 59MB1BJB-MB0A02S</v>
      </c>
      <c r="BF420" s="57">
        <f ca="1">IFERROR(VLOOKUP($BE420,$BD$5:$BF419,3,0)*$AE420,VLOOKUP($C420,Demanda!$A:$B,2,0)*$AE420)*IF(AT420="Phantom Alt",$BC420,TRUE)</f>
        <v>1000</v>
      </c>
      <c r="BG420" s="57">
        <f ca="1">BF420*(AP420/100)</f>
        <v>1000</v>
      </c>
      <c r="BH420" s="57">
        <f>SUMIF(Invoice!A:A,F420,Invoice!B:B)</f>
        <v>10000</v>
      </c>
      <c r="BI420" s="57">
        <f ca="1">SUMIF(AS:AS,AS420,BG:BG)</f>
        <v>1000</v>
      </c>
      <c r="BJ420" s="57">
        <f ca="1">MIN((BI420-SUMIF($AS$5:AS419,AS420,$BJ$5:BJ419)),MAX(0,BH420-SUMIF($F$5:F419,F420,$BJ$5:BJ419)))</f>
        <v>1000</v>
      </c>
      <c r="BK420" s="57">
        <f ca="1">(-SUMIF(AS:AS,AS420,BG:BG)+SUMIF(AS:AS,AS420,BJ:BJ))*(AP420=100)*AR420</f>
        <v>0</v>
      </c>
      <c r="BL420" s="57">
        <f ca="1">MAX(0,SUMIF(Invoice!A:A,F420,Invoice!B:B)-SUMIF(F:F,F420,BJ:BJ))*(COUNTIF(F:F,F420)=COUNTIF($F$5:F420,F420))</f>
        <v>9000</v>
      </c>
    </row>
    <row r="421" spans="1:64" hidden="1">
      <c r="A421" s="43">
        <v>421</v>
      </c>
      <c r="B421" s="13" t="s">
        <v>147</v>
      </c>
      <c r="C421" s="13" t="s">
        <v>146</v>
      </c>
      <c r="D421" s="13">
        <v>2</v>
      </c>
      <c r="E421" s="13">
        <v>1500</v>
      </c>
      <c r="F421" s="71" t="s">
        <v>1040</v>
      </c>
      <c r="G421" s="71" t="s">
        <v>1038</v>
      </c>
      <c r="H421" s="13" t="s">
        <v>1039</v>
      </c>
      <c r="I421" s="13" t="s">
        <v>55</v>
      </c>
      <c r="J421" s="28">
        <v>0</v>
      </c>
      <c r="K421" s="13" t="s">
        <v>489</v>
      </c>
      <c r="L421" s="13" t="s">
        <v>53</v>
      </c>
      <c r="M421" s="13">
        <v>1</v>
      </c>
      <c r="O421" s="13">
        <v>1</v>
      </c>
      <c r="P421" s="13">
        <v>2</v>
      </c>
      <c r="Q421" s="13">
        <v>4</v>
      </c>
      <c r="R421" s="13" t="s">
        <v>122</v>
      </c>
      <c r="S421" s="13" t="s">
        <v>122</v>
      </c>
      <c r="T421" s="13">
        <v>44901</v>
      </c>
      <c r="U421" s="13">
        <v>2958465</v>
      </c>
      <c r="V421" s="13" t="s">
        <v>282</v>
      </c>
      <c r="W421" s="13" t="s">
        <v>145</v>
      </c>
      <c r="Y421" s="13" t="s">
        <v>143</v>
      </c>
      <c r="Z421" s="13">
        <v>7589154</v>
      </c>
      <c r="AA421" s="13">
        <v>734</v>
      </c>
      <c r="AB421" s="13">
        <v>367</v>
      </c>
      <c r="AE421" s="51">
        <f>M421/O421</f>
        <v>1</v>
      </c>
      <c r="AG421" s="6" t="str">
        <f>C421</f>
        <v>90MB1BJ0-C1BAY0</v>
      </c>
      <c r="AH421" s="6" t="str">
        <f>IF($D421&lt;=AH$4,"",IF(AND($D420=AH$4,$D421&gt;AH$4),$F420,AH420))</f>
        <v>59MB1BJB-MB0A02S</v>
      </c>
      <c r="AI421" s="6" t="str">
        <f>IF($D421&lt;=AI$4,"",IF(AND($D420=AI$4,$D421&gt;AI$4),$F420,AI420))</f>
        <v/>
      </c>
      <c r="AJ421" s="6" t="str">
        <f>IF($D421&lt;=AJ$4,"",IF(AND($D420=AJ$4,$D421&gt;AJ$4),$F420,AJ420))</f>
        <v/>
      </c>
      <c r="AK421" s="6" t="str">
        <f>IF($D421&lt;=AK$4,"",IF(AND($D420=AK$4,$D421&gt;AK$4),$F420,AK420))</f>
        <v/>
      </c>
      <c r="AL421" s="6" t="str">
        <f>IF($D421&lt;=AL$4,"",IF(AND($D420=AL$4,$D421&gt;AL$4),$F420,AL420))</f>
        <v/>
      </c>
      <c r="AM421" s="6" t="str">
        <f>IF($D421&lt;=AM$4,"",IF(AND($D420=AM$4,$D421&gt;AM$4),$F420,AM420))</f>
        <v/>
      </c>
      <c r="AN421" s="6" t="str">
        <f>IF($D421&lt;=AN$4,"",IF(AND($D420=AN$4,$D421&gt;AN$4),$F420,AN420))</f>
        <v/>
      </c>
      <c r="AO421" s="6" t="str">
        <f>CONCATENATE(AG421," | ",AH421," | ",AI421," | ",AJ421," | ",AK421," | ",AL421," | ",AM421," | ",AN421)</f>
        <v xml:space="preserve">90MB1BJ0-C1BAY0 | 59MB1BJB-MB0A02S |  |  |  |  |  | </v>
      </c>
      <c r="AP421" s="6">
        <f>IF(TRIM(H421)="",100,J421)</f>
        <v>0</v>
      </c>
      <c r="AQ421" s="4"/>
      <c r="AR421" s="6" t="b">
        <f>NOT(TRIM(W421)&lt;&gt;"F")</f>
        <v>1</v>
      </c>
      <c r="AS421" s="6" t="str">
        <f>$B421&amp;" | "&amp;$AO421&amp;" | "&amp;IF(TRIM(H421)="","uniq"&amp;ROW(),TRIM(H421))</f>
        <v>461E | 90MB1BJ0-C1BAY0 | 59MB1BJB-MB0A02S |  |  |  |  |  |  | F0</v>
      </c>
      <c r="AT421" s="63">
        <f>IF(NOT(AR421),IF(TRIM($H421)="","Assembly","Phantom Alt"),VLOOKUP(F421,ZPCS04!B:G,6,0))</f>
        <v>1269</v>
      </c>
      <c r="AU421" s="7"/>
      <c r="AV421" s="38">
        <f ca="1">IF(TRIM($W421)="F",OFFSET($A$5,MATCH($AS421,$AS$5:$AS421,0)-1,0),$A421)</f>
        <v>420</v>
      </c>
      <c r="AW421" s="38">
        <f ca="1">IFERROR(OFFSET(ZPCS04!$A$1,MATCH(F421,ZPCS04!B:B,0)-1,0),100)</f>
        <v>2</v>
      </c>
      <c r="AX421" s="7"/>
      <c r="AY421" s="6" t="b">
        <f>SUMIF(AS:AS,AS421,AP:AP)=100</f>
        <v>1</v>
      </c>
      <c r="AZ421" s="6" t="b">
        <f>SUMIF(AS:AS,AS421,AE:AE)/COUNTIF(AS:AS,AS421)=AE421</f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>C421&amp;" | "&amp;F421</f>
        <v>90MB1BJ0-C1BAY0 | 10G212536114020</v>
      </c>
      <c r="BE421" s="55" t="str">
        <f ca="1">C421&amp;" | "&amp;OFFSET($AF421,0,8-COUNTBLANK($AG421:$AN421))</f>
        <v>90MB1BJ0-C1BAY0 | 59MB1BJB-MB0A02S</v>
      </c>
      <c r="BF421" s="57">
        <f ca="1">IFERROR(VLOOKUP($BE421,$BD$5:$BF420,3,0)*$AE421,VLOOKUP($C421,Demanda!$A:$B,2,0)*$AE421)*IF(AT421="Phantom Alt",$BC421,TRUE)</f>
        <v>1000</v>
      </c>
      <c r="BG421" s="57">
        <f ca="1">BF421*(AP421/100)</f>
        <v>0</v>
      </c>
      <c r="BH421" s="57">
        <f>SUMIF(Invoice!A:A,F421,Invoice!B:B)</f>
        <v>0</v>
      </c>
      <c r="BI421" s="57">
        <f ca="1">SUMIF(AS:AS,AS421,BG:BG)</f>
        <v>1000</v>
      </c>
      <c r="BJ421" s="57">
        <f ca="1">MIN((BI421-SUMIF($AS$5:AS420,AS421,$BJ$5:BJ420)),MAX(0,BH421-SUMIF($F$5:F420,F421,$BJ$5:BJ420)))</f>
        <v>0</v>
      </c>
      <c r="BK421" s="57">
        <f ca="1">(-SUMIF(AS:AS,AS421,BG:BG)+SUMIF(AS:AS,AS421,BJ:BJ))*(AP421=100)*AR421</f>
        <v>0</v>
      </c>
      <c r="BL421" s="57">
        <f ca="1">MAX(0,SUMIF(Invoice!A:A,F421,Invoice!B:B)-SUMIF(F:F,F421,BJ:BJ))*(COUNTIF(F:F,F421)=COUNTIF($F$5:F421,F421))</f>
        <v>0</v>
      </c>
    </row>
    <row r="422" spans="1:64" hidden="1">
      <c r="A422" s="43">
        <v>422</v>
      </c>
      <c r="B422" s="13" t="s">
        <v>147</v>
      </c>
      <c r="C422" s="13" t="s">
        <v>146</v>
      </c>
      <c r="D422" s="13">
        <v>2</v>
      </c>
      <c r="E422" s="13">
        <v>1500</v>
      </c>
      <c r="F422" s="71" t="s">
        <v>1041</v>
      </c>
      <c r="G422" s="71" t="s">
        <v>1042</v>
      </c>
      <c r="H422" s="13" t="s">
        <v>1039</v>
      </c>
      <c r="I422" s="13" t="s">
        <v>55</v>
      </c>
      <c r="J422" s="28">
        <v>0</v>
      </c>
      <c r="K422" s="13" t="s">
        <v>489</v>
      </c>
      <c r="L422" s="13" t="s">
        <v>53</v>
      </c>
      <c r="M422" s="13">
        <v>1</v>
      </c>
      <c r="O422" s="13">
        <v>1</v>
      </c>
      <c r="P422" s="13">
        <v>2</v>
      </c>
      <c r="Q422" s="13">
        <v>3</v>
      </c>
      <c r="R422" s="13" t="s">
        <v>122</v>
      </c>
      <c r="S422" s="13" t="s">
        <v>122</v>
      </c>
      <c r="T422" s="13">
        <v>44901</v>
      </c>
      <c r="U422" s="13">
        <v>2958465</v>
      </c>
      <c r="V422" s="13" t="s">
        <v>282</v>
      </c>
      <c r="W422" s="13" t="s">
        <v>145</v>
      </c>
      <c r="Y422" s="13" t="s">
        <v>143</v>
      </c>
      <c r="Z422" s="13">
        <v>7589154</v>
      </c>
      <c r="AA422" s="13">
        <v>732</v>
      </c>
      <c r="AB422" s="13">
        <v>366</v>
      </c>
      <c r="AE422" s="51">
        <f>M422/O422</f>
        <v>1</v>
      </c>
      <c r="AG422" s="6" t="str">
        <f>C422</f>
        <v>90MB1BJ0-C1BAY0</v>
      </c>
      <c r="AH422" s="6" t="str">
        <f>IF($D422&lt;=AH$4,"",IF(AND($D421=AH$4,$D422&gt;AH$4),$F421,AH421))</f>
        <v>59MB1BJB-MB0A02S</v>
      </c>
      <c r="AI422" s="6" t="str">
        <f>IF($D422&lt;=AI$4,"",IF(AND($D421=AI$4,$D422&gt;AI$4),$F421,AI421))</f>
        <v/>
      </c>
      <c r="AJ422" s="6" t="str">
        <f>IF($D422&lt;=AJ$4,"",IF(AND($D421=AJ$4,$D422&gt;AJ$4),$F421,AJ421))</f>
        <v/>
      </c>
      <c r="AK422" s="6" t="str">
        <f>IF($D422&lt;=AK$4,"",IF(AND($D421=AK$4,$D422&gt;AK$4),$F421,AK421))</f>
        <v/>
      </c>
      <c r="AL422" s="6" t="str">
        <f>IF($D422&lt;=AL$4,"",IF(AND($D421=AL$4,$D422&gt;AL$4),$F421,AL421))</f>
        <v/>
      </c>
      <c r="AM422" s="6" t="str">
        <f>IF($D422&lt;=AM$4,"",IF(AND($D421=AM$4,$D422&gt;AM$4),$F421,AM421))</f>
        <v/>
      </c>
      <c r="AN422" s="6" t="str">
        <f>IF($D422&lt;=AN$4,"",IF(AND($D421=AN$4,$D422&gt;AN$4),$F421,AN421))</f>
        <v/>
      </c>
      <c r="AO422" s="6" t="str">
        <f>CONCATENATE(AG422," | ",AH422," | ",AI422," | ",AJ422," | ",AK422," | ",AL422," | ",AM422," | ",AN422)</f>
        <v xml:space="preserve">90MB1BJ0-C1BAY0 | 59MB1BJB-MB0A02S |  |  |  |  |  | </v>
      </c>
      <c r="AP422" s="6">
        <f>IF(TRIM(H422)="",100,J422)</f>
        <v>0</v>
      </c>
      <c r="AQ422" s="4"/>
      <c r="AR422" s="6" t="b">
        <f>NOT(TRIM(W422)&lt;&gt;"F")</f>
        <v>1</v>
      </c>
      <c r="AS422" s="6" t="str">
        <f>$B422&amp;" | "&amp;$AO422&amp;" | "&amp;IF(TRIM(H422)="","uniq"&amp;ROW(),TRIM(H422))</f>
        <v>461E | 90MB1BJ0-C1BAY0 | 59MB1BJB-MB0A02S |  |  |  |  |  |  | F0</v>
      </c>
      <c r="AT422" s="63">
        <f>IF(NOT(AR422),IF(TRIM($H422)="","Assembly","Phantom Alt"),VLOOKUP(F422,ZPCS04!B:G,6,0))</f>
        <v>1269</v>
      </c>
      <c r="AU422" s="7"/>
      <c r="AV422" s="38">
        <f ca="1">IF(TRIM($W422)="F",OFFSET($A$5,MATCH($AS422,$AS$5:$AS422,0)-1,0),$A422)</f>
        <v>420</v>
      </c>
      <c r="AW422" s="38">
        <f ca="1">IFERROR(OFFSET(ZPCS04!$A$1,MATCH(F422,ZPCS04!B:B,0)-1,0),100)</f>
        <v>2</v>
      </c>
      <c r="AX422" s="7"/>
      <c r="AY422" s="6" t="b">
        <f>SUMIF(AS:AS,AS422,AP:AP)=100</f>
        <v>1</v>
      </c>
      <c r="AZ422" s="6" t="b">
        <f>SUMIF(AS:AS,AS422,AE:AE)/COUNTIF(AS:AS,AS422)=AE422</f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>C422&amp;" | "&amp;F422</f>
        <v>90MB1BJ0-C1BAY0 | 10G212536114030</v>
      </c>
      <c r="BE422" s="55" t="str">
        <f ca="1">C422&amp;" | "&amp;OFFSET($AF422,0,8-COUNTBLANK($AG422:$AN422))</f>
        <v>90MB1BJ0-C1BAY0 | 59MB1BJB-MB0A02S</v>
      </c>
      <c r="BF422" s="57">
        <f ca="1">IFERROR(VLOOKUP($BE422,$BD$5:$BF421,3,0)*$AE422,VLOOKUP($C422,Demanda!$A:$B,2,0)*$AE422)*IF(AT422="Phantom Alt",$BC422,TRUE)</f>
        <v>1000</v>
      </c>
      <c r="BG422" s="57">
        <f ca="1">BF422*(AP422/100)</f>
        <v>0</v>
      </c>
      <c r="BH422" s="57">
        <f>SUMIF(Invoice!A:A,F422,Invoice!B:B)</f>
        <v>0</v>
      </c>
      <c r="BI422" s="57">
        <f ca="1">SUMIF(AS:AS,AS422,BG:BG)</f>
        <v>1000</v>
      </c>
      <c r="BJ422" s="57">
        <f ca="1">MIN((BI422-SUMIF($AS$5:AS421,AS422,$BJ$5:BJ421)),MAX(0,BH422-SUMIF($F$5:F421,F422,$BJ$5:BJ421)))</f>
        <v>0</v>
      </c>
      <c r="BK422" s="57">
        <f ca="1">(-SUMIF(AS:AS,AS422,BG:BG)+SUMIF(AS:AS,AS422,BJ:BJ))*(AP422=100)*AR422</f>
        <v>0</v>
      </c>
      <c r="BL422" s="57">
        <f ca="1">MAX(0,SUMIF(Invoice!A:A,F422,Invoice!B:B)-SUMIF(F:F,F422,BJ:BJ))*(COUNTIF(F:F,F422)=COUNTIF($F$5:F422,F422))</f>
        <v>0</v>
      </c>
    </row>
    <row r="423" spans="1:64" hidden="1">
      <c r="A423" s="43">
        <v>423</v>
      </c>
      <c r="B423" s="13" t="s">
        <v>147</v>
      </c>
      <c r="C423" s="13" t="s">
        <v>146</v>
      </c>
      <c r="D423" s="13">
        <v>2</v>
      </c>
      <c r="E423" s="13">
        <v>1500</v>
      </c>
      <c r="F423" s="71" t="s">
        <v>1043</v>
      </c>
      <c r="G423" s="71" t="s">
        <v>1044</v>
      </c>
      <c r="H423" s="13" t="s">
        <v>1039</v>
      </c>
      <c r="I423" s="13" t="s">
        <v>55</v>
      </c>
      <c r="J423" s="28">
        <v>0</v>
      </c>
      <c r="K423" s="13" t="s">
        <v>150</v>
      </c>
      <c r="L423" s="13" t="s">
        <v>53</v>
      </c>
      <c r="M423" s="13">
        <v>1</v>
      </c>
      <c r="O423" s="13">
        <v>1</v>
      </c>
      <c r="P423" s="13">
        <v>2</v>
      </c>
      <c r="Q423" s="13">
        <v>2</v>
      </c>
      <c r="R423" s="13" t="s">
        <v>73</v>
      </c>
      <c r="S423" s="13" t="s">
        <v>73</v>
      </c>
      <c r="T423" s="13">
        <v>44901</v>
      </c>
      <c r="U423" s="13">
        <v>2958465</v>
      </c>
      <c r="V423" s="13" t="s">
        <v>282</v>
      </c>
      <c r="W423" s="13" t="s">
        <v>145</v>
      </c>
      <c r="Y423" s="13" t="s">
        <v>143</v>
      </c>
      <c r="Z423" s="13">
        <v>7589154</v>
      </c>
      <c r="AA423" s="13">
        <v>730</v>
      </c>
      <c r="AB423" s="13">
        <v>365</v>
      </c>
      <c r="AE423" s="51">
        <f>M423/O423</f>
        <v>1</v>
      </c>
      <c r="AG423" s="6" t="str">
        <f>C423</f>
        <v>90MB1BJ0-C1BAY0</v>
      </c>
      <c r="AH423" s="6" t="str">
        <f>IF($D423&lt;=AH$4,"",IF(AND($D422=AH$4,$D423&gt;AH$4),$F422,AH422))</f>
        <v>59MB1BJB-MB0A02S</v>
      </c>
      <c r="AI423" s="6" t="str">
        <f>IF($D423&lt;=AI$4,"",IF(AND($D422=AI$4,$D423&gt;AI$4),$F422,AI422))</f>
        <v/>
      </c>
      <c r="AJ423" s="6" t="str">
        <f>IF($D423&lt;=AJ$4,"",IF(AND($D422=AJ$4,$D423&gt;AJ$4),$F422,AJ422))</f>
        <v/>
      </c>
      <c r="AK423" s="6" t="str">
        <f>IF($D423&lt;=AK$4,"",IF(AND($D422=AK$4,$D423&gt;AK$4),$F422,AK422))</f>
        <v/>
      </c>
      <c r="AL423" s="6" t="str">
        <f>IF($D423&lt;=AL$4,"",IF(AND($D422=AL$4,$D423&gt;AL$4),$F422,AL422))</f>
        <v/>
      </c>
      <c r="AM423" s="6" t="str">
        <f>IF($D423&lt;=AM$4,"",IF(AND($D422=AM$4,$D423&gt;AM$4),$F422,AM422))</f>
        <v/>
      </c>
      <c r="AN423" s="6" t="str">
        <f>IF($D423&lt;=AN$4,"",IF(AND($D422=AN$4,$D423&gt;AN$4),$F422,AN422))</f>
        <v/>
      </c>
      <c r="AO423" s="6" t="str">
        <f>CONCATENATE(AG423," | ",AH423," | ",AI423," | ",AJ423," | ",AK423," | ",AL423," | ",AM423," | ",AN423)</f>
        <v xml:space="preserve">90MB1BJ0-C1BAY0 | 59MB1BJB-MB0A02S |  |  |  |  |  | </v>
      </c>
      <c r="AP423" s="6">
        <f>IF(TRIM(H423)="",100,J423)</f>
        <v>0</v>
      </c>
      <c r="AQ423" s="4"/>
      <c r="AR423" s="6" t="b">
        <f>NOT(TRIM(W423)&lt;&gt;"F")</f>
        <v>1</v>
      </c>
      <c r="AS423" s="6" t="str">
        <f>$B423&amp;" | "&amp;$AO423&amp;" | "&amp;IF(TRIM(H423)="","uniq"&amp;ROW(),TRIM(H423))</f>
        <v>461E | 90MB1BJ0-C1BAY0 | 59MB1BJB-MB0A02S |  |  |  |  |  |  | F0</v>
      </c>
      <c r="AT423" s="63">
        <f>IF(NOT(AR423),IF(TRIM($H423)="","Assembly","Phantom Alt"),VLOOKUP(F423,ZPCS04!B:G,6,0))</f>
        <v>1269</v>
      </c>
      <c r="AU423" s="7"/>
      <c r="AV423" s="38">
        <f ca="1">IF(TRIM($W423)="F",OFFSET($A$5,MATCH($AS423,$AS$5:$AS423,0)-1,0),$A423)</f>
        <v>420</v>
      </c>
      <c r="AW423" s="38">
        <f ca="1">IFERROR(OFFSET(ZPCS04!$A$1,MATCH(F423,ZPCS04!B:B,0)-1,0),100)</f>
        <v>2</v>
      </c>
      <c r="AX423" s="7"/>
      <c r="AY423" s="6" t="b">
        <f>SUMIF(AS:AS,AS423,AP:AP)=100</f>
        <v>1</v>
      </c>
      <c r="AZ423" s="6" t="b">
        <f>SUMIF(AS:AS,AS423,AE:AE)/COUNTIF(AS:AS,AS423)=AE423</f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>C423&amp;" | "&amp;F423</f>
        <v>90MB1BJ0-C1BAY0 | 10G212536114050</v>
      </c>
      <c r="BE423" s="55" t="str">
        <f ca="1">C423&amp;" | "&amp;OFFSET($AF423,0,8-COUNTBLANK($AG423:$AN423))</f>
        <v>90MB1BJ0-C1BAY0 | 59MB1BJB-MB0A02S</v>
      </c>
      <c r="BF423" s="57">
        <f ca="1">IFERROR(VLOOKUP($BE423,$BD$5:$BF422,3,0)*$AE423,VLOOKUP($C423,Demanda!$A:$B,2,0)*$AE423)*IF(AT423="Phantom Alt",$BC423,TRUE)</f>
        <v>1000</v>
      </c>
      <c r="BG423" s="57">
        <f ca="1">BF423*(AP423/100)</f>
        <v>0</v>
      </c>
      <c r="BH423" s="57">
        <f>SUMIF(Invoice!A:A,F423,Invoice!B:B)</f>
        <v>0</v>
      </c>
      <c r="BI423" s="57">
        <f ca="1">SUMIF(AS:AS,AS423,BG:BG)</f>
        <v>1000</v>
      </c>
      <c r="BJ423" s="57">
        <f ca="1">MIN((BI423-SUMIF($AS$5:AS422,AS423,$BJ$5:BJ422)),MAX(0,BH423-SUMIF($F$5:F422,F423,$BJ$5:BJ422)))</f>
        <v>0</v>
      </c>
      <c r="BK423" s="57">
        <f ca="1">(-SUMIF(AS:AS,AS423,BG:BG)+SUMIF(AS:AS,AS423,BJ:BJ))*(AP423=100)*AR423</f>
        <v>0</v>
      </c>
      <c r="BL423" s="57">
        <f ca="1">MAX(0,SUMIF(Invoice!A:A,F423,Invoice!B:B)-SUMIF(F:F,F423,BJ:BJ))*(COUNTIF(F:F,F423)=COUNTIF($F$5:F423,F423))</f>
        <v>0</v>
      </c>
    </row>
    <row r="424" spans="1:64" hidden="1">
      <c r="A424" s="43">
        <v>424</v>
      </c>
      <c r="B424" s="13" t="s">
        <v>147</v>
      </c>
      <c r="C424" s="13" t="s">
        <v>146</v>
      </c>
      <c r="D424" s="13">
        <v>2</v>
      </c>
      <c r="E424" s="13">
        <v>1510</v>
      </c>
      <c r="F424" s="71" t="s">
        <v>1045</v>
      </c>
      <c r="G424" s="71" t="s">
        <v>1046</v>
      </c>
      <c r="H424" s="13" t="s">
        <v>1047</v>
      </c>
      <c r="I424" s="13" t="s">
        <v>55</v>
      </c>
      <c r="J424" s="28">
        <v>0</v>
      </c>
      <c r="K424" s="13" t="s">
        <v>489</v>
      </c>
      <c r="L424" s="13" t="s">
        <v>53</v>
      </c>
      <c r="M424" s="13">
        <v>1</v>
      </c>
      <c r="O424" s="13">
        <v>1</v>
      </c>
      <c r="P424" s="13">
        <v>2</v>
      </c>
      <c r="Q424" s="13">
        <v>2</v>
      </c>
      <c r="R424" s="13" t="s">
        <v>122</v>
      </c>
      <c r="S424" s="13" t="s">
        <v>122</v>
      </c>
      <c r="T424" s="13">
        <v>44901</v>
      </c>
      <c r="U424" s="13">
        <v>2958465</v>
      </c>
      <c r="V424" s="13" t="s">
        <v>282</v>
      </c>
      <c r="W424" s="13" t="s">
        <v>145</v>
      </c>
      <c r="Y424" s="13" t="s">
        <v>143</v>
      </c>
      <c r="Z424" s="13">
        <v>7589154</v>
      </c>
      <c r="AA424" s="13">
        <v>738</v>
      </c>
      <c r="AB424" s="13">
        <v>369</v>
      </c>
      <c r="AE424" s="51">
        <f>M424/O424</f>
        <v>1</v>
      </c>
      <c r="AG424" s="6" t="str">
        <f>C424</f>
        <v>90MB1BJ0-C1BAY0</v>
      </c>
      <c r="AH424" s="6" t="str">
        <f>IF($D424&lt;=AH$4,"",IF(AND($D423=AH$4,$D424&gt;AH$4),$F423,AH423))</f>
        <v>59MB1BJB-MB0A02S</v>
      </c>
      <c r="AI424" s="6" t="str">
        <f>IF($D424&lt;=AI$4,"",IF(AND($D423=AI$4,$D424&gt;AI$4),$F423,AI423))</f>
        <v/>
      </c>
      <c r="AJ424" s="6" t="str">
        <f>IF($D424&lt;=AJ$4,"",IF(AND($D423=AJ$4,$D424&gt;AJ$4),$F423,AJ423))</f>
        <v/>
      </c>
      <c r="AK424" s="6" t="str">
        <f>IF($D424&lt;=AK$4,"",IF(AND($D423=AK$4,$D424&gt;AK$4),$F423,AK423))</f>
        <v/>
      </c>
      <c r="AL424" s="6" t="str">
        <f>IF($D424&lt;=AL$4,"",IF(AND($D423=AL$4,$D424&gt;AL$4),$F423,AL423))</f>
        <v/>
      </c>
      <c r="AM424" s="6" t="str">
        <f>IF($D424&lt;=AM$4,"",IF(AND($D423=AM$4,$D424&gt;AM$4),$F423,AM423))</f>
        <v/>
      </c>
      <c r="AN424" s="6" t="str">
        <f>IF($D424&lt;=AN$4,"",IF(AND($D423=AN$4,$D424&gt;AN$4),$F423,AN423))</f>
        <v/>
      </c>
      <c r="AO424" s="6" t="str">
        <f>CONCATENATE(AG424," | ",AH424," | ",AI424," | ",AJ424," | ",AK424," | ",AL424," | ",AM424," | ",AN424)</f>
        <v xml:space="preserve">90MB1BJ0-C1BAY0 | 59MB1BJB-MB0A02S |  |  |  |  |  | </v>
      </c>
      <c r="AP424" s="6">
        <f>IF(TRIM(H424)="",100,J424)</f>
        <v>0</v>
      </c>
      <c r="AQ424" s="4"/>
      <c r="AR424" s="6" t="b">
        <f>NOT(TRIM(W424)&lt;&gt;"F")</f>
        <v>1</v>
      </c>
      <c r="AS424" s="6" t="str">
        <f>$B424&amp;" | "&amp;$AO424&amp;" | "&amp;IF(TRIM(H424)="","uniq"&amp;ROW(),TRIM(H424))</f>
        <v>461E | 90MB1BJ0-C1BAY0 | 59MB1BJB-MB0A02S |  |  |  |  |  |  | F1</v>
      </c>
      <c r="AT424" s="63">
        <f>IF(NOT(AR424),IF(TRIM($H424)="","Assembly","Phantom Alt"),VLOOKUP(F424,ZPCS04!B:G,6,0))</f>
        <v>1270</v>
      </c>
      <c r="AU424" s="7"/>
      <c r="AV424" s="38">
        <f ca="1">IF(TRIM($W424)="F",OFFSET($A$5,MATCH($AS424,$AS$5:$AS424,0)-1,0),$A424)</f>
        <v>424</v>
      </c>
      <c r="AW424" s="38">
        <f ca="1">IFERROR(OFFSET(ZPCS04!$A$1,MATCH(F424,ZPCS04!B:B,0)-1,0),100)</f>
        <v>1.9999999000000002</v>
      </c>
      <c r="AX424" s="7"/>
      <c r="AY424" s="6" t="b">
        <f>SUMIF(AS:AS,AS424,AP:AP)=100</f>
        <v>1</v>
      </c>
      <c r="AZ424" s="6" t="b">
        <f>SUMIF(AS:AS,AS424,AE:AE)/COUNTIF(AS:AS,AS424)=AE424</f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>C424&amp;" | "&amp;F424</f>
        <v>90MB1BJ0-C1BAY0 | 10G212536214010</v>
      </c>
      <c r="BE424" s="55" t="str">
        <f ca="1">C424&amp;" | "&amp;OFFSET($AF424,0,8-COUNTBLANK($AG424:$AN424))</f>
        <v>90MB1BJ0-C1BAY0 | 59MB1BJB-MB0A02S</v>
      </c>
      <c r="BF424" s="57">
        <f ca="1">IFERROR(VLOOKUP($BE424,$BD$5:$BF423,3,0)*$AE424,VLOOKUP($C424,Demanda!$A:$B,2,0)*$AE424)*IF(AT424="Phantom Alt",$BC424,TRUE)</f>
        <v>1000</v>
      </c>
      <c r="BG424" s="57">
        <f ca="1">BF424*(AP424/100)</f>
        <v>0</v>
      </c>
      <c r="BH424" s="57">
        <f>SUMIF(Invoice!A:A,F424,Invoice!B:B)</f>
        <v>10000</v>
      </c>
      <c r="BI424" s="57">
        <f ca="1">SUMIF(AS:AS,AS424,BG:BG)</f>
        <v>1000</v>
      </c>
      <c r="BJ424" s="57">
        <f ca="1">MIN((BI424-SUMIF($AS$5:AS423,AS424,$BJ$5:BJ423)),MAX(0,BH424-SUMIF($F$5:F423,F424,$BJ$5:BJ423)))</f>
        <v>1000</v>
      </c>
      <c r="BK424" s="57">
        <f ca="1">(-SUMIF(AS:AS,AS424,BG:BG)+SUMIF(AS:AS,AS424,BJ:BJ))*(AP424=100)*AR424</f>
        <v>0</v>
      </c>
      <c r="BL424" s="57">
        <f ca="1">MAX(0,SUMIF(Invoice!A:A,F424,Invoice!B:B)-SUMIF(F:F,F424,BJ:BJ))*(COUNTIF(F:F,F424)=COUNTIF($F$5:F424,F424))</f>
        <v>9000</v>
      </c>
    </row>
    <row r="425" spans="1:64" hidden="1">
      <c r="A425" s="43">
        <v>425</v>
      </c>
      <c r="B425" s="13" t="s">
        <v>147</v>
      </c>
      <c r="C425" s="13" t="s">
        <v>146</v>
      </c>
      <c r="D425" s="13">
        <v>2</v>
      </c>
      <c r="E425" s="13">
        <v>1510</v>
      </c>
      <c r="F425" s="71" t="s">
        <v>1048</v>
      </c>
      <c r="G425" s="71" t="s">
        <v>1046</v>
      </c>
      <c r="H425" s="13" t="s">
        <v>1047</v>
      </c>
      <c r="I425" s="13" t="s">
        <v>54</v>
      </c>
      <c r="J425" s="28">
        <v>100</v>
      </c>
      <c r="K425" s="13" t="s">
        <v>489</v>
      </c>
      <c r="L425" s="13" t="s">
        <v>53</v>
      </c>
      <c r="M425" s="13">
        <v>1</v>
      </c>
      <c r="N425" s="13">
        <v>1</v>
      </c>
      <c r="O425" s="13">
        <v>1</v>
      </c>
      <c r="P425" s="13">
        <v>2</v>
      </c>
      <c r="Q425" s="13">
        <v>1</v>
      </c>
      <c r="R425" s="13" t="s">
        <v>122</v>
      </c>
      <c r="S425" s="13" t="s">
        <v>122</v>
      </c>
      <c r="T425" s="13">
        <v>44901</v>
      </c>
      <c r="U425" s="13">
        <v>2958465</v>
      </c>
      <c r="V425" s="13" t="s">
        <v>282</v>
      </c>
      <c r="W425" s="13" t="s">
        <v>145</v>
      </c>
      <c r="Y425" s="13" t="s">
        <v>143</v>
      </c>
      <c r="Z425" s="13">
        <v>7589154</v>
      </c>
      <c r="AA425" s="13">
        <v>736</v>
      </c>
      <c r="AB425" s="13">
        <v>368</v>
      </c>
      <c r="AE425" s="51">
        <f>M425/O425</f>
        <v>1</v>
      </c>
      <c r="AG425" s="6" t="str">
        <f>C425</f>
        <v>90MB1BJ0-C1BAY0</v>
      </c>
      <c r="AH425" s="6" t="str">
        <f>IF($D425&lt;=AH$4,"",IF(AND($D424=AH$4,$D425&gt;AH$4),$F424,AH424))</f>
        <v>59MB1BJB-MB0A02S</v>
      </c>
      <c r="AI425" s="6" t="str">
        <f>IF($D425&lt;=AI$4,"",IF(AND($D424=AI$4,$D425&gt;AI$4),$F424,AI424))</f>
        <v/>
      </c>
      <c r="AJ425" s="6" t="str">
        <f>IF($D425&lt;=AJ$4,"",IF(AND($D424=AJ$4,$D425&gt;AJ$4),$F424,AJ424))</f>
        <v/>
      </c>
      <c r="AK425" s="6" t="str">
        <f>IF($D425&lt;=AK$4,"",IF(AND($D424=AK$4,$D425&gt;AK$4),$F424,AK424))</f>
        <v/>
      </c>
      <c r="AL425" s="6" t="str">
        <f>IF($D425&lt;=AL$4,"",IF(AND($D424=AL$4,$D425&gt;AL$4),$F424,AL424))</f>
        <v/>
      </c>
      <c r="AM425" s="6" t="str">
        <f>IF($D425&lt;=AM$4,"",IF(AND($D424=AM$4,$D425&gt;AM$4),$F424,AM424))</f>
        <v/>
      </c>
      <c r="AN425" s="6" t="str">
        <f>IF($D425&lt;=AN$4,"",IF(AND($D424=AN$4,$D425&gt;AN$4),$F424,AN424))</f>
        <v/>
      </c>
      <c r="AO425" s="6" t="str">
        <f>CONCATENATE(AG425," | ",AH425," | ",AI425," | ",AJ425," | ",AK425," | ",AL425," | ",AM425," | ",AN425)</f>
        <v xml:space="preserve">90MB1BJ0-C1BAY0 | 59MB1BJB-MB0A02S |  |  |  |  |  | </v>
      </c>
      <c r="AP425" s="6">
        <f>IF(TRIM(H425)="",100,J425)</f>
        <v>100</v>
      </c>
      <c r="AQ425" s="4"/>
      <c r="AR425" s="6" t="b">
        <f>NOT(TRIM(W425)&lt;&gt;"F")</f>
        <v>1</v>
      </c>
      <c r="AS425" s="6" t="str">
        <f>$B425&amp;" | "&amp;$AO425&amp;" | "&amp;IF(TRIM(H425)="","uniq"&amp;ROW(),TRIM(H425))</f>
        <v>461E | 90MB1BJ0-C1BAY0 | 59MB1BJB-MB0A02S |  |  |  |  |  |  | F1</v>
      </c>
      <c r="AT425" s="63">
        <f>IF(NOT(AR425),IF(TRIM($H425)="","Assembly","Phantom Alt"),VLOOKUP(F425,ZPCS04!B:G,6,0))</f>
        <v>1270</v>
      </c>
      <c r="AU425" s="7"/>
      <c r="AV425" s="38">
        <f ca="1">IF(TRIM($W425)="F",OFFSET($A$5,MATCH($AS425,$AS$5:$AS425,0)-1,0),$A425)</f>
        <v>424</v>
      </c>
      <c r="AW425" s="38">
        <f ca="1">IFERROR(OFFSET(ZPCS04!$A$1,MATCH(F425,ZPCS04!B:B,0)-1,0),100)</f>
        <v>2</v>
      </c>
      <c r="AX425" s="7"/>
      <c r="AY425" s="6" t="b">
        <f>SUMIF(AS:AS,AS425,AP:AP)=100</f>
        <v>1</v>
      </c>
      <c r="AZ425" s="6" t="b">
        <f>SUMIF(AS:AS,AS425,AE:AE)/COUNTIF(AS:AS,AS425)=AE425</f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>C425&amp;" | "&amp;F425</f>
        <v>90MB1BJ0-C1BAY0 | 10G212536214020</v>
      </c>
      <c r="BE425" s="55" t="str">
        <f ca="1">C425&amp;" | "&amp;OFFSET($AF425,0,8-COUNTBLANK($AG425:$AN425))</f>
        <v>90MB1BJ0-C1BAY0 | 59MB1BJB-MB0A02S</v>
      </c>
      <c r="BF425" s="57">
        <f ca="1">IFERROR(VLOOKUP($BE425,$BD$5:$BF424,3,0)*$AE425,VLOOKUP($C425,Demanda!$A:$B,2,0)*$AE425)*IF(AT425="Phantom Alt",$BC425,TRUE)</f>
        <v>1000</v>
      </c>
      <c r="BG425" s="57">
        <f ca="1">BF425*(AP425/100)</f>
        <v>1000</v>
      </c>
      <c r="BH425" s="57">
        <f>SUMIF(Invoice!A:A,F425,Invoice!B:B)</f>
        <v>0</v>
      </c>
      <c r="BI425" s="57">
        <f ca="1">SUMIF(AS:AS,AS425,BG:BG)</f>
        <v>1000</v>
      </c>
      <c r="BJ425" s="57">
        <f ca="1">MIN((BI425-SUMIF($AS$5:AS424,AS425,$BJ$5:BJ424)),MAX(0,BH425-SUMIF($F$5:F424,F425,$BJ$5:BJ424)))</f>
        <v>0</v>
      </c>
      <c r="BK425" s="57">
        <f ca="1">(-SUMIF(AS:AS,AS425,BG:BG)+SUMIF(AS:AS,AS425,BJ:BJ))*(AP425=100)*AR425</f>
        <v>0</v>
      </c>
      <c r="BL425" s="57">
        <f ca="1">MAX(0,SUMIF(Invoice!A:A,F425,Invoice!B:B)-SUMIF(F:F,F425,BJ:BJ))*(COUNTIF(F:F,F425)=COUNTIF($F$5:F425,F425))</f>
        <v>0</v>
      </c>
    </row>
    <row r="426" spans="1:64" hidden="1">
      <c r="A426" s="43">
        <v>426</v>
      </c>
      <c r="B426" s="13" t="s">
        <v>147</v>
      </c>
      <c r="C426" s="13" t="s">
        <v>146</v>
      </c>
      <c r="D426" s="13">
        <v>2</v>
      </c>
      <c r="E426" s="13">
        <v>1510</v>
      </c>
      <c r="F426" s="71" t="s">
        <v>1049</v>
      </c>
      <c r="G426" s="71" t="s">
        <v>1050</v>
      </c>
      <c r="H426" s="13" t="s">
        <v>1047</v>
      </c>
      <c r="I426" s="13" t="s">
        <v>55</v>
      </c>
      <c r="J426" s="28">
        <v>0</v>
      </c>
      <c r="K426" s="13" t="s">
        <v>150</v>
      </c>
      <c r="L426" s="13" t="s">
        <v>53</v>
      </c>
      <c r="M426" s="13">
        <v>1</v>
      </c>
      <c r="O426" s="13">
        <v>1</v>
      </c>
      <c r="P426" s="13">
        <v>2</v>
      </c>
      <c r="Q426" s="13">
        <v>3</v>
      </c>
      <c r="R426" s="13" t="s">
        <v>73</v>
      </c>
      <c r="S426" s="13" t="s">
        <v>73</v>
      </c>
      <c r="T426" s="13">
        <v>44901</v>
      </c>
      <c r="U426" s="13">
        <v>2958465</v>
      </c>
      <c r="V426" s="13" t="s">
        <v>282</v>
      </c>
      <c r="W426" s="13" t="s">
        <v>145</v>
      </c>
      <c r="Y426" s="13" t="s">
        <v>143</v>
      </c>
      <c r="Z426" s="13">
        <v>7589154</v>
      </c>
      <c r="AA426" s="13">
        <v>740</v>
      </c>
      <c r="AB426" s="13">
        <v>370</v>
      </c>
      <c r="AE426" s="51">
        <f>M426/O426</f>
        <v>1</v>
      </c>
      <c r="AG426" s="6" t="str">
        <f>C426</f>
        <v>90MB1BJ0-C1BAY0</v>
      </c>
      <c r="AH426" s="6" t="str">
        <f>IF($D426&lt;=AH$4,"",IF(AND($D425=AH$4,$D426&gt;AH$4),$F425,AH425))</f>
        <v>59MB1BJB-MB0A02S</v>
      </c>
      <c r="AI426" s="6" t="str">
        <f>IF($D426&lt;=AI$4,"",IF(AND($D425=AI$4,$D426&gt;AI$4),$F425,AI425))</f>
        <v/>
      </c>
      <c r="AJ426" s="6" t="str">
        <f>IF($D426&lt;=AJ$4,"",IF(AND($D425=AJ$4,$D426&gt;AJ$4),$F425,AJ425))</f>
        <v/>
      </c>
      <c r="AK426" s="6" t="str">
        <f>IF($D426&lt;=AK$4,"",IF(AND($D425=AK$4,$D426&gt;AK$4),$F425,AK425))</f>
        <v/>
      </c>
      <c r="AL426" s="6" t="str">
        <f>IF($D426&lt;=AL$4,"",IF(AND($D425=AL$4,$D426&gt;AL$4),$F425,AL425))</f>
        <v/>
      </c>
      <c r="AM426" s="6" t="str">
        <f>IF($D426&lt;=AM$4,"",IF(AND($D425=AM$4,$D426&gt;AM$4),$F425,AM425))</f>
        <v/>
      </c>
      <c r="AN426" s="6" t="str">
        <f>IF($D426&lt;=AN$4,"",IF(AND($D425=AN$4,$D426&gt;AN$4),$F425,AN425))</f>
        <v/>
      </c>
      <c r="AO426" s="6" t="str">
        <f>CONCATENATE(AG426," | ",AH426," | ",AI426," | ",AJ426," | ",AK426," | ",AL426," | ",AM426," | ",AN426)</f>
        <v xml:space="preserve">90MB1BJ0-C1BAY0 | 59MB1BJB-MB0A02S |  |  |  |  |  | </v>
      </c>
      <c r="AP426" s="6">
        <f>IF(TRIM(H426)="",100,J426)</f>
        <v>0</v>
      </c>
      <c r="AQ426" s="4"/>
      <c r="AR426" s="6" t="b">
        <f>NOT(TRIM(W426)&lt;&gt;"F")</f>
        <v>1</v>
      </c>
      <c r="AS426" s="6" t="str">
        <f>$B426&amp;" | "&amp;$AO426&amp;" | "&amp;IF(TRIM(H426)="","uniq"&amp;ROW(),TRIM(H426))</f>
        <v>461E | 90MB1BJ0-C1BAY0 | 59MB1BJB-MB0A02S |  |  |  |  |  |  | F1</v>
      </c>
      <c r="AT426" s="63">
        <f>IF(NOT(AR426),IF(TRIM($H426)="","Assembly","Phantom Alt"),VLOOKUP(F426,ZPCS04!B:G,6,0))</f>
        <v>1270</v>
      </c>
      <c r="AU426" s="7"/>
      <c r="AV426" s="38">
        <f ca="1">IF(TRIM($W426)="F",OFFSET($A$5,MATCH($AS426,$AS$5:$AS426,0)-1,0),$A426)</f>
        <v>424</v>
      </c>
      <c r="AW426" s="38">
        <f ca="1">IFERROR(OFFSET(ZPCS04!$A$1,MATCH(F426,ZPCS04!B:B,0)-1,0),100)</f>
        <v>2</v>
      </c>
      <c r="AX426" s="7"/>
      <c r="AY426" s="6" t="b">
        <f>SUMIF(AS:AS,AS426,AP:AP)=100</f>
        <v>1</v>
      </c>
      <c r="AZ426" s="6" t="b">
        <f>SUMIF(AS:AS,AS426,AE:AE)/COUNTIF(AS:AS,AS426)=AE426</f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>C426&amp;" | "&amp;F426</f>
        <v>90MB1BJ0-C1BAY0 | 10G212536214050</v>
      </c>
      <c r="BE426" s="55" t="str">
        <f ca="1">C426&amp;" | "&amp;OFFSET($AF426,0,8-COUNTBLANK($AG426:$AN426))</f>
        <v>90MB1BJ0-C1BAY0 | 59MB1BJB-MB0A02S</v>
      </c>
      <c r="BF426" s="57">
        <f ca="1">IFERROR(VLOOKUP($BE426,$BD$5:$BF425,3,0)*$AE426,VLOOKUP($C426,Demanda!$A:$B,2,0)*$AE426)*IF(AT426="Phantom Alt",$BC426,TRUE)</f>
        <v>1000</v>
      </c>
      <c r="BG426" s="57">
        <f ca="1">BF426*(AP426/100)</f>
        <v>0</v>
      </c>
      <c r="BH426" s="57">
        <f>SUMIF(Invoice!A:A,F426,Invoice!B:B)</f>
        <v>0</v>
      </c>
      <c r="BI426" s="57">
        <f ca="1">SUMIF(AS:AS,AS426,BG:BG)</f>
        <v>1000</v>
      </c>
      <c r="BJ426" s="57">
        <f ca="1">MIN((BI426-SUMIF($AS$5:AS425,AS426,$BJ$5:BJ425)),MAX(0,BH426-SUMIF($F$5:F425,F426,$BJ$5:BJ425)))</f>
        <v>0</v>
      </c>
      <c r="BK426" s="57">
        <f ca="1">(-SUMIF(AS:AS,AS426,BG:BG)+SUMIF(AS:AS,AS426,BJ:BJ))*(AP426=100)*AR426</f>
        <v>0</v>
      </c>
      <c r="BL426" s="57">
        <f ca="1">MAX(0,SUMIF(Invoice!A:A,F426,Invoice!B:B)-SUMIF(F:F,F426,BJ:BJ))*(COUNTIF(F:F,F426)=COUNTIF($F$5:F426,F426))</f>
        <v>0</v>
      </c>
    </row>
    <row r="427" spans="1:64" hidden="1">
      <c r="A427" s="43">
        <v>427</v>
      </c>
      <c r="B427" s="13" t="s">
        <v>147</v>
      </c>
      <c r="C427" s="13" t="s">
        <v>146</v>
      </c>
      <c r="D427" s="13">
        <v>2</v>
      </c>
      <c r="E427" s="13">
        <v>1520</v>
      </c>
      <c r="F427" s="71" t="s">
        <v>1051</v>
      </c>
      <c r="G427" s="71" t="s">
        <v>1052</v>
      </c>
      <c r="H427" s="13" t="s">
        <v>1053</v>
      </c>
      <c r="I427" s="13" t="s">
        <v>55</v>
      </c>
      <c r="J427" s="28">
        <v>0</v>
      </c>
      <c r="K427" s="13" t="s">
        <v>489</v>
      </c>
      <c r="L427" s="13" t="s">
        <v>53</v>
      </c>
      <c r="M427" s="13">
        <v>2</v>
      </c>
      <c r="O427" s="13">
        <v>1</v>
      </c>
      <c r="P427" s="13">
        <v>2</v>
      </c>
      <c r="Q427" s="13">
        <v>2</v>
      </c>
      <c r="R427" s="13" t="s">
        <v>73</v>
      </c>
      <c r="S427" s="13" t="s">
        <v>73</v>
      </c>
      <c r="T427" s="13">
        <v>44901</v>
      </c>
      <c r="U427" s="13">
        <v>2958465</v>
      </c>
      <c r="V427" s="13" t="s">
        <v>282</v>
      </c>
      <c r="W427" s="13" t="s">
        <v>145</v>
      </c>
      <c r="Y427" s="13" t="s">
        <v>143</v>
      </c>
      <c r="Z427" s="13">
        <v>7589154</v>
      </c>
      <c r="AA427" s="13">
        <v>744</v>
      </c>
      <c r="AB427" s="13">
        <v>372</v>
      </c>
      <c r="AE427" s="51">
        <f>M427/O427</f>
        <v>2</v>
      </c>
      <c r="AG427" s="6" t="str">
        <f>C427</f>
        <v>90MB1BJ0-C1BAY0</v>
      </c>
      <c r="AH427" s="6" t="str">
        <f>IF($D427&lt;=AH$4,"",IF(AND($D426=AH$4,$D427&gt;AH$4),$F426,AH426))</f>
        <v>59MB1BJB-MB0A02S</v>
      </c>
      <c r="AI427" s="6" t="str">
        <f>IF($D427&lt;=AI$4,"",IF(AND($D426=AI$4,$D427&gt;AI$4),$F426,AI426))</f>
        <v/>
      </c>
      <c r="AJ427" s="6" t="str">
        <f>IF($D427&lt;=AJ$4,"",IF(AND($D426=AJ$4,$D427&gt;AJ$4),$F426,AJ426))</f>
        <v/>
      </c>
      <c r="AK427" s="6" t="str">
        <f>IF($D427&lt;=AK$4,"",IF(AND($D426=AK$4,$D427&gt;AK$4),$F426,AK426))</f>
        <v/>
      </c>
      <c r="AL427" s="6" t="str">
        <f>IF($D427&lt;=AL$4,"",IF(AND($D426=AL$4,$D427&gt;AL$4),$F426,AL426))</f>
        <v/>
      </c>
      <c r="AM427" s="6" t="str">
        <f>IF($D427&lt;=AM$4,"",IF(AND($D426=AM$4,$D427&gt;AM$4),$F426,AM426))</f>
        <v/>
      </c>
      <c r="AN427" s="6" t="str">
        <f>IF($D427&lt;=AN$4,"",IF(AND($D426=AN$4,$D427&gt;AN$4),$F426,AN426))</f>
        <v/>
      </c>
      <c r="AO427" s="6" t="str">
        <f>CONCATENATE(AG427," | ",AH427," | ",AI427," | ",AJ427," | ",AK427," | ",AL427," | ",AM427," | ",AN427)</f>
        <v xml:space="preserve">90MB1BJ0-C1BAY0 | 59MB1BJB-MB0A02S |  |  |  |  |  | </v>
      </c>
      <c r="AP427" s="6">
        <f>IF(TRIM(H427)="",100,J427)</f>
        <v>0</v>
      </c>
      <c r="AQ427" s="4"/>
      <c r="AR427" s="6" t="b">
        <f>NOT(TRIM(W427)&lt;&gt;"F")</f>
        <v>1</v>
      </c>
      <c r="AS427" s="6" t="str">
        <f>$B427&amp;" | "&amp;$AO427&amp;" | "&amp;IF(TRIM(H427)="","uniq"&amp;ROW(),TRIM(H427))</f>
        <v>461E | 90MB1BJ0-C1BAY0 | 59MB1BJB-MB0A02S |  |  |  |  |  |  | F2</v>
      </c>
      <c r="AT427" s="63">
        <f>IF(NOT(AR427),IF(TRIM($H427)="","Assembly","Phantom Alt"),VLOOKUP(F427,ZPCS04!B:G,6,0))</f>
        <v>1271</v>
      </c>
      <c r="AU427" s="7"/>
      <c r="AV427" s="38">
        <f ca="1">IF(TRIM($W427)="F",OFFSET($A$5,MATCH($AS427,$AS$5:$AS427,0)-1,0),$A427)</f>
        <v>427</v>
      </c>
      <c r="AW427" s="38">
        <f ca="1">IFERROR(OFFSET(ZPCS04!$A$1,MATCH(F427,ZPCS04!B:B,0)-1,0),100)</f>
        <v>1.9999999000000002</v>
      </c>
      <c r="AX427" s="7"/>
      <c r="AY427" s="6" t="b">
        <f>SUMIF(AS:AS,AS427,AP:AP)=100</f>
        <v>1</v>
      </c>
      <c r="AZ427" s="6" t="b">
        <f>SUMIF(AS:AS,AS427,AE:AE)/COUNTIF(AS:AS,AS427)=AE427</f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>C427&amp;" | "&amp;F427</f>
        <v>90MB1BJ0-C1BAY0 | 10G212649014010</v>
      </c>
      <c r="BE427" s="55" t="str">
        <f ca="1">C427&amp;" | "&amp;OFFSET($AF427,0,8-COUNTBLANK($AG427:$AN427))</f>
        <v>90MB1BJ0-C1BAY0 | 59MB1BJB-MB0A02S</v>
      </c>
      <c r="BF427" s="57">
        <f ca="1">IFERROR(VLOOKUP($BE427,$BD$5:$BF426,3,0)*$AE427,VLOOKUP($C427,Demanda!$A:$B,2,0)*$AE427)*IF(AT427="Phantom Alt",$BC427,TRUE)</f>
        <v>2000</v>
      </c>
      <c r="BG427" s="57">
        <f ca="1">BF427*(AP427/100)</f>
        <v>0</v>
      </c>
      <c r="BH427" s="57">
        <f>SUMIF(Invoice!A:A,F427,Invoice!B:B)</f>
        <v>10000</v>
      </c>
      <c r="BI427" s="57">
        <f ca="1">SUMIF(AS:AS,AS427,BG:BG)</f>
        <v>2000</v>
      </c>
      <c r="BJ427" s="57">
        <f ca="1">MIN((BI427-SUMIF($AS$5:AS426,AS427,$BJ$5:BJ426)),MAX(0,BH427-SUMIF($F$5:F426,F427,$BJ$5:BJ426)))</f>
        <v>2000</v>
      </c>
      <c r="BK427" s="57">
        <f ca="1">(-SUMIF(AS:AS,AS427,BG:BG)+SUMIF(AS:AS,AS427,BJ:BJ))*(AP427=100)*AR427</f>
        <v>0</v>
      </c>
      <c r="BL427" s="57">
        <f ca="1">MAX(0,SUMIF(Invoice!A:A,F427,Invoice!B:B)-SUMIF(F:F,F427,BJ:BJ))*(COUNTIF(F:F,F427)=COUNTIF($F$5:F427,F427))</f>
        <v>8000</v>
      </c>
    </row>
    <row r="428" spans="1:64" hidden="1">
      <c r="A428" s="43">
        <v>428</v>
      </c>
      <c r="B428" s="13" t="s">
        <v>147</v>
      </c>
      <c r="C428" s="13" t="s">
        <v>146</v>
      </c>
      <c r="D428" s="13">
        <v>2</v>
      </c>
      <c r="E428" s="13">
        <v>1520</v>
      </c>
      <c r="F428" s="71" t="s">
        <v>1054</v>
      </c>
      <c r="G428" s="71" t="s">
        <v>1055</v>
      </c>
      <c r="H428" s="13" t="s">
        <v>1053</v>
      </c>
      <c r="I428" s="13" t="s">
        <v>54</v>
      </c>
      <c r="J428" s="28">
        <v>100</v>
      </c>
      <c r="K428" s="13" t="s">
        <v>150</v>
      </c>
      <c r="L428" s="13" t="s">
        <v>53</v>
      </c>
      <c r="M428" s="13">
        <v>2</v>
      </c>
      <c r="N428" s="13">
        <v>2</v>
      </c>
      <c r="O428" s="13">
        <v>1</v>
      </c>
      <c r="P428" s="13">
        <v>2</v>
      </c>
      <c r="Q428" s="13">
        <v>1</v>
      </c>
      <c r="R428" s="13" t="s">
        <v>73</v>
      </c>
      <c r="S428" s="13" t="s">
        <v>73</v>
      </c>
      <c r="T428" s="13">
        <v>44901</v>
      </c>
      <c r="U428" s="13">
        <v>2958465</v>
      </c>
      <c r="V428" s="13" t="s">
        <v>282</v>
      </c>
      <c r="W428" s="13" t="s">
        <v>145</v>
      </c>
      <c r="Y428" s="13" t="s">
        <v>143</v>
      </c>
      <c r="Z428" s="13">
        <v>7589154</v>
      </c>
      <c r="AA428" s="13">
        <v>742</v>
      </c>
      <c r="AB428" s="13">
        <v>371</v>
      </c>
      <c r="AE428" s="51">
        <f>M428/O428</f>
        <v>2</v>
      </c>
      <c r="AG428" s="6" t="str">
        <f>C428</f>
        <v>90MB1BJ0-C1BAY0</v>
      </c>
      <c r="AH428" s="6" t="str">
        <f>IF($D428&lt;=AH$4,"",IF(AND($D427=AH$4,$D428&gt;AH$4),$F427,AH427))</f>
        <v>59MB1BJB-MB0A02S</v>
      </c>
      <c r="AI428" s="6" t="str">
        <f>IF($D428&lt;=AI$4,"",IF(AND($D427=AI$4,$D428&gt;AI$4),$F427,AI427))</f>
        <v/>
      </c>
      <c r="AJ428" s="6" t="str">
        <f>IF($D428&lt;=AJ$4,"",IF(AND($D427=AJ$4,$D428&gt;AJ$4),$F427,AJ427))</f>
        <v/>
      </c>
      <c r="AK428" s="6" t="str">
        <f>IF($D428&lt;=AK$4,"",IF(AND($D427=AK$4,$D428&gt;AK$4),$F427,AK427))</f>
        <v/>
      </c>
      <c r="AL428" s="6" t="str">
        <f>IF($D428&lt;=AL$4,"",IF(AND($D427=AL$4,$D428&gt;AL$4),$F427,AL427))</f>
        <v/>
      </c>
      <c r="AM428" s="6" t="str">
        <f>IF($D428&lt;=AM$4,"",IF(AND($D427=AM$4,$D428&gt;AM$4),$F427,AM427))</f>
        <v/>
      </c>
      <c r="AN428" s="6" t="str">
        <f>IF($D428&lt;=AN$4,"",IF(AND($D427=AN$4,$D428&gt;AN$4),$F427,AN427))</f>
        <v/>
      </c>
      <c r="AO428" s="6" t="str">
        <f>CONCATENATE(AG428," | ",AH428," | ",AI428," | ",AJ428," | ",AK428," | ",AL428," | ",AM428," | ",AN428)</f>
        <v xml:space="preserve">90MB1BJ0-C1BAY0 | 59MB1BJB-MB0A02S |  |  |  |  |  | </v>
      </c>
      <c r="AP428" s="6">
        <f>IF(TRIM(H428)="",100,J428)</f>
        <v>100</v>
      </c>
      <c r="AQ428" s="4"/>
      <c r="AR428" s="6" t="b">
        <f>NOT(TRIM(W428)&lt;&gt;"F")</f>
        <v>1</v>
      </c>
      <c r="AS428" s="6" t="str">
        <f>$B428&amp;" | "&amp;$AO428&amp;" | "&amp;IF(TRIM(H428)="","uniq"&amp;ROW(),TRIM(H428))</f>
        <v>461E | 90MB1BJ0-C1BAY0 | 59MB1BJB-MB0A02S |  |  |  |  |  |  | F2</v>
      </c>
      <c r="AT428" s="63">
        <f>IF(NOT(AR428),IF(TRIM($H428)="","Assembly","Phantom Alt"),VLOOKUP(F428,ZPCS04!B:G,6,0))</f>
        <v>1271</v>
      </c>
      <c r="AU428" s="7"/>
      <c r="AV428" s="38">
        <f ca="1">IF(TRIM($W428)="F",OFFSET($A$5,MATCH($AS428,$AS$5:$AS428,0)-1,0),$A428)</f>
        <v>427</v>
      </c>
      <c r="AW428" s="38">
        <f ca="1">IFERROR(OFFSET(ZPCS04!$A$1,MATCH(F428,ZPCS04!B:B,0)-1,0),100)</f>
        <v>2</v>
      </c>
      <c r="AX428" s="7"/>
      <c r="AY428" s="6" t="b">
        <f>SUMIF(AS:AS,AS428,AP:AP)=100</f>
        <v>1</v>
      </c>
      <c r="AZ428" s="6" t="b">
        <f>SUMIF(AS:AS,AS428,AE:AE)/COUNTIF(AS:AS,AS428)=AE428</f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>C428&amp;" | "&amp;F428</f>
        <v>90MB1BJ0-C1BAY0 | 10G212649014020</v>
      </c>
      <c r="BE428" s="55" t="str">
        <f ca="1">C428&amp;" | "&amp;OFFSET($AF428,0,8-COUNTBLANK($AG428:$AN428))</f>
        <v>90MB1BJ0-C1BAY0 | 59MB1BJB-MB0A02S</v>
      </c>
      <c r="BF428" s="57">
        <f ca="1">IFERROR(VLOOKUP($BE428,$BD$5:$BF427,3,0)*$AE428,VLOOKUP($C428,Demanda!$A:$B,2,0)*$AE428)*IF(AT428="Phantom Alt",$BC428,TRUE)</f>
        <v>2000</v>
      </c>
      <c r="BG428" s="57">
        <f ca="1">BF428*(AP428/100)</f>
        <v>2000</v>
      </c>
      <c r="BH428" s="57">
        <f>SUMIF(Invoice!A:A,F428,Invoice!B:B)</f>
        <v>0</v>
      </c>
      <c r="BI428" s="57">
        <f ca="1">SUMIF(AS:AS,AS428,BG:BG)</f>
        <v>2000</v>
      </c>
      <c r="BJ428" s="57">
        <f ca="1">MIN((BI428-SUMIF($AS$5:AS427,AS428,$BJ$5:BJ427)),MAX(0,BH428-SUMIF($F$5:F427,F428,$BJ$5:BJ427)))</f>
        <v>0</v>
      </c>
      <c r="BK428" s="57">
        <f ca="1">(-SUMIF(AS:AS,AS428,BG:BG)+SUMIF(AS:AS,AS428,BJ:BJ))*(AP428=100)*AR428</f>
        <v>0</v>
      </c>
      <c r="BL428" s="57">
        <f ca="1">MAX(0,SUMIF(Invoice!A:A,F428,Invoice!B:B)-SUMIF(F:F,F428,BJ:BJ))*(COUNTIF(F:F,F428)=COUNTIF($F$5:F428,F428))</f>
        <v>0</v>
      </c>
    </row>
    <row r="429" spans="1:64" hidden="1">
      <c r="A429" s="43">
        <v>429</v>
      </c>
      <c r="B429" s="13" t="s">
        <v>147</v>
      </c>
      <c r="C429" s="13" t="s">
        <v>146</v>
      </c>
      <c r="D429" s="13">
        <v>2</v>
      </c>
      <c r="E429" s="13">
        <v>1520</v>
      </c>
      <c r="F429" s="71" t="s">
        <v>1056</v>
      </c>
      <c r="G429" s="71" t="s">
        <v>1057</v>
      </c>
      <c r="H429" s="13" t="s">
        <v>1053</v>
      </c>
      <c r="I429" s="13" t="s">
        <v>55</v>
      </c>
      <c r="J429" s="28">
        <v>0</v>
      </c>
      <c r="K429" s="13" t="s">
        <v>150</v>
      </c>
      <c r="L429" s="13" t="s">
        <v>53</v>
      </c>
      <c r="M429" s="13">
        <v>2</v>
      </c>
      <c r="O429" s="13">
        <v>1</v>
      </c>
      <c r="P429" s="13">
        <v>2</v>
      </c>
      <c r="Q429" s="13">
        <v>3</v>
      </c>
      <c r="R429" s="13" t="s">
        <v>73</v>
      </c>
      <c r="S429" s="13" t="s">
        <v>73</v>
      </c>
      <c r="T429" s="13">
        <v>44901</v>
      </c>
      <c r="U429" s="13">
        <v>2958465</v>
      </c>
      <c r="V429" s="13" t="s">
        <v>282</v>
      </c>
      <c r="W429" s="13" t="s">
        <v>145</v>
      </c>
      <c r="Y429" s="13" t="s">
        <v>143</v>
      </c>
      <c r="Z429" s="13">
        <v>7589154</v>
      </c>
      <c r="AA429" s="13">
        <v>746</v>
      </c>
      <c r="AB429" s="13">
        <v>373</v>
      </c>
      <c r="AE429" s="51">
        <f>M429/O429</f>
        <v>2</v>
      </c>
      <c r="AG429" s="6" t="str">
        <f>C429</f>
        <v>90MB1BJ0-C1BAY0</v>
      </c>
      <c r="AH429" s="6" t="str">
        <f>IF($D429&lt;=AH$4,"",IF(AND($D428=AH$4,$D429&gt;AH$4),$F428,AH428))</f>
        <v>59MB1BJB-MB0A02S</v>
      </c>
      <c r="AI429" s="6" t="str">
        <f>IF($D429&lt;=AI$4,"",IF(AND($D428=AI$4,$D429&gt;AI$4),$F428,AI428))</f>
        <v/>
      </c>
      <c r="AJ429" s="6" t="str">
        <f>IF($D429&lt;=AJ$4,"",IF(AND($D428=AJ$4,$D429&gt;AJ$4),$F428,AJ428))</f>
        <v/>
      </c>
      <c r="AK429" s="6" t="str">
        <f>IF($D429&lt;=AK$4,"",IF(AND($D428=AK$4,$D429&gt;AK$4),$F428,AK428))</f>
        <v/>
      </c>
      <c r="AL429" s="6" t="str">
        <f>IF($D429&lt;=AL$4,"",IF(AND($D428=AL$4,$D429&gt;AL$4),$F428,AL428))</f>
        <v/>
      </c>
      <c r="AM429" s="6" t="str">
        <f>IF($D429&lt;=AM$4,"",IF(AND($D428=AM$4,$D429&gt;AM$4),$F428,AM428))</f>
        <v/>
      </c>
      <c r="AN429" s="6" t="str">
        <f>IF($D429&lt;=AN$4,"",IF(AND($D428=AN$4,$D429&gt;AN$4),$F428,AN428))</f>
        <v/>
      </c>
      <c r="AO429" s="6" t="str">
        <f>CONCATENATE(AG429," | ",AH429," | ",AI429," | ",AJ429," | ",AK429," | ",AL429," | ",AM429," | ",AN429)</f>
        <v xml:space="preserve">90MB1BJ0-C1BAY0 | 59MB1BJB-MB0A02S |  |  |  |  |  | </v>
      </c>
      <c r="AP429" s="6">
        <f>IF(TRIM(H429)="",100,J429)</f>
        <v>0</v>
      </c>
      <c r="AQ429" s="4"/>
      <c r="AR429" s="6" t="b">
        <f>NOT(TRIM(W429)&lt;&gt;"F")</f>
        <v>1</v>
      </c>
      <c r="AS429" s="6" t="str">
        <f>$B429&amp;" | "&amp;$AO429&amp;" | "&amp;IF(TRIM(H429)="","uniq"&amp;ROW(),TRIM(H429))</f>
        <v>461E | 90MB1BJ0-C1BAY0 | 59MB1BJB-MB0A02S |  |  |  |  |  |  | F2</v>
      </c>
      <c r="AT429" s="63">
        <f>IF(NOT(AR429),IF(TRIM($H429)="","Assembly","Phantom Alt"),VLOOKUP(F429,ZPCS04!B:G,6,0))</f>
        <v>1271</v>
      </c>
      <c r="AU429" s="7"/>
      <c r="AV429" s="38">
        <f ca="1">IF(TRIM($W429)="F",OFFSET($A$5,MATCH($AS429,$AS$5:$AS429,0)-1,0),$A429)</f>
        <v>427</v>
      </c>
      <c r="AW429" s="38">
        <f ca="1">IFERROR(OFFSET(ZPCS04!$A$1,MATCH(F429,ZPCS04!B:B,0)-1,0),100)</f>
        <v>2</v>
      </c>
      <c r="AX429" s="7"/>
      <c r="AY429" s="6" t="b">
        <f>SUMIF(AS:AS,AS429,AP:AP)=100</f>
        <v>1</v>
      </c>
      <c r="AZ429" s="6" t="b">
        <f>SUMIF(AS:AS,AS429,AE:AE)/COUNTIF(AS:AS,AS429)=AE429</f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>C429&amp;" | "&amp;F429</f>
        <v>90MB1BJ0-C1BAY0 | 10G212649014050</v>
      </c>
      <c r="BE429" s="55" t="str">
        <f ca="1">C429&amp;" | "&amp;OFFSET($AF429,0,8-COUNTBLANK($AG429:$AN429))</f>
        <v>90MB1BJ0-C1BAY0 | 59MB1BJB-MB0A02S</v>
      </c>
      <c r="BF429" s="57">
        <f ca="1">IFERROR(VLOOKUP($BE429,$BD$5:$BF428,3,0)*$AE429,VLOOKUP($C429,Demanda!$A:$B,2,0)*$AE429)*IF(AT429="Phantom Alt",$BC429,TRUE)</f>
        <v>2000</v>
      </c>
      <c r="BG429" s="57">
        <f ca="1">BF429*(AP429/100)</f>
        <v>0</v>
      </c>
      <c r="BH429" s="57">
        <f>SUMIF(Invoice!A:A,F429,Invoice!B:B)</f>
        <v>0</v>
      </c>
      <c r="BI429" s="57">
        <f ca="1">SUMIF(AS:AS,AS429,BG:BG)</f>
        <v>2000</v>
      </c>
      <c r="BJ429" s="57">
        <f ca="1">MIN((BI429-SUMIF($AS$5:AS428,AS429,$BJ$5:BJ428)),MAX(0,BH429-SUMIF($F$5:F428,F429,$BJ$5:BJ428)))</f>
        <v>0</v>
      </c>
      <c r="BK429" s="57">
        <f ca="1">(-SUMIF(AS:AS,AS429,BG:BG)+SUMIF(AS:AS,AS429,BJ:BJ))*(AP429=100)*AR429</f>
        <v>0</v>
      </c>
      <c r="BL429" s="57">
        <f ca="1">MAX(0,SUMIF(Invoice!A:A,F429,Invoice!B:B)-SUMIF(F:F,F429,BJ:BJ))*(COUNTIF(F:F,F429)=COUNTIF($F$5:F429,F429))</f>
        <v>0</v>
      </c>
    </row>
    <row r="430" spans="1:64" hidden="1">
      <c r="A430" s="43">
        <v>430</v>
      </c>
      <c r="B430" s="13" t="s">
        <v>147</v>
      </c>
      <c r="C430" s="13" t="s">
        <v>146</v>
      </c>
      <c r="D430" s="13">
        <v>2</v>
      </c>
      <c r="E430" s="13">
        <v>1530</v>
      </c>
      <c r="F430" s="71" t="s">
        <v>1058</v>
      </c>
      <c r="G430" s="71" t="s">
        <v>1059</v>
      </c>
      <c r="H430" s="13" t="s">
        <v>1060</v>
      </c>
      <c r="I430" s="13" t="s">
        <v>55</v>
      </c>
      <c r="J430" s="28">
        <v>0</v>
      </c>
      <c r="K430" s="13" t="s">
        <v>489</v>
      </c>
      <c r="L430" s="13" t="s">
        <v>53</v>
      </c>
      <c r="M430" s="13">
        <v>6</v>
      </c>
      <c r="O430" s="13">
        <v>1</v>
      </c>
      <c r="P430" s="13">
        <v>2</v>
      </c>
      <c r="Q430" s="13">
        <v>3</v>
      </c>
      <c r="R430" s="13" t="s">
        <v>122</v>
      </c>
      <c r="S430" s="13" t="s">
        <v>122</v>
      </c>
      <c r="T430" s="13">
        <v>44901</v>
      </c>
      <c r="U430" s="13">
        <v>2958465</v>
      </c>
      <c r="V430" s="13" t="s">
        <v>282</v>
      </c>
      <c r="W430" s="13" t="s">
        <v>145</v>
      </c>
      <c r="Y430" s="13" t="s">
        <v>143</v>
      </c>
      <c r="Z430" s="13">
        <v>7589154</v>
      </c>
      <c r="AA430" s="13">
        <v>752</v>
      </c>
      <c r="AB430" s="13">
        <v>376</v>
      </c>
      <c r="AE430" s="51">
        <f>M430/O430</f>
        <v>6</v>
      </c>
      <c r="AG430" s="6" t="str">
        <f>C430</f>
        <v>90MB1BJ0-C1BAY0</v>
      </c>
      <c r="AH430" s="6" t="str">
        <f>IF($D430&lt;=AH$4,"",IF(AND($D429=AH$4,$D430&gt;AH$4),$F429,AH429))</f>
        <v>59MB1BJB-MB0A02S</v>
      </c>
      <c r="AI430" s="6" t="str">
        <f>IF($D430&lt;=AI$4,"",IF(AND($D429=AI$4,$D430&gt;AI$4),$F429,AI429))</f>
        <v/>
      </c>
      <c r="AJ430" s="6" t="str">
        <f>IF($D430&lt;=AJ$4,"",IF(AND($D429=AJ$4,$D430&gt;AJ$4),$F429,AJ429))</f>
        <v/>
      </c>
      <c r="AK430" s="6" t="str">
        <f>IF($D430&lt;=AK$4,"",IF(AND($D429=AK$4,$D430&gt;AK$4),$F429,AK429))</f>
        <v/>
      </c>
      <c r="AL430" s="6" t="str">
        <f>IF($D430&lt;=AL$4,"",IF(AND($D429=AL$4,$D430&gt;AL$4),$F429,AL429))</f>
        <v/>
      </c>
      <c r="AM430" s="6" t="str">
        <f>IF($D430&lt;=AM$4,"",IF(AND($D429=AM$4,$D430&gt;AM$4),$F429,AM429))</f>
        <v/>
      </c>
      <c r="AN430" s="6" t="str">
        <f>IF($D430&lt;=AN$4,"",IF(AND($D429=AN$4,$D430&gt;AN$4),$F429,AN429))</f>
        <v/>
      </c>
      <c r="AO430" s="6" t="str">
        <f>CONCATENATE(AG430," | ",AH430," | ",AI430," | ",AJ430," | ",AK430," | ",AL430," | ",AM430," | ",AN430)</f>
        <v xml:space="preserve">90MB1BJ0-C1BAY0 | 59MB1BJB-MB0A02S |  |  |  |  |  | </v>
      </c>
      <c r="AP430" s="6">
        <f>IF(TRIM(H430)="",100,J430)</f>
        <v>0</v>
      </c>
      <c r="AQ430" s="4"/>
      <c r="AR430" s="6" t="b">
        <f>NOT(TRIM(W430)&lt;&gt;"F")</f>
        <v>1</v>
      </c>
      <c r="AS430" s="6" t="str">
        <f>$B430&amp;" | "&amp;$AO430&amp;" | "&amp;IF(TRIM(H430)="","uniq"&amp;ROW(),TRIM(H430))</f>
        <v>461E | 90MB1BJ0-C1BAY0 | 59MB1BJB-MB0A02S |  |  |  |  |  |  | F3</v>
      </c>
      <c r="AT430" s="63">
        <f>IF(NOT(AR430),IF(TRIM($H430)="","Assembly","Phantom Alt"),VLOOKUP(F430,ZPCS04!B:G,6,0))</f>
        <v>698</v>
      </c>
      <c r="AU430" s="7"/>
      <c r="AV430" s="38">
        <f ca="1">IF(TRIM($W430)="F",OFFSET($A$5,MATCH($AS430,$AS$5:$AS430,0)-1,0),$A430)</f>
        <v>430</v>
      </c>
      <c r="AW430" s="38">
        <f ca="1">IFERROR(OFFSET(ZPCS04!$A$1,MATCH(F430,ZPCS04!B:B,0)-1,0),100)</f>
        <v>1.9999999000000002</v>
      </c>
      <c r="AX430" s="7"/>
      <c r="AY430" s="6" t="b">
        <f>SUMIF(AS:AS,AS430,AP:AP)=100</f>
        <v>1</v>
      </c>
      <c r="AZ430" s="6" t="b">
        <f>SUMIF(AS:AS,AS430,AE:AE)/COUNTIF(AS:AS,AS430)=AE430</f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>C430&amp;" | "&amp;F430</f>
        <v>90MB1BJ0-C1BAY0 | 10G212680014010</v>
      </c>
      <c r="BE430" s="55" t="str">
        <f ca="1">C430&amp;" | "&amp;OFFSET($AF430,0,8-COUNTBLANK($AG430:$AN430))</f>
        <v>90MB1BJ0-C1BAY0 | 59MB1BJB-MB0A02S</v>
      </c>
      <c r="BF430" s="57">
        <f ca="1">IFERROR(VLOOKUP($BE430,$BD$5:$BF429,3,0)*$AE430,VLOOKUP($C430,Demanda!$A:$B,2,0)*$AE430)*IF(AT430="Phantom Alt",$BC430,TRUE)</f>
        <v>6000</v>
      </c>
      <c r="BG430" s="57">
        <f ca="1">BF430*(AP430/100)</f>
        <v>0</v>
      </c>
      <c r="BH430" s="57">
        <f>SUMIF(Invoice!A:A,F430,Invoice!B:B)</f>
        <v>10000</v>
      </c>
      <c r="BI430" s="57">
        <f ca="1">SUMIF(AS:AS,AS430,BG:BG)</f>
        <v>6000</v>
      </c>
      <c r="BJ430" s="57">
        <f ca="1">MIN((BI430-SUMIF($AS$5:AS429,AS430,$BJ$5:BJ429)),MAX(0,BH430-SUMIF($F$5:F429,F430,$BJ$5:BJ429)))</f>
        <v>6000</v>
      </c>
      <c r="BK430" s="57">
        <f ca="1">(-SUMIF(AS:AS,AS430,BG:BG)+SUMIF(AS:AS,AS430,BJ:BJ))*(AP430=100)*AR430</f>
        <v>0</v>
      </c>
      <c r="BL430" s="57">
        <f ca="1">MAX(0,SUMIF(Invoice!A:A,F430,Invoice!B:B)-SUMIF(F:F,F430,BJ:BJ))*(COUNTIF(F:F,F430)=COUNTIF($F$5:F430,F430))</f>
        <v>4000</v>
      </c>
    </row>
    <row r="431" spans="1:64" hidden="1">
      <c r="A431" s="43">
        <v>431</v>
      </c>
      <c r="B431" s="13" t="s">
        <v>147</v>
      </c>
      <c r="C431" s="13" t="s">
        <v>146</v>
      </c>
      <c r="D431" s="13">
        <v>2</v>
      </c>
      <c r="E431" s="13">
        <v>1530</v>
      </c>
      <c r="F431" s="71" t="s">
        <v>1061</v>
      </c>
      <c r="G431" s="71" t="s">
        <v>1062</v>
      </c>
      <c r="H431" s="13" t="s">
        <v>1060</v>
      </c>
      <c r="I431" s="13" t="s">
        <v>55</v>
      </c>
      <c r="J431" s="28">
        <v>0</v>
      </c>
      <c r="K431" s="13" t="s">
        <v>489</v>
      </c>
      <c r="L431" s="13" t="s">
        <v>53</v>
      </c>
      <c r="M431" s="13">
        <v>6</v>
      </c>
      <c r="O431" s="13">
        <v>1</v>
      </c>
      <c r="P431" s="13">
        <v>2</v>
      </c>
      <c r="Q431" s="13">
        <v>2</v>
      </c>
      <c r="R431" s="13" t="s">
        <v>122</v>
      </c>
      <c r="S431" s="13" t="s">
        <v>122</v>
      </c>
      <c r="T431" s="13">
        <v>44901</v>
      </c>
      <c r="U431" s="13">
        <v>2958465</v>
      </c>
      <c r="V431" s="13" t="s">
        <v>282</v>
      </c>
      <c r="W431" s="13" t="s">
        <v>145</v>
      </c>
      <c r="Y431" s="13" t="s">
        <v>143</v>
      </c>
      <c r="Z431" s="13">
        <v>7589154</v>
      </c>
      <c r="AA431" s="13">
        <v>750</v>
      </c>
      <c r="AB431" s="13">
        <v>375</v>
      </c>
      <c r="AE431" s="51">
        <f>M431/O431</f>
        <v>6</v>
      </c>
      <c r="AG431" s="6" t="str">
        <f>C431</f>
        <v>90MB1BJ0-C1BAY0</v>
      </c>
      <c r="AH431" s="6" t="str">
        <f>IF($D431&lt;=AH$4,"",IF(AND($D430=AH$4,$D431&gt;AH$4),$F430,AH430))</f>
        <v>59MB1BJB-MB0A02S</v>
      </c>
      <c r="AI431" s="6" t="str">
        <f>IF($D431&lt;=AI$4,"",IF(AND($D430=AI$4,$D431&gt;AI$4),$F430,AI430))</f>
        <v/>
      </c>
      <c r="AJ431" s="6" t="str">
        <f>IF($D431&lt;=AJ$4,"",IF(AND($D430=AJ$4,$D431&gt;AJ$4),$F430,AJ430))</f>
        <v/>
      </c>
      <c r="AK431" s="6" t="str">
        <f>IF($D431&lt;=AK$4,"",IF(AND($D430=AK$4,$D431&gt;AK$4),$F430,AK430))</f>
        <v/>
      </c>
      <c r="AL431" s="6" t="str">
        <f>IF($D431&lt;=AL$4,"",IF(AND($D430=AL$4,$D431&gt;AL$4),$F430,AL430))</f>
        <v/>
      </c>
      <c r="AM431" s="6" t="str">
        <f>IF($D431&lt;=AM$4,"",IF(AND($D430=AM$4,$D431&gt;AM$4),$F430,AM430))</f>
        <v/>
      </c>
      <c r="AN431" s="6" t="str">
        <f>IF($D431&lt;=AN$4,"",IF(AND($D430=AN$4,$D431&gt;AN$4),$F430,AN430))</f>
        <v/>
      </c>
      <c r="AO431" s="6" t="str">
        <f>CONCATENATE(AG431," | ",AH431," | ",AI431," | ",AJ431," | ",AK431," | ",AL431," | ",AM431," | ",AN431)</f>
        <v xml:space="preserve">90MB1BJ0-C1BAY0 | 59MB1BJB-MB0A02S |  |  |  |  |  | </v>
      </c>
      <c r="AP431" s="6">
        <f>IF(TRIM(H431)="",100,J431)</f>
        <v>0</v>
      </c>
      <c r="AQ431" s="4"/>
      <c r="AR431" s="6" t="b">
        <f>NOT(TRIM(W431)&lt;&gt;"F")</f>
        <v>1</v>
      </c>
      <c r="AS431" s="6" t="str">
        <f>$B431&amp;" | "&amp;$AO431&amp;" | "&amp;IF(TRIM(H431)="","uniq"&amp;ROW(),TRIM(H431))</f>
        <v>461E | 90MB1BJ0-C1BAY0 | 59MB1BJB-MB0A02S |  |  |  |  |  |  | F3</v>
      </c>
      <c r="AT431" s="63">
        <f>IF(NOT(AR431),IF(TRIM($H431)="","Assembly","Phantom Alt"),VLOOKUP(F431,ZPCS04!B:G,6,0))</f>
        <v>698</v>
      </c>
      <c r="AU431" s="7"/>
      <c r="AV431" s="38">
        <f ca="1">IF(TRIM($W431)="F",OFFSET($A$5,MATCH($AS431,$AS$5:$AS431,0)-1,0),$A431)</f>
        <v>430</v>
      </c>
      <c r="AW431" s="38">
        <f ca="1">IFERROR(OFFSET(ZPCS04!$A$1,MATCH(F431,ZPCS04!B:B,0)-1,0),100)</f>
        <v>2</v>
      </c>
      <c r="AX431" s="7"/>
      <c r="AY431" s="6" t="b">
        <f>SUMIF(AS:AS,AS431,AP:AP)=100</f>
        <v>1</v>
      </c>
      <c r="AZ431" s="6" t="b">
        <f>SUMIF(AS:AS,AS431,AE:AE)/COUNTIF(AS:AS,AS431)=AE431</f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>C431&amp;" | "&amp;F431</f>
        <v>90MB1BJ0-C1BAY0 | 10G212680014020</v>
      </c>
      <c r="BE431" s="55" t="str">
        <f ca="1">C431&amp;" | "&amp;OFFSET($AF431,0,8-COUNTBLANK($AG431:$AN431))</f>
        <v>90MB1BJ0-C1BAY0 | 59MB1BJB-MB0A02S</v>
      </c>
      <c r="BF431" s="57">
        <f ca="1">IFERROR(VLOOKUP($BE431,$BD$5:$BF430,3,0)*$AE431,VLOOKUP($C431,Demanda!$A:$B,2,0)*$AE431)*IF(AT431="Phantom Alt",$BC431,TRUE)</f>
        <v>6000</v>
      </c>
      <c r="BG431" s="57">
        <f ca="1">BF431*(AP431/100)</f>
        <v>0</v>
      </c>
      <c r="BH431" s="57">
        <f>SUMIF(Invoice!A:A,F431,Invoice!B:B)</f>
        <v>0</v>
      </c>
      <c r="BI431" s="57">
        <f ca="1">SUMIF(AS:AS,AS431,BG:BG)</f>
        <v>6000</v>
      </c>
      <c r="BJ431" s="57">
        <f ca="1">MIN((BI431-SUMIF($AS$5:AS430,AS431,$BJ$5:BJ430)),MAX(0,BH431-SUMIF($F$5:F430,F431,$BJ$5:BJ430)))</f>
        <v>0</v>
      </c>
      <c r="BK431" s="57">
        <f ca="1">(-SUMIF(AS:AS,AS431,BG:BG)+SUMIF(AS:AS,AS431,BJ:BJ))*(AP431=100)*AR431</f>
        <v>0</v>
      </c>
      <c r="BL431" s="57">
        <f ca="1">MAX(0,SUMIF(Invoice!A:A,F431,Invoice!B:B)-SUMIF(F:F,F431,BJ:BJ))*(COUNTIF(F:F,F431)=COUNTIF($F$5:F431,F431))</f>
        <v>0</v>
      </c>
    </row>
    <row r="432" spans="1:64" hidden="1">
      <c r="A432" s="43">
        <v>432</v>
      </c>
      <c r="B432" s="13" t="s">
        <v>147</v>
      </c>
      <c r="C432" s="13" t="s">
        <v>146</v>
      </c>
      <c r="D432" s="13">
        <v>2</v>
      </c>
      <c r="E432" s="13">
        <v>1530</v>
      </c>
      <c r="F432" s="71" t="s">
        <v>1063</v>
      </c>
      <c r="G432" s="71" t="s">
        <v>1064</v>
      </c>
      <c r="H432" s="13" t="s">
        <v>1060</v>
      </c>
      <c r="I432" s="13" t="s">
        <v>54</v>
      </c>
      <c r="J432" s="28">
        <v>100</v>
      </c>
      <c r="K432" s="13" t="s">
        <v>150</v>
      </c>
      <c r="L432" s="13" t="s">
        <v>53</v>
      </c>
      <c r="M432" s="13">
        <v>6</v>
      </c>
      <c r="N432" s="13">
        <v>6</v>
      </c>
      <c r="O432" s="13">
        <v>1</v>
      </c>
      <c r="P432" s="13">
        <v>2</v>
      </c>
      <c r="Q432" s="13">
        <v>1</v>
      </c>
      <c r="R432" s="13" t="s">
        <v>73</v>
      </c>
      <c r="S432" s="13" t="s">
        <v>73</v>
      </c>
      <c r="T432" s="13">
        <v>44901</v>
      </c>
      <c r="U432" s="13">
        <v>2958465</v>
      </c>
      <c r="V432" s="13" t="s">
        <v>282</v>
      </c>
      <c r="W432" s="13" t="s">
        <v>145</v>
      </c>
      <c r="Y432" s="13" t="s">
        <v>143</v>
      </c>
      <c r="Z432" s="13">
        <v>7589154</v>
      </c>
      <c r="AA432" s="13">
        <v>748</v>
      </c>
      <c r="AB432" s="13">
        <v>374</v>
      </c>
      <c r="AE432" s="51">
        <f>M432/O432</f>
        <v>6</v>
      </c>
      <c r="AG432" s="6" t="str">
        <f>C432</f>
        <v>90MB1BJ0-C1BAY0</v>
      </c>
      <c r="AH432" s="6" t="str">
        <f>IF($D432&lt;=AH$4,"",IF(AND($D431=AH$4,$D432&gt;AH$4),$F431,AH431))</f>
        <v>59MB1BJB-MB0A02S</v>
      </c>
      <c r="AI432" s="6" t="str">
        <f>IF($D432&lt;=AI$4,"",IF(AND($D431=AI$4,$D432&gt;AI$4),$F431,AI431))</f>
        <v/>
      </c>
      <c r="AJ432" s="6" t="str">
        <f>IF($D432&lt;=AJ$4,"",IF(AND($D431=AJ$4,$D432&gt;AJ$4),$F431,AJ431))</f>
        <v/>
      </c>
      <c r="AK432" s="6" t="str">
        <f>IF($D432&lt;=AK$4,"",IF(AND($D431=AK$4,$D432&gt;AK$4),$F431,AK431))</f>
        <v/>
      </c>
      <c r="AL432" s="6" t="str">
        <f>IF($D432&lt;=AL$4,"",IF(AND($D431=AL$4,$D432&gt;AL$4),$F431,AL431))</f>
        <v/>
      </c>
      <c r="AM432" s="6" t="str">
        <f>IF($D432&lt;=AM$4,"",IF(AND($D431=AM$4,$D432&gt;AM$4),$F431,AM431))</f>
        <v/>
      </c>
      <c r="AN432" s="6" t="str">
        <f>IF($D432&lt;=AN$4,"",IF(AND($D431=AN$4,$D432&gt;AN$4),$F431,AN431))</f>
        <v/>
      </c>
      <c r="AO432" s="6" t="str">
        <f>CONCATENATE(AG432," | ",AH432," | ",AI432," | ",AJ432," | ",AK432," | ",AL432," | ",AM432," | ",AN432)</f>
        <v xml:space="preserve">90MB1BJ0-C1BAY0 | 59MB1BJB-MB0A02S |  |  |  |  |  | </v>
      </c>
      <c r="AP432" s="6">
        <f>IF(TRIM(H432)="",100,J432)</f>
        <v>100</v>
      </c>
      <c r="AQ432" s="4"/>
      <c r="AR432" s="6" t="b">
        <f>NOT(TRIM(W432)&lt;&gt;"F")</f>
        <v>1</v>
      </c>
      <c r="AS432" s="6" t="str">
        <f>$B432&amp;" | "&amp;$AO432&amp;" | "&amp;IF(TRIM(H432)="","uniq"&amp;ROW(),TRIM(H432))</f>
        <v>461E | 90MB1BJ0-C1BAY0 | 59MB1BJB-MB0A02S |  |  |  |  |  |  | F3</v>
      </c>
      <c r="AT432" s="63">
        <f>IF(NOT(AR432),IF(TRIM($H432)="","Assembly","Phantom Alt"),VLOOKUP(F432,ZPCS04!B:G,6,0))</f>
        <v>698</v>
      </c>
      <c r="AU432" s="7"/>
      <c r="AV432" s="38">
        <f ca="1">IF(TRIM($W432)="F",OFFSET($A$5,MATCH($AS432,$AS$5:$AS432,0)-1,0),$A432)</f>
        <v>430</v>
      </c>
      <c r="AW432" s="38">
        <f ca="1">IFERROR(OFFSET(ZPCS04!$A$1,MATCH(F432,ZPCS04!B:B,0)-1,0),100)</f>
        <v>2</v>
      </c>
      <c r="AX432" s="7"/>
      <c r="AY432" s="6" t="b">
        <f>SUMIF(AS:AS,AS432,AP:AP)=100</f>
        <v>1</v>
      </c>
      <c r="AZ432" s="6" t="b">
        <f>SUMIF(AS:AS,AS432,AE:AE)/COUNTIF(AS:AS,AS432)=AE432</f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>C432&amp;" | "&amp;F432</f>
        <v>90MB1BJ0-C1BAY0 | 10G212680014050</v>
      </c>
      <c r="BE432" s="55" t="str">
        <f ca="1">C432&amp;" | "&amp;OFFSET($AF432,0,8-COUNTBLANK($AG432:$AN432))</f>
        <v>90MB1BJ0-C1BAY0 | 59MB1BJB-MB0A02S</v>
      </c>
      <c r="BF432" s="57">
        <f ca="1">IFERROR(VLOOKUP($BE432,$BD$5:$BF431,3,0)*$AE432,VLOOKUP($C432,Demanda!$A:$B,2,0)*$AE432)*IF(AT432="Phantom Alt",$BC432,TRUE)</f>
        <v>6000</v>
      </c>
      <c r="BG432" s="57">
        <f ca="1">BF432*(AP432/100)</f>
        <v>6000</v>
      </c>
      <c r="BH432" s="57">
        <f>SUMIF(Invoice!A:A,F432,Invoice!B:B)</f>
        <v>0</v>
      </c>
      <c r="BI432" s="57">
        <f ca="1">SUMIF(AS:AS,AS432,BG:BG)</f>
        <v>6000</v>
      </c>
      <c r="BJ432" s="57">
        <f ca="1">MIN((BI432-SUMIF($AS$5:AS431,AS432,$BJ$5:BJ431)),MAX(0,BH432-SUMIF($F$5:F431,F432,$BJ$5:BJ431)))</f>
        <v>0</v>
      </c>
      <c r="BK432" s="57">
        <f ca="1">(-SUMIF(AS:AS,AS432,BG:BG)+SUMIF(AS:AS,AS432,BJ:BJ))*(AP432=100)*AR432</f>
        <v>0</v>
      </c>
      <c r="BL432" s="57">
        <f ca="1">MAX(0,SUMIF(Invoice!A:A,F432,Invoice!B:B)-SUMIF(F:F,F432,BJ:BJ))*(COUNTIF(F:F,F432)=COUNTIF($F$5:F432,F432))</f>
        <v>0</v>
      </c>
    </row>
    <row r="433" spans="1:64" hidden="1">
      <c r="A433" s="43">
        <v>434</v>
      </c>
      <c r="B433" s="13" t="s">
        <v>147</v>
      </c>
      <c r="C433" s="13" t="s">
        <v>146</v>
      </c>
      <c r="D433" s="13">
        <v>2</v>
      </c>
      <c r="E433" s="13">
        <v>1540</v>
      </c>
      <c r="F433" s="71" t="s">
        <v>1068</v>
      </c>
      <c r="G433" s="71" t="s">
        <v>1069</v>
      </c>
      <c r="H433" s="13" t="s">
        <v>1067</v>
      </c>
      <c r="I433" s="13" t="s">
        <v>55</v>
      </c>
      <c r="J433" s="28">
        <v>0</v>
      </c>
      <c r="K433" s="13" t="s">
        <v>489</v>
      </c>
      <c r="L433" s="13" t="s">
        <v>53</v>
      </c>
      <c r="M433" s="13">
        <v>19</v>
      </c>
      <c r="O433" s="13">
        <v>1</v>
      </c>
      <c r="P433" s="13">
        <v>2</v>
      </c>
      <c r="Q433" s="13">
        <v>3</v>
      </c>
      <c r="R433" s="13" t="s">
        <v>122</v>
      </c>
      <c r="S433" s="13" t="s">
        <v>122</v>
      </c>
      <c r="T433" s="13">
        <v>44901</v>
      </c>
      <c r="U433" s="13">
        <v>2958465</v>
      </c>
      <c r="V433" s="13" t="s">
        <v>282</v>
      </c>
      <c r="W433" s="13" t="s">
        <v>145</v>
      </c>
      <c r="Y433" s="13" t="s">
        <v>143</v>
      </c>
      <c r="Z433" s="13">
        <v>7589154</v>
      </c>
      <c r="AA433" s="13">
        <v>758</v>
      </c>
      <c r="AB433" s="13">
        <v>379</v>
      </c>
      <c r="AE433" s="51">
        <f>M433/O433</f>
        <v>19</v>
      </c>
      <c r="AG433" s="6" t="str">
        <f>C433</f>
        <v>90MB1BJ0-C1BAY0</v>
      </c>
      <c r="AH433" s="6" t="str">
        <f>IF($D433&lt;=AH$4,"",IF(AND($D432=AH$4,$D433&gt;AH$4),$F432,AH432))</f>
        <v>59MB1BJB-MB0A02S</v>
      </c>
      <c r="AI433" s="6" t="str">
        <f>IF($D433&lt;=AI$4,"",IF(AND($D432=AI$4,$D433&gt;AI$4),$F432,AI432))</f>
        <v/>
      </c>
      <c r="AJ433" s="6" t="str">
        <f>IF($D433&lt;=AJ$4,"",IF(AND($D432=AJ$4,$D433&gt;AJ$4),$F432,AJ432))</f>
        <v/>
      </c>
      <c r="AK433" s="6" t="str">
        <f>IF($D433&lt;=AK$4,"",IF(AND($D432=AK$4,$D433&gt;AK$4),$F432,AK432))</f>
        <v/>
      </c>
      <c r="AL433" s="6" t="str">
        <f>IF($D433&lt;=AL$4,"",IF(AND($D432=AL$4,$D433&gt;AL$4),$F432,AL432))</f>
        <v/>
      </c>
      <c r="AM433" s="6" t="str">
        <f>IF($D433&lt;=AM$4,"",IF(AND($D432=AM$4,$D433&gt;AM$4),$F432,AM432))</f>
        <v/>
      </c>
      <c r="AN433" s="6" t="str">
        <f>IF($D433&lt;=AN$4,"",IF(AND($D432=AN$4,$D433&gt;AN$4),$F432,AN432))</f>
        <v/>
      </c>
      <c r="AO433" s="6" t="str">
        <f>CONCATENATE(AG433," | ",AH433," | ",AI433," | ",AJ433," | ",AK433," | ",AL433," | ",AM433," | ",AN433)</f>
        <v xml:space="preserve">90MB1BJ0-C1BAY0 | 59MB1BJB-MB0A02S |  |  |  |  |  | </v>
      </c>
      <c r="AP433" s="6">
        <f>IF(TRIM(H433)="",100,J433)</f>
        <v>0</v>
      </c>
      <c r="AQ433" s="4"/>
      <c r="AR433" s="6" t="b">
        <f>NOT(TRIM(W433)&lt;&gt;"F")</f>
        <v>1</v>
      </c>
      <c r="AS433" s="6" t="str">
        <f>$B433&amp;" | "&amp;$AO433&amp;" | "&amp;IF(TRIM(H433)="","uniq"&amp;ROW(),TRIM(H433))</f>
        <v>461E | 90MB1BJ0-C1BAY0 | 59MB1BJB-MB0A02S |  |  |  |  |  |  | F4</v>
      </c>
      <c r="AT433" s="63">
        <f>IF(NOT(AR433),IF(TRIM($H433)="","Assembly","Phantom Alt"),VLOOKUP(F433,ZPCS04!B:G,6,0))</f>
        <v>1035</v>
      </c>
      <c r="AU433" s="7"/>
      <c r="AV433" s="38">
        <f ca="1">IF(TRIM($W433)="F",OFFSET($A$5,MATCH($AS433,$AS$5:$AS433,0)-1,0),$A433)</f>
        <v>434</v>
      </c>
      <c r="AW433" s="38">
        <f ca="1">IFERROR(OFFSET(ZPCS04!$A$1,MATCH(F433,ZPCS04!B:B,0)-1,0),100)</f>
        <v>1.9999997999999999</v>
      </c>
      <c r="AX433" s="7"/>
      <c r="AY433" s="6" t="b">
        <f>SUMIF(AS:AS,AS433,AP:AP)=100</f>
        <v>1</v>
      </c>
      <c r="AZ433" s="6" t="b">
        <f>SUMIF(AS:AS,AS433,AE:AE)/COUNTIF(AS:AS,AS433)=AE433</f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>C433&amp;" | "&amp;F433</f>
        <v>90MB1BJ0-C1BAY0 | 10G212680214020</v>
      </c>
      <c r="BE433" s="55" t="str">
        <f ca="1">C433&amp;" | "&amp;OFFSET($AF433,0,8-COUNTBLANK($AG433:$AN433))</f>
        <v>90MB1BJ0-C1BAY0 | 59MB1BJB-MB0A02S</v>
      </c>
      <c r="BF433" s="57">
        <f ca="1">IFERROR(VLOOKUP($BE433,$BD$5:$BF432,3,0)*$AE433,VLOOKUP($C433,Demanda!$A:$B,2,0)*$AE433)*IF(AT433="Phantom Alt",$BC433,TRUE)</f>
        <v>19000</v>
      </c>
      <c r="BG433" s="57">
        <f ca="1">BF433*(AP433/100)</f>
        <v>0</v>
      </c>
      <c r="BH433" s="57">
        <f>SUMIF(Invoice!A:A,F433,Invoice!B:B)</f>
        <v>20000</v>
      </c>
      <c r="BI433" s="57">
        <f ca="1">SUMIF(AS:AS,AS433,BG:BG)</f>
        <v>19000</v>
      </c>
      <c r="BJ433" s="57">
        <f ca="1">MIN((BI433-SUMIF($AS$5:AS432,AS433,$BJ$5:BJ432)),MAX(0,BH433-SUMIF($F$5:F432,F433,$BJ$5:BJ432)))</f>
        <v>19000</v>
      </c>
      <c r="BK433" s="57">
        <f ca="1">(-SUMIF(AS:AS,AS433,BG:BG)+SUMIF(AS:AS,AS433,BJ:BJ))*(AP433=100)*AR433</f>
        <v>0</v>
      </c>
      <c r="BL433" s="57">
        <f ca="1">MAX(0,SUMIF(Invoice!A:A,F433,Invoice!B:B)-SUMIF(F:F,F433,BJ:BJ))*(COUNTIF(F:F,F433)=COUNTIF($F$5:F433,F433))</f>
        <v>1000</v>
      </c>
    </row>
    <row r="434" spans="1:64" hidden="1">
      <c r="A434" s="43">
        <v>433</v>
      </c>
      <c r="B434" s="13" t="s">
        <v>147</v>
      </c>
      <c r="C434" s="13" t="s">
        <v>146</v>
      </c>
      <c r="D434" s="13">
        <v>2</v>
      </c>
      <c r="E434" s="13">
        <v>1540</v>
      </c>
      <c r="F434" s="71" t="s">
        <v>1065</v>
      </c>
      <c r="G434" s="71" t="s">
        <v>1066</v>
      </c>
      <c r="H434" s="13" t="s">
        <v>1067</v>
      </c>
      <c r="I434" s="13" t="s">
        <v>54</v>
      </c>
      <c r="J434" s="28">
        <v>100</v>
      </c>
      <c r="K434" s="13" t="s">
        <v>489</v>
      </c>
      <c r="L434" s="13" t="s">
        <v>53</v>
      </c>
      <c r="M434" s="13">
        <v>19</v>
      </c>
      <c r="N434" s="13">
        <v>19</v>
      </c>
      <c r="O434" s="13">
        <v>1</v>
      </c>
      <c r="P434" s="13">
        <v>2</v>
      </c>
      <c r="Q434" s="13">
        <v>1</v>
      </c>
      <c r="R434" s="13" t="s">
        <v>122</v>
      </c>
      <c r="S434" s="13" t="s">
        <v>122</v>
      </c>
      <c r="T434" s="13">
        <v>44901</v>
      </c>
      <c r="U434" s="13">
        <v>2958465</v>
      </c>
      <c r="V434" s="13" t="s">
        <v>282</v>
      </c>
      <c r="W434" s="13" t="s">
        <v>145</v>
      </c>
      <c r="Y434" s="13" t="s">
        <v>143</v>
      </c>
      <c r="Z434" s="13">
        <v>7589154</v>
      </c>
      <c r="AA434" s="13">
        <v>754</v>
      </c>
      <c r="AB434" s="13">
        <v>377</v>
      </c>
      <c r="AE434" s="51">
        <f>M434/O434</f>
        <v>19</v>
      </c>
      <c r="AG434" s="6" t="str">
        <f>C434</f>
        <v>90MB1BJ0-C1BAY0</v>
      </c>
      <c r="AH434" s="6" t="str">
        <f>IF($D434&lt;=AH$4,"",IF(AND($D433=AH$4,$D434&gt;AH$4),$F433,AH433))</f>
        <v>59MB1BJB-MB0A02S</v>
      </c>
      <c r="AI434" s="6" t="str">
        <f>IF($D434&lt;=AI$4,"",IF(AND($D433=AI$4,$D434&gt;AI$4),$F433,AI433))</f>
        <v/>
      </c>
      <c r="AJ434" s="6" t="str">
        <f>IF($D434&lt;=AJ$4,"",IF(AND($D433=AJ$4,$D434&gt;AJ$4),$F433,AJ433))</f>
        <v/>
      </c>
      <c r="AK434" s="6" t="str">
        <f>IF($D434&lt;=AK$4,"",IF(AND($D433=AK$4,$D434&gt;AK$4),$F433,AK433))</f>
        <v/>
      </c>
      <c r="AL434" s="6" t="str">
        <f>IF($D434&lt;=AL$4,"",IF(AND($D433=AL$4,$D434&gt;AL$4),$F433,AL433))</f>
        <v/>
      </c>
      <c r="AM434" s="6" t="str">
        <f>IF($D434&lt;=AM$4,"",IF(AND($D433=AM$4,$D434&gt;AM$4),$F433,AM433))</f>
        <v/>
      </c>
      <c r="AN434" s="6" t="str">
        <f>IF($D434&lt;=AN$4,"",IF(AND($D433=AN$4,$D434&gt;AN$4),$F433,AN433))</f>
        <v/>
      </c>
      <c r="AO434" s="6" t="str">
        <f>CONCATENATE(AG434," | ",AH434," | ",AI434," | ",AJ434," | ",AK434," | ",AL434," | ",AM434," | ",AN434)</f>
        <v xml:space="preserve">90MB1BJ0-C1BAY0 | 59MB1BJB-MB0A02S |  |  |  |  |  | </v>
      </c>
      <c r="AP434" s="6">
        <f>IF(TRIM(H434)="",100,J434)</f>
        <v>100</v>
      </c>
      <c r="AQ434" s="4"/>
      <c r="AR434" s="6" t="b">
        <f>NOT(TRIM(W434)&lt;&gt;"F")</f>
        <v>1</v>
      </c>
      <c r="AS434" s="6" t="str">
        <f>$B434&amp;" | "&amp;$AO434&amp;" | "&amp;IF(TRIM(H434)="","uniq"&amp;ROW(),TRIM(H434))</f>
        <v>461E | 90MB1BJ0-C1BAY0 | 59MB1BJB-MB0A02S |  |  |  |  |  |  | F4</v>
      </c>
      <c r="AT434" s="63">
        <f>IF(NOT(AR434),IF(TRIM($H434)="","Assembly","Phantom Alt"),VLOOKUP(F434,ZPCS04!B:G,6,0))</f>
        <v>1035</v>
      </c>
      <c r="AU434" s="7"/>
      <c r="AV434" s="38">
        <f ca="1">IF(TRIM($W434)="F",OFFSET($A$5,MATCH($AS434,$AS$5:$AS434,0)-1,0),$A434)</f>
        <v>434</v>
      </c>
      <c r="AW434" s="38">
        <f ca="1">IFERROR(OFFSET(ZPCS04!$A$1,MATCH(F434,ZPCS04!B:B,0)-1,0),100)</f>
        <v>2</v>
      </c>
      <c r="AX434" s="7"/>
      <c r="AY434" s="6" t="b">
        <f>SUMIF(AS:AS,AS434,AP:AP)=100</f>
        <v>1</v>
      </c>
      <c r="AZ434" s="6" t="b">
        <f>SUMIF(AS:AS,AS434,AE:AE)/COUNTIF(AS:AS,AS434)=AE434</f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>C434&amp;" | "&amp;F434</f>
        <v>90MB1BJ0-C1BAY0 | 10G212680214010</v>
      </c>
      <c r="BE434" s="55" t="str">
        <f ca="1">C434&amp;" | "&amp;OFFSET($AF434,0,8-COUNTBLANK($AG434:$AN434))</f>
        <v>90MB1BJ0-C1BAY0 | 59MB1BJB-MB0A02S</v>
      </c>
      <c r="BF434" s="57">
        <f ca="1">IFERROR(VLOOKUP($BE434,$BD$5:$BF433,3,0)*$AE434,VLOOKUP($C434,Demanda!$A:$B,2,0)*$AE434)*IF(AT434="Phantom Alt",$BC434,TRUE)</f>
        <v>19000</v>
      </c>
      <c r="BG434" s="57">
        <f ca="1">BF434*(AP434/100)</f>
        <v>19000</v>
      </c>
      <c r="BH434" s="57">
        <f>SUMIF(Invoice!A:A,F434,Invoice!B:B)</f>
        <v>0</v>
      </c>
      <c r="BI434" s="57">
        <f ca="1">SUMIF(AS:AS,AS434,BG:BG)</f>
        <v>19000</v>
      </c>
      <c r="BJ434" s="57">
        <f ca="1">MIN((BI434-SUMIF($AS$5:AS433,AS434,$BJ$5:BJ433)),MAX(0,BH434-SUMIF($F$5:F433,F434,$BJ$5:BJ433)))</f>
        <v>0</v>
      </c>
      <c r="BK434" s="57">
        <f ca="1">(-SUMIF(AS:AS,AS434,BG:BG)+SUMIF(AS:AS,AS434,BJ:BJ))*(AP434=100)*AR434</f>
        <v>0</v>
      </c>
      <c r="BL434" s="57">
        <f ca="1">MAX(0,SUMIF(Invoice!A:A,F434,Invoice!B:B)-SUMIF(F:F,F434,BJ:BJ))*(COUNTIF(F:F,F434)=COUNTIF($F$5:F434,F434))</f>
        <v>0</v>
      </c>
    </row>
    <row r="435" spans="1:64" hidden="1">
      <c r="A435" s="43">
        <v>435</v>
      </c>
      <c r="B435" s="13" t="s">
        <v>147</v>
      </c>
      <c r="C435" s="13" t="s">
        <v>146</v>
      </c>
      <c r="D435" s="13">
        <v>2</v>
      </c>
      <c r="E435" s="13">
        <v>1540</v>
      </c>
      <c r="F435" s="71" t="s">
        <v>1070</v>
      </c>
      <c r="G435" s="71" t="s">
        <v>1071</v>
      </c>
      <c r="H435" s="13" t="s">
        <v>1067</v>
      </c>
      <c r="I435" s="13" t="s">
        <v>55</v>
      </c>
      <c r="J435" s="28">
        <v>0</v>
      </c>
      <c r="K435" s="13" t="s">
        <v>150</v>
      </c>
      <c r="L435" s="13" t="s">
        <v>53</v>
      </c>
      <c r="M435" s="13">
        <v>19</v>
      </c>
      <c r="O435" s="13">
        <v>1</v>
      </c>
      <c r="P435" s="13">
        <v>2</v>
      </c>
      <c r="Q435" s="13">
        <v>2</v>
      </c>
      <c r="R435" s="13" t="s">
        <v>73</v>
      </c>
      <c r="S435" s="13" t="s">
        <v>73</v>
      </c>
      <c r="T435" s="13">
        <v>44901</v>
      </c>
      <c r="U435" s="13">
        <v>2958465</v>
      </c>
      <c r="V435" s="13" t="s">
        <v>282</v>
      </c>
      <c r="W435" s="13" t="s">
        <v>145</v>
      </c>
      <c r="Y435" s="13" t="s">
        <v>143</v>
      </c>
      <c r="Z435" s="13">
        <v>7589154</v>
      </c>
      <c r="AA435" s="13">
        <v>756</v>
      </c>
      <c r="AB435" s="13">
        <v>378</v>
      </c>
      <c r="AE435" s="51">
        <f>M435/O435</f>
        <v>19</v>
      </c>
      <c r="AG435" s="6" t="str">
        <f>C435</f>
        <v>90MB1BJ0-C1BAY0</v>
      </c>
      <c r="AH435" s="6" t="str">
        <f>IF($D435&lt;=AH$4,"",IF(AND($D434=AH$4,$D435&gt;AH$4),$F434,AH434))</f>
        <v>59MB1BJB-MB0A02S</v>
      </c>
      <c r="AI435" s="6" t="str">
        <f>IF($D435&lt;=AI$4,"",IF(AND($D434=AI$4,$D435&gt;AI$4),$F434,AI434))</f>
        <v/>
      </c>
      <c r="AJ435" s="6" t="str">
        <f>IF($D435&lt;=AJ$4,"",IF(AND($D434=AJ$4,$D435&gt;AJ$4),$F434,AJ434))</f>
        <v/>
      </c>
      <c r="AK435" s="6" t="str">
        <f>IF($D435&lt;=AK$4,"",IF(AND($D434=AK$4,$D435&gt;AK$4),$F434,AK434))</f>
        <v/>
      </c>
      <c r="AL435" s="6" t="str">
        <f>IF($D435&lt;=AL$4,"",IF(AND($D434=AL$4,$D435&gt;AL$4),$F434,AL434))</f>
        <v/>
      </c>
      <c r="AM435" s="6" t="str">
        <f>IF($D435&lt;=AM$4,"",IF(AND($D434=AM$4,$D435&gt;AM$4),$F434,AM434))</f>
        <v/>
      </c>
      <c r="AN435" s="6" t="str">
        <f>IF($D435&lt;=AN$4,"",IF(AND($D434=AN$4,$D435&gt;AN$4),$F434,AN434))</f>
        <v/>
      </c>
      <c r="AO435" s="6" t="str">
        <f>CONCATENATE(AG435," | ",AH435," | ",AI435," | ",AJ435," | ",AK435," | ",AL435," | ",AM435," | ",AN435)</f>
        <v xml:space="preserve">90MB1BJ0-C1BAY0 | 59MB1BJB-MB0A02S |  |  |  |  |  | </v>
      </c>
      <c r="AP435" s="6">
        <f>IF(TRIM(H435)="",100,J435)</f>
        <v>0</v>
      </c>
      <c r="AQ435" s="4"/>
      <c r="AR435" s="6" t="b">
        <f>NOT(TRIM(W435)&lt;&gt;"F")</f>
        <v>1</v>
      </c>
      <c r="AS435" s="6" t="str">
        <f>$B435&amp;" | "&amp;$AO435&amp;" | "&amp;IF(TRIM(H435)="","uniq"&amp;ROW(),TRIM(H435))</f>
        <v>461E | 90MB1BJ0-C1BAY0 | 59MB1BJB-MB0A02S |  |  |  |  |  |  | F4</v>
      </c>
      <c r="AT435" s="63">
        <f>IF(NOT(AR435),IF(TRIM($H435)="","Assembly","Phantom Alt"),VLOOKUP(F435,ZPCS04!B:G,6,0))</f>
        <v>1035</v>
      </c>
      <c r="AU435" s="7"/>
      <c r="AV435" s="38">
        <f ca="1">IF(TRIM($W435)="F",OFFSET($A$5,MATCH($AS435,$AS$5:$AS435,0)-1,0),$A435)</f>
        <v>434</v>
      </c>
      <c r="AW435" s="38">
        <f ca="1">IFERROR(OFFSET(ZPCS04!$A$1,MATCH(F435,ZPCS04!B:B,0)-1,0),100)</f>
        <v>2</v>
      </c>
      <c r="AX435" s="7"/>
      <c r="AY435" s="6" t="b">
        <f>SUMIF(AS:AS,AS435,AP:AP)=100</f>
        <v>1</v>
      </c>
      <c r="AZ435" s="6" t="b">
        <f>SUMIF(AS:AS,AS435,AE:AE)/COUNTIF(AS:AS,AS435)=AE435</f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>C435&amp;" | "&amp;F435</f>
        <v>90MB1BJ0-C1BAY0 | 10G212680214050</v>
      </c>
      <c r="BE435" s="55" t="str">
        <f ca="1">C435&amp;" | "&amp;OFFSET($AF435,0,8-COUNTBLANK($AG435:$AN435))</f>
        <v>90MB1BJ0-C1BAY0 | 59MB1BJB-MB0A02S</v>
      </c>
      <c r="BF435" s="57">
        <f ca="1">IFERROR(VLOOKUP($BE435,$BD$5:$BF434,3,0)*$AE435,VLOOKUP($C435,Demanda!$A:$B,2,0)*$AE435)*IF(AT435="Phantom Alt",$BC435,TRUE)</f>
        <v>19000</v>
      </c>
      <c r="BG435" s="57">
        <f ca="1">BF435*(AP435/100)</f>
        <v>0</v>
      </c>
      <c r="BH435" s="57">
        <f>SUMIF(Invoice!A:A,F435,Invoice!B:B)</f>
        <v>0</v>
      </c>
      <c r="BI435" s="57">
        <f ca="1">SUMIF(AS:AS,AS435,BG:BG)</f>
        <v>19000</v>
      </c>
      <c r="BJ435" s="57">
        <f ca="1">MIN((BI435-SUMIF($AS$5:AS434,AS435,$BJ$5:BJ434)),MAX(0,BH435-SUMIF($F$5:F434,F435,$BJ$5:BJ434)))</f>
        <v>0</v>
      </c>
      <c r="BK435" s="57">
        <f ca="1">(-SUMIF(AS:AS,AS435,BG:BG)+SUMIF(AS:AS,AS435,BJ:BJ))*(AP435=100)*AR435</f>
        <v>0</v>
      </c>
      <c r="BL435" s="57">
        <f ca="1">MAX(0,SUMIF(Invoice!A:A,F435,Invoice!B:B)-SUMIF(F:F,F435,BJ:BJ))*(COUNTIF(F:F,F435)=COUNTIF($F$5:F435,F435))</f>
        <v>0</v>
      </c>
    </row>
    <row r="436" spans="1:64" hidden="1">
      <c r="A436" s="43">
        <v>436</v>
      </c>
      <c r="B436" s="13" t="s">
        <v>147</v>
      </c>
      <c r="C436" s="13" t="s">
        <v>146</v>
      </c>
      <c r="D436" s="13">
        <v>2</v>
      </c>
      <c r="E436" s="13">
        <v>1550</v>
      </c>
      <c r="F436" s="71" t="s">
        <v>1072</v>
      </c>
      <c r="G436" s="71" t="s">
        <v>1073</v>
      </c>
      <c r="H436" s="13" t="s">
        <v>1074</v>
      </c>
      <c r="I436" s="13" t="s">
        <v>55</v>
      </c>
      <c r="J436" s="28">
        <v>0</v>
      </c>
      <c r="K436" s="13" t="s">
        <v>150</v>
      </c>
      <c r="L436" s="13" t="s">
        <v>53</v>
      </c>
      <c r="M436" s="13">
        <v>1</v>
      </c>
      <c r="O436" s="13">
        <v>1</v>
      </c>
      <c r="P436" s="13">
        <v>2</v>
      </c>
      <c r="Q436" s="13">
        <v>3</v>
      </c>
      <c r="R436" s="13" t="s">
        <v>73</v>
      </c>
      <c r="S436" s="13" t="s">
        <v>73</v>
      </c>
      <c r="T436" s="13">
        <v>44901</v>
      </c>
      <c r="U436" s="13">
        <v>2958465</v>
      </c>
      <c r="V436" s="13" t="s">
        <v>282</v>
      </c>
      <c r="W436" s="13" t="s">
        <v>145</v>
      </c>
      <c r="Y436" s="13" t="s">
        <v>143</v>
      </c>
      <c r="Z436" s="13">
        <v>7589154</v>
      </c>
      <c r="AA436" s="13">
        <v>764</v>
      </c>
      <c r="AB436" s="13">
        <v>382</v>
      </c>
      <c r="AE436" s="51">
        <f>M436/O436</f>
        <v>1</v>
      </c>
      <c r="AG436" s="6" t="str">
        <f>C436</f>
        <v>90MB1BJ0-C1BAY0</v>
      </c>
      <c r="AH436" s="6" t="str">
        <f>IF($D436&lt;=AH$4,"",IF(AND($D435=AH$4,$D436&gt;AH$4),$F435,AH435))</f>
        <v>59MB1BJB-MB0A02S</v>
      </c>
      <c r="AI436" s="6" t="str">
        <f>IF($D436&lt;=AI$4,"",IF(AND($D435=AI$4,$D436&gt;AI$4),$F435,AI435))</f>
        <v/>
      </c>
      <c r="AJ436" s="6" t="str">
        <f>IF($D436&lt;=AJ$4,"",IF(AND($D435=AJ$4,$D436&gt;AJ$4),$F435,AJ435))</f>
        <v/>
      </c>
      <c r="AK436" s="6" t="str">
        <f>IF($D436&lt;=AK$4,"",IF(AND($D435=AK$4,$D436&gt;AK$4),$F435,AK435))</f>
        <v/>
      </c>
      <c r="AL436" s="6" t="str">
        <f>IF($D436&lt;=AL$4,"",IF(AND($D435=AL$4,$D436&gt;AL$4),$F435,AL435))</f>
        <v/>
      </c>
      <c r="AM436" s="6" t="str">
        <f>IF($D436&lt;=AM$4,"",IF(AND($D435=AM$4,$D436&gt;AM$4),$F435,AM435))</f>
        <v/>
      </c>
      <c r="AN436" s="6" t="str">
        <f>IF($D436&lt;=AN$4,"",IF(AND($D435=AN$4,$D436&gt;AN$4),$F435,AN435))</f>
        <v/>
      </c>
      <c r="AO436" s="6" t="str">
        <f>CONCATENATE(AG436," | ",AH436," | ",AI436," | ",AJ436," | ",AK436," | ",AL436," | ",AM436," | ",AN436)</f>
        <v xml:space="preserve">90MB1BJ0-C1BAY0 | 59MB1BJB-MB0A02S |  |  |  |  |  | </v>
      </c>
      <c r="AP436" s="6">
        <f>IF(TRIM(H436)="",100,J436)</f>
        <v>0</v>
      </c>
      <c r="AQ436" s="4"/>
      <c r="AR436" s="6" t="b">
        <f>NOT(TRIM(W436)&lt;&gt;"F")</f>
        <v>1</v>
      </c>
      <c r="AS436" s="6" t="str">
        <f>$B436&amp;" | "&amp;$AO436&amp;" | "&amp;IF(TRIM(H436)="","uniq"&amp;ROW(),TRIM(H436))</f>
        <v>461E | 90MB1BJ0-C1BAY0 | 59MB1BJB-MB0A02S |  |  |  |  |  |  | F5</v>
      </c>
      <c r="AT436" s="63">
        <f>IF(NOT(AR436),IF(TRIM($H436)="","Assembly","Phantom Alt"),VLOOKUP(F436,ZPCS04!B:G,6,0))</f>
        <v>1272</v>
      </c>
      <c r="AU436" s="7"/>
      <c r="AV436" s="38">
        <f ca="1">IF(TRIM($W436)="F",OFFSET($A$5,MATCH($AS436,$AS$5:$AS436,0)-1,0),$A436)</f>
        <v>436</v>
      </c>
      <c r="AW436" s="38">
        <f ca="1">IFERROR(OFFSET(ZPCS04!$A$1,MATCH(F436,ZPCS04!B:B,0)-1,0),100)</f>
        <v>1.9999999000000002</v>
      </c>
      <c r="AX436" s="7"/>
      <c r="AY436" s="6" t="b">
        <f>SUMIF(AS:AS,AS436,AP:AP)=100</f>
        <v>1</v>
      </c>
      <c r="AZ436" s="6" t="b">
        <f>SUMIF(AS:AS,AS436,AE:AE)/COUNTIF(AS:AS,AS436)=AE436</f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>C436&amp;" | "&amp;F436</f>
        <v>90MB1BJ0-C1BAY0 | 10G212681014010</v>
      </c>
      <c r="BE436" s="55" t="str">
        <f ca="1">C436&amp;" | "&amp;OFFSET($AF436,0,8-COUNTBLANK($AG436:$AN436))</f>
        <v>90MB1BJ0-C1BAY0 | 59MB1BJB-MB0A02S</v>
      </c>
      <c r="BF436" s="57">
        <f ca="1">IFERROR(VLOOKUP($BE436,$BD$5:$BF435,3,0)*$AE436,VLOOKUP($C436,Demanda!$A:$B,2,0)*$AE436)*IF(AT436="Phantom Alt",$BC436,TRUE)</f>
        <v>1000</v>
      </c>
      <c r="BG436" s="57">
        <f ca="1">BF436*(AP436/100)</f>
        <v>0</v>
      </c>
      <c r="BH436" s="57">
        <f>SUMIF(Invoice!A:A,F436,Invoice!B:B)</f>
        <v>10000</v>
      </c>
      <c r="BI436" s="57">
        <f ca="1">SUMIF(AS:AS,AS436,BG:BG)</f>
        <v>1000</v>
      </c>
      <c r="BJ436" s="57">
        <f ca="1">MIN((BI436-SUMIF($AS$5:AS435,AS436,$BJ$5:BJ435)),MAX(0,BH436-SUMIF($F$5:F435,F436,$BJ$5:BJ435)))</f>
        <v>1000</v>
      </c>
      <c r="BK436" s="57">
        <f ca="1">(-SUMIF(AS:AS,AS436,BG:BG)+SUMIF(AS:AS,AS436,BJ:BJ))*(AP436=100)*AR436</f>
        <v>0</v>
      </c>
      <c r="BL436" s="57">
        <f ca="1">MAX(0,SUMIF(Invoice!A:A,F436,Invoice!B:B)-SUMIF(F:F,F436,BJ:BJ))*(COUNTIF(F:F,F436)=COUNTIF($F$5:F436,F436))</f>
        <v>9000</v>
      </c>
    </row>
    <row r="437" spans="1:64" hidden="1">
      <c r="A437" s="43">
        <v>437</v>
      </c>
      <c r="B437" s="13" t="s">
        <v>147</v>
      </c>
      <c r="C437" s="13" t="s">
        <v>146</v>
      </c>
      <c r="D437" s="13">
        <v>2</v>
      </c>
      <c r="E437" s="13">
        <v>1550</v>
      </c>
      <c r="F437" s="71" t="s">
        <v>1075</v>
      </c>
      <c r="G437" s="71" t="s">
        <v>1076</v>
      </c>
      <c r="H437" s="13" t="s">
        <v>1074</v>
      </c>
      <c r="I437" s="13" t="s">
        <v>54</v>
      </c>
      <c r="J437" s="28">
        <v>100</v>
      </c>
      <c r="K437" s="13" t="s">
        <v>150</v>
      </c>
      <c r="L437" s="13" t="s">
        <v>53</v>
      </c>
      <c r="M437" s="13">
        <v>1</v>
      </c>
      <c r="N437" s="13">
        <v>1</v>
      </c>
      <c r="O437" s="13">
        <v>1</v>
      </c>
      <c r="P437" s="13">
        <v>2</v>
      </c>
      <c r="Q437" s="13">
        <v>1</v>
      </c>
      <c r="R437" s="13" t="s">
        <v>73</v>
      </c>
      <c r="S437" s="13" t="s">
        <v>73</v>
      </c>
      <c r="T437" s="13">
        <v>44901</v>
      </c>
      <c r="U437" s="13">
        <v>2958465</v>
      </c>
      <c r="V437" s="13" t="s">
        <v>282</v>
      </c>
      <c r="W437" s="13" t="s">
        <v>145</v>
      </c>
      <c r="Y437" s="13" t="s">
        <v>143</v>
      </c>
      <c r="Z437" s="13">
        <v>7589154</v>
      </c>
      <c r="AA437" s="13">
        <v>760</v>
      </c>
      <c r="AB437" s="13">
        <v>380</v>
      </c>
      <c r="AE437" s="51">
        <f>M437/O437</f>
        <v>1</v>
      </c>
      <c r="AG437" s="6" t="str">
        <f>C437</f>
        <v>90MB1BJ0-C1BAY0</v>
      </c>
      <c r="AH437" s="6" t="str">
        <f>IF($D437&lt;=AH$4,"",IF(AND($D436=AH$4,$D437&gt;AH$4),$F436,AH436))</f>
        <v>59MB1BJB-MB0A02S</v>
      </c>
      <c r="AI437" s="6" t="str">
        <f>IF($D437&lt;=AI$4,"",IF(AND($D436=AI$4,$D437&gt;AI$4),$F436,AI436))</f>
        <v/>
      </c>
      <c r="AJ437" s="6" t="str">
        <f>IF($D437&lt;=AJ$4,"",IF(AND($D436=AJ$4,$D437&gt;AJ$4),$F436,AJ436))</f>
        <v/>
      </c>
      <c r="AK437" s="6" t="str">
        <f>IF($D437&lt;=AK$4,"",IF(AND($D436=AK$4,$D437&gt;AK$4),$F436,AK436))</f>
        <v/>
      </c>
      <c r="AL437" s="6" t="str">
        <f>IF($D437&lt;=AL$4,"",IF(AND($D436=AL$4,$D437&gt;AL$4),$F436,AL436))</f>
        <v/>
      </c>
      <c r="AM437" s="6" t="str">
        <f>IF($D437&lt;=AM$4,"",IF(AND($D436=AM$4,$D437&gt;AM$4),$F436,AM436))</f>
        <v/>
      </c>
      <c r="AN437" s="6" t="str">
        <f>IF($D437&lt;=AN$4,"",IF(AND($D436=AN$4,$D437&gt;AN$4),$F436,AN436))</f>
        <v/>
      </c>
      <c r="AO437" s="6" t="str">
        <f>CONCATENATE(AG437," | ",AH437," | ",AI437," | ",AJ437," | ",AK437," | ",AL437," | ",AM437," | ",AN437)</f>
        <v xml:space="preserve">90MB1BJ0-C1BAY0 | 59MB1BJB-MB0A02S |  |  |  |  |  | </v>
      </c>
      <c r="AP437" s="6">
        <f>IF(TRIM(H437)="",100,J437)</f>
        <v>100</v>
      </c>
      <c r="AQ437" s="4"/>
      <c r="AR437" s="6" t="b">
        <f>NOT(TRIM(W437)&lt;&gt;"F")</f>
        <v>1</v>
      </c>
      <c r="AS437" s="6" t="str">
        <f>$B437&amp;" | "&amp;$AO437&amp;" | "&amp;IF(TRIM(H437)="","uniq"&amp;ROW(),TRIM(H437))</f>
        <v>461E | 90MB1BJ0-C1BAY0 | 59MB1BJB-MB0A02S |  |  |  |  |  |  | F5</v>
      </c>
      <c r="AT437" s="63">
        <f>IF(NOT(AR437),IF(TRIM($H437)="","Assembly","Phantom Alt"),VLOOKUP(F437,ZPCS04!B:G,6,0))</f>
        <v>1272</v>
      </c>
      <c r="AU437" s="7"/>
      <c r="AV437" s="38">
        <f ca="1">IF(TRIM($W437)="F",OFFSET($A$5,MATCH($AS437,$AS$5:$AS437,0)-1,0),$A437)</f>
        <v>436</v>
      </c>
      <c r="AW437" s="38">
        <f ca="1">IFERROR(OFFSET(ZPCS04!$A$1,MATCH(F437,ZPCS04!B:B,0)-1,0),100)</f>
        <v>2</v>
      </c>
      <c r="AX437" s="7"/>
      <c r="AY437" s="6" t="b">
        <f>SUMIF(AS:AS,AS437,AP:AP)=100</f>
        <v>1</v>
      </c>
      <c r="AZ437" s="6" t="b">
        <f>SUMIF(AS:AS,AS437,AE:AE)/COUNTIF(AS:AS,AS437)=AE437</f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>C437&amp;" | "&amp;F437</f>
        <v>90MB1BJ0-C1BAY0 | 10G212681014020</v>
      </c>
      <c r="BE437" s="55" t="str">
        <f ca="1">C437&amp;" | "&amp;OFFSET($AF437,0,8-COUNTBLANK($AG437:$AN437))</f>
        <v>90MB1BJ0-C1BAY0 | 59MB1BJB-MB0A02S</v>
      </c>
      <c r="BF437" s="57">
        <f ca="1">IFERROR(VLOOKUP($BE437,$BD$5:$BF436,3,0)*$AE437,VLOOKUP($C437,Demanda!$A:$B,2,0)*$AE437)*IF(AT437="Phantom Alt",$BC437,TRUE)</f>
        <v>1000</v>
      </c>
      <c r="BG437" s="57">
        <f ca="1">BF437*(AP437/100)</f>
        <v>1000</v>
      </c>
      <c r="BH437" s="57">
        <f>SUMIF(Invoice!A:A,F437,Invoice!B:B)</f>
        <v>0</v>
      </c>
      <c r="BI437" s="57">
        <f ca="1">SUMIF(AS:AS,AS437,BG:BG)</f>
        <v>1000</v>
      </c>
      <c r="BJ437" s="57">
        <f ca="1">MIN((BI437-SUMIF($AS$5:AS436,AS437,$BJ$5:BJ436)),MAX(0,BH437-SUMIF($F$5:F436,F437,$BJ$5:BJ436)))</f>
        <v>0</v>
      </c>
      <c r="BK437" s="57">
        <f ca="1">(-SUMIF(AS:AS,AS437,BG:BG)+SUMIF(AS:AS,AS437,BJ:BJ))*(AP437=100)*AR437</f>
        <v>0</v>
      </c>
      <c r="BL437" s="57">
        <f ca="1">MAX(0,SUMIF(Invoice!A:A,F437,Invoice!B:B)-SUMIF(F:F,F437,BJ:BJ))*(COUNTIF(F:F,F437)=COUNTIF($F$5:F437,F437))</f>
        <v>0</v>
      </c>
    </row>
    <row r="438" spans="1:64" hidden="1">
      <c r="A438" s="43">
        <v>438</v>
      </c>
      <c r="B438" s="13" t="s">
        <v>147</v>
      </c>
      <c r="C438" s="13" t="s">
        <v>146</v>
      </c>
      <c r="D438" s="13">
        <v>2</v>
      </c>
      <c r="E438" s="13">
        <v>1550</v>
      </c>
      <c r="F438" s="71" t="s">
        <v>1077</v>
      </c>
      <c r="G438" s="71" t="s">
        <v>1078</v>
      </c>
      <c r="H438" s="13" t="s">
        <v>1074</v>
      </c>
      <c r="I438" s="13" t="s">
        <v>55</v>
      </c>
      <c r="J438" s="28">
        <v>0</v>
      </c>
      <c r="K438" s="13" t="s">
        <v>150</v>
      </c>
      <c r="L438" s="13" t="s">
        <v>53</v>
      </c>
      <c r="M438" s="13">
        <v>1</v>
      </c>
      <c r="O438" s="13">
        <v>1</v>
      </c>
      <c r="P438" s="13">
        <v>2</v>
      </c>
      <c r="Q438" s="13">
        <v>2</v>
      </c>
      <c r="R438" s="13" t="s">
        <v>73</v>
      </c>
      <c r="S438" s="13" t="s">
        <v>73</v>
      </c>
      <c r="T438" s="13">
        <v>44901</v>
      </c>
      <c r="U438" s="13">
        <v>2958465</v>
      </c>
      <c r="V438" s="13" t="s">
        <v>282</v>
      </c>
      <c r="W438" s="13" t="s">
        <v>145</v>
      </c>
      <c r="Y438" s="13" t="s">
        <v>143</v>
      </c>
      <c r="Z438" s="13">
        <v>7589154</v>
      </c>
      <c r="AA438" s="13">
        <v>762</v>
      </c>
      <c r="AB438" s="13">
        <v>381</v>
      </c>
      <c r="AE438" s="51">
        <f>M438/O438</f>
        <v>1</v>
      </c>
      <c r="AG438" s="6" t="str">
        <f>C438</f>
        <v>90MB1BJ0-C1BAY0</v>
      </c>
      <c r="AH438" s="6" t="str">
        <f>IF($D438&lt;=AH$4,"",IF(AND($D437=AH$4,$D438&gt;AH$4),$F437,AH437))</f>
        <v>59MB1BJB-MB0A02S</v>
      </c>
      <c r="AI438" s="6" t="str">
        <f>IF($D438&lt;=AI$4,"",IF(AND($D437=AI$4,$D438&gt;AI$4),$F437,AI437))</f>
        <v/>
      </c>
      <c r="AJ438" s="6" t="str">
        <f>IF($D438&lt;=AJ$4,"",IF(AND($D437=AJ$4,$D438&gt;AJ$4),$F437,AJ437))</f>
        <v/>
      </c>
      <c r="AK438" s="6" t="str">
        <f>IF($D438&lt;=AK$4,"",IF(AND($D437=AK$4,$D438&gt;AK$4),$F437,AK437))</f>
        <v/>
      </c>
      <c r="AL438" s="6" t="str">
        <f>IF($D438&lt;=AL$4,"",IF(AND($D437=AL$4,$D438&gt;AL$4),$F437,AL437))</f>
        <v/>
      </c>
      <c r="AM438" s="6" t="str">
        <f>IF($D438&lt;=AM$4,"",IF(AND($D437=AM$4,$D438&gt;AM$4),$F437,AM437))</f>
        <v/>
      </c>
      <c r="AN438" s="6" t="str">
        <f>IF($D438&lt;=AN$4,"",IF(AND($D437=AN$4,$D438&gt;AN$4),$F437,AN437))</f>
        <v/>
      </c>
      <c r="AO438" s="6" t="str">
        <f>CONCATENATE(AG438," | ",AH438," | ",AI438," | ",AJ438," | ",AK438," | ",AL438," | ",AM438," | ",AN438)</f>
        <v xml:space="preserve">90MB1BJ0-C1BAY0 | 59MB1BJB-MB0A02S |  |  |  |  |  | </v>
      </c>
      <c r="AP438" s="6">
        <f>IF(TRIM(H438)="",100,J438)</f>
        <v>0</v>
      </c>
      <c r="AQ438" s="4"/>
      <c r="AR438" s="6" t="b">
        <f>NOT(TRIM(W438)&lt;&gt;"F")</f>
        <v>1</v>
      </c>
      <c r="AS438" s="6" t="str">
        <f>$B438&amp;" | "&amp;$AO438&amp;" | "&amp;IF(TRIM(H438)="","uniq"&amp;ROW(),TRIM(H438))</f>
        <v>461E | 90MB1BJ0-C1BAY0 | 59MB1BJB-MB0A02S |  |  |  |  |  |  | F5</v>
      </c>
      <c r="AT438" s="63">
        <f>IF(NOT(AR438),IF(TRIM($H438)="","Assembly","Phantom Alt"),VLOOKUP(F438,ZPCS04!B:G,6,0))</f>
        <v>1272</v>
      </c>
      <c r="AU438" s="7"/>
      <c r="AV438" s="38">
        <f ca="1">IF(TRIM($W438)="F",OFFSET($A$5,MATCH($AS438,$AS$5:$AS438,0)-1,0),$A438)</f>
        <v>436</v>
      </c>
      <c r="AW438" s="38">
        <f ca="1">IFERROR(OFFSET(ZPCS04!$A$1,MATCH(F438,ZPCS04!B:B,0)-1,0),100)</f>
        <v>2</v>
      </c>
      <c r="AX438" s="7"/>
      <c r="AY438" s="6" t="b">
        <f>SUMIF(AS:AS,AS438,AP:AP)=100</f>
        <v>1</v>
      </c>
      <c r="AZ438" s="6" t="b">
        <f>SUMIF(AS:AS,AS438,AE:AE)/COUNTIF(AS:AS,AS438)=AE438</f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>C438&amp;" | "&amp;F438</f>
        <v>90MB1BJ0-C1BAY0 | 10G212681014050</v>
      </c>
      <c r="BE438" s="55" t="str">
        <f ca="1">C438&amp;" | "&amp;OFFSET($AF438,0,8-COUNTBLANK($AG438:$AN438))</f>
        <v>90MB1BJ0-C1BAY0 | 59MB1BJB-MB0A02S</v>
      </c>
      <c r="BF438" s="57">
        <f ca="1">IFERROR(VLOOKUP($BE438,$BD$5:$BF437,3,0)*$AE438,VLOOKUP($C438,Demanda!$A:$B,2,0)*$AE438)*IF(AT438="Phantom Alt",$BC438,TRUE)</f>
        <v>1000</v>
      </c>
      <c r="BG438" s="57">
        <f ca="1">BF438*(AP438/100)</f>
        <v>0</v>
      </c>
      <c r="BH438" s="57">
        <f>SUMIF(Invoice!A:A,F438,Invoice!B:B)</f>
        <v>0</v>
      </c>
      <c r="BI438" s="57">
        <f ca="1">SUMIF(AS:AS,AS438,BG:BG)</f>
        <v>1000</v>
      </c>
      <c r="BJ438" s="57">
        <f ca="1">MIN((BI438-SUMIF($AS$5:AS437,AS438,$BJ$5:BJ437)),MAX(0,BH438-SUMIF($F$5:F437,F438,$BJ$5:BJ437)))</f>
        <v>0</v>
      </c>
      <c r="BK438" s="57">
        <f ca="1">(-SUMIF(AS:AS,AS438,BG:BG)+SUMIF(AS:AS,AS438,BJ:BJ))*(AP438=100)*AR438</f>
        <v>0</v>
      </c>
      <c r="BL438" s="57">
        <f ca="1">MAX(0,SUMIF(Invoice!A:A,F438,Invoice!B:B)-SUMIF(F:F,F438,BJ:BJ))*(COUNTIF(F:F,F438)=COUNTIF($F$5:F438,F438))</f>
        <v>0</v>
      </c>
    </row>
    <row r="439" spans="1:64" hidden="1">
      <c r="A439" s="43">
        <v>439</v>
      </c>
      <c r="B439" s="13" t="s">
        <v>147</v>
      </c>
      <c r="C439" s="13" t="s">
        <v>146</v>
      </c>
      <c r="D439" s="13">
        <v>2</v>
      </c>
      <c r="E439" s="13">
        <v>1560</v>
      </c>
      <c r="F439" s="71" t="s">
        <v>1079</v>
      </c>
      <c r="G439" s="71" t="s">
        <v>1080</v>
      </c>
      <c r="H439" s="13" t="s">
        <v>1081</v>
      </c>
      <c r="I439" s="13" t="s">
        <v>54</v>
      </c>
      <c r="J439" s="28">
        <v>100</v>
      </c>
      <c r="K439" s="13" t="s">
        <v>489</v>
      </c>
      <c r="L439" s="13" t="s">
        <v>53</v>
      </c>
      <c r="M439" s="13">
        <v>1</v>
      </c>
      <c r="N439" s="13">
        <v>1</v>
      </c>
      <c r="O439" s="13">
        <v>1</v>
      </c>
      <c r="P439" s="13">
        <v>2</v>
      </c>
      <c r="Q439" s="13">
        <v>1</v>
      </c>
      <c r="R439" s="13" t="s">
        <v>122</v>
      </c>
      <c r="S439" s="13" t="s">
        <v>122</v>
      </c>
      <c r="T439" s="13">
        <v>44901</v>
      </c>
      <c r="U439" s="13">
        <v>2958465</v>
      </c>
      <c r="V439" s="13" t="s">
        <v>282</v>
      </c>
      <c r="W439" s="13" t="s">
        <v>145</v>
      </c>
      <c r="Y439" s="13" t="s">
        <v>143</v>
      </c>
      <c r="Z439" s="13">
        <v>7589154</v>
      </c>
      <c r="AA439" s="13">
        <v>766</v>
      </c>
      <c r="AB439" s="13">
        <v>383</v>
      </c>
      <c r="AE439" s="51">
        <f>M439/O439</f>
        <v>1</v>
      </c>
      <c r="AG439" s="6" t="str">
        <f>C439</f>
        <v>90MB1BJ0-C1BAY0</v>
      </c>
      <c r="AH439" s="6" t="str">
        <f>IF($D439&lt;=AH$4,"",IF(AND($D438=AH$4,$D439&gt;AH$4),$F438,AH438))</f>
        <v>59MB1BJB-MB0A02S</v>
      </c>
      <c r="AI439" s="6" t="str">
        <f>IF($D439&lt;=AI$4,"",IF(AND($D438=AI$4,$D439&gt;AI$4),$F438,AI438))</f>
        <v/>
      </c>
      <c r="AJ439" s="6" t="str">
        <f>IF($D439&lt;=AJ$4,"",IF(AND($D438=AJ$4,$D439&gt;AJ$4),$F438,AJ438))</f>
        <v/>
      </c>
      <c r="AK439" s="6" t="str">
        <f>IF($D439&lt;=AK$4,"",IF(AND($D438=AK$4,$D439&gt;AK$4),$F438,AK438))</f>
        <v/>
      </c>
      <c r="AL439" s="6" t="str">
        <f>IF($D439&lt;=AL$4,"",IF(AND($D438=AL$4,$D439&gt;AL$4),$F438,AL438))</f>
        <v/>
      </c>
      <c r="AM439" s="6" t="str">
        <f>IF($D439&lt;=AM$4,"",IF(AND($D438=AM$4,$D439&gt;AM$4),$F438,AM438))</f>
        <v/>
      </c>
      <c r="AN439" s="6" t="str">
        <f>IF($D439&lt;=AN$4,"",IF(AND($D438=AN$4,$D439&gt;AN$4),$F438,AN438))</f>
        <v/>
      </c>
      <c r="AO439" s="6" t="str">
        <f>CONCATENATE(AG439," | ",AH439," | ",AI439," | ",AJ439," | ",AK439," | ",AL439," | ",AM439," | ",AN439)</f>
        <v xml:space="preserve">90MB1BJ0-C1BAY0 | 59MB1BJB-MB0A02S |  |  |  |  |  | </v>
      </c>
      <c r="AP439" s="6">
        <f>IF(TRIM(H439)="",100,J439)</f>
        <v>100</v>
      </c>
      <c r="AQ439" s="4"/>
      <c r="AR439" s="6" t="b">
        <f>NOT(TRIM(W439)&lt;&gt;"F")</f>
        <v>1</v>
      </c>
      <c r="AS439" s="6" t="str">
        <f>$B439&amp;" | "&amp;$AO439&amp;" | "&amp;IF(TRIM(H439)="","uniq"&amp;ROW(),TRIM(H439))</f>
        <v>461E | 90MB1BJ0-C1BAY0 | 59MB1BJB-MB0A02S |  |  |  |  |  |  | F6</v>
      </c>
      <c r="AT439" s="63">
        <f>IF(NOT(AR439),IF(TRIM($H439)="","Assembly","Phantom Alt"),VLOOKUP(F439,ZPCS04!B:G,6,0))</f>
        <v>701</v>
      </c>
      <c r="AU439" s="7"/>
      <c r="AV439" s="38">
        <f ca="1">IF(TRIM($W439)="F",OFFSET($A$5,MATCH($AS439,$AS$5:$AS439,0)-1,0),$A439)</f>
        <v>439</v>
      </c>
      <c r="AW439" s="38">
        <f ca="1">IFERROR(OFFSET(ZPCS04!$A$1,MATCH(F439,ZPCS04!B:B,0)-1,0),100)</f>
        <v>1.9999999000000002</v>
      </c>
      <c r="AX439" s="7"/>
      <c r="AY439" s="6" t="b">
        <f>SUMIF(AS:AS,AS439,AP:AP)=100</f>
        <v>1</v>
      </c>
      <c r="AZ439" s="6" t="b">
        <f>SUMIF(AS:AS,AS439,AE:AE)/COUNTIF(AS:AS,AS439)=AE439</f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>C439&amp;" | "&amp;F439</f>
        <v>90MB1BJ0-C1BAY0 | 10G21275R014010</v>
      </c>
      <c r="BE439" s="55" t="str">
        <f ca="1">C439&amp;" | "&amp;OFFSET($AF439,0,8-COUNTBLANK($AG439:$AN439))</f>
        <v>90MB1BJ0-C1BAY0 | 59MB1BJB-MB0A02S</v>
      </c>
      <c r="BF439" s="57">
        <f ca="1">IFERROR(VLOOKUP($BE439,$BD$5:$BF438,3,0)*$AE439,VLOOKUP($C439,Demanda!$A:$B,2,0)*$AE439)*IF(AT439="Phantom Alt",$BC439,TRUE)</f>
        <v>1000</v>
      </c>
      <c r="BG439" s="57">
        <f ca="1">BF439*(AP439/100)</f>
        <v>1000</v>
      </c>
      <c r="BH439" s="57">
        <f>SUMIF(Invoice!A:A,F439,Invoice!B:B)</f>
        <v>10000</v>
      </c>
      <c r="BI439" s="57">
        <f ca="1">SUMIF(AS:AS,AS439,BG:BG)</f>
        <v>1000</v>
      </c>
      <c r="BJ439" s="57">
        <f ca="1">MIN((BI439-SUMIF($AS$5:AS438,AS439,$BJ$5:BJ438)),MAX(0,BH439-SUMIF($F$5:F438,F439,$BJ$5:BJ438)))</f>
        <v>1000</v>
      </c>
      <c r="BK439" s="57">
        <f ca="1">(-SUMIF(AS:AS,AS439,BG:BG)+SUMIF(AS:AS,AS439,BJ:BJ))*(AP439=100)*AR439</f>
        <v>0</v>
      </c>
      <c r="BL439" s="57">
        <f ca="1">MAX(0,SUMIF(Invoice!A:A,F439,Invoice!B:B)-SUMIF(F:F,F439,BJ:BJ))*(COUNTIF(F:F,F439)=COUNTIF($F$5:F439,F439))</f>
        <v>9000</v>
      </c>
    </row>
    <row r="440" spans="1:64" hidden="1">
      <c r="A440" s="43">
        <v>440</v>
      </c>
      <c r="B440" s="13" t="s">
        <v>147</v>
      </c>
      <c r="C440" s="13" t="s">
        <v>146</v>
      </c>
      <c r="D440" s="13">
        <v>2</v>
      </c>
      <c r="E440" s="13">
        <v>1560</v>
      </c>
      <c r="F440" s="71" t="s">
        <v>1082</v>
      </c>
      <c r="G440" s="71" t="s">
        <v>1083</v>
      </c>
      <c r="H440" s="13" t="s">
        <v>1081</v>
      </c>
      <c r="I440" s="13" t="s">
        <v>55</v>
      </c>
      <c r="J440" s="28">
        <v>0</v>
      </c>
      <c r="K440" s="13" t="s">
        <v>489</v>
      </c>
      <c r="L440" s="13" t="s">
        <v>53</v>
      </c>
      <c r="M440" s="13">
        <v>1</v>
      </c>
      <c r="O440" s="13">
        <v>1</v>
      </c>
      <c r="P440" s="13">
        <v>2</v>
      </c>
      <c r="Q440" s="13">
        <v>3</v>
      </c>
      <c r="R440" s="13" t="s">
        <v>122</v>
      </c>
      <c r="S440" s="13" t="s">
        <v>122</v>
      </c>
      <c r="T440" s="13">
        <v>44901</v>
      </c>
      <c r="U440" s="13">
        <v>2958465</v>
      </c>
      <c r="V440" s="13" t="s">
        <v>282</v>
      </c>
      <c r="W440" s="13" t="s">
        <v>145</v>
      </c>
      <c r="Y440" s="13" t="s">
        <v>143</v>
      </c>
      <c r="Z440" s="13">
        <v>7589154</v>
      </c>
      <c r="AA440" s="13">
        <v>770</v>
      </c>
      <c r="AB440" s="13">
        <v>385</v>
      </c>
      <c r="AE440" s="51">
        <f>M440/O440</f>
        <v>1</v>
      </c>
      <c r="AG440" s="6" t="str">
        <f>C440</f>
        <v>90MB1BJ0-C1BAY0</v>
      </c>
      <c r="AH440" s="6" t="str">
        <f>IF($D440&lt;=AH$4,"",IF(AND($D439=AH$4,$D440&gt;AH$4),$F439,AH439))</f>
        <v>59MB1BJB-MB0A02S</v>
      </c>
      <c r="AI440" s="6" t="str">
        <f>IF($D440&lt;=AI$4,"",IF(AND($D439=AI$4,$D440&gt;AI$4),$F439,AI439))</f>
        <v/>
      </c>
      <c r="AJ440" s="6" t="str">
        <f>IF($D440&lt;=AJ$4,"",IF(AND($D439=AJ$4,$D440&gt;AJ$4),$F439,AJ439))</f>
        <v/>
      </c>
      <c r="AK440" s="6" t="str">
        <f>IF($D440&lt;=AK$4,"",IF(AND($D439=AK$4,$D440&gt;AK$4),$F439,AK439))</f>
        <v/>
      </c>
      <c r="AL440" s="6" t="str">
        <f>IF($D440&lt;=AL$4,"",IF(AND($D439=AL$4,$D440&gt;AL$4),$F439,AL439))</f>
        <v/>
      </c>
      <c r="AM440" s="6" t="str">
        <f>IF($D440&lt;=AM$4,"",IF(AND($D439=AM$4,$D440&gt;AM$4),$F439,AM439))</f>
        <v/>
      </c>
      <c r="AN440" s="6" t="str">
        <f>IF($D440&lt;=AN$4,"",IF(AND($D439=AN$4,$D440&gt;AN$4),$F439,AN439))</f>
        <v/>
      </c>
      <c r="AO440" s="6" t="str">
        <f>CONCATENATE(AG440," | ",AH440," | ",AI440," | ",AJ440," | ",AK440," | ",AL440," | ",AM440," | ",AN440)</f>
        <v xml:space="preserve">90MB1BJ0-C1BAY0 | 59MB1BJB-MB0A02S |  |  |  |  |  | </v>
      </c>
      <c r="AP440" s="6">
        <f>IF(TRIM(H440)="",100,J440)</f>
        <v>0</v>
      </c>
      <c r="AQ440" s="4"/>
      <c r="AR440" s="6" t="b">
        <f>NOT(TRIM(W440)&lt;&gt;"F")</f>
        <v>1</v>
      </c>
      <c r="AS440" s="6" t="str">
        <f>$B440&amp;" | "&amp;$AO440&amp;" | "&amp;IF(TRIM(H440)="","uniq"&amp;ROW(),TRIM(H440))</f>
        <v>461E | 90MB1BJ0-C1BAY0 | 59MB1BJB-MB0A02S |  |  |  |  |  |  | F6</v>
      </c>
      <c r="AT440" s="63">
        <f>IF(NOT(AR440),IF(TRIM($H440)="","Assembly","Phantom Alt"),VLOOKUP(F440,ZPCS04!B:G,6,0))</f>
        <v>701</v>
      </c>
      <c r="AU440" s="7"/>
      <c r="AV440" s="38">
        <f ca="1">IF(TRIM($W440)="F",OFFSET($A$5,MATCH($AS440,$AS$5:$AS440,0)-1,0),$A440)</f>
        <v>439</v>
      </c>
      <c r="AW440" s="38">
        <f ca="1">IFERROR(OFFSET(ZPCS04!$A$1,MATCH(F440,ZPCS04!B:B,0)-1,0),100)</f>
        <v>2</v>
      </c>
      <c r="AX440" s="7"/>
      <c r="AY440" s="6" t="b">
        <f>SUMIF(AS:AS,AS440,AP:AP)=100</f>
        <v>1</v>
      </c>
      <c r="AZ440" s="6" t="b">
        <f>SUMIF(AS:AS,AS440,AE:AE)/COUNTIF(AS:AS,AS440)=AE440</f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>C440&amp;" | "&amp;F440</f>
        <v>90MB1BJ0-C1BAY0 | 10G21275R014020</v>
      </c>
      <c r="BE440" s="55" t="str">
        <f ca="1">C440&amp;" | "&amp;OFFSET($AF440,0,8-COUNTBLANK($AG440:$AN440))</f>
        <v>90MB1BJ0-C1BAY0 | 59MB1BJB-MB0A02S</v>
      </c>
      <c r="BF440" s="57">
        <f ca="1">IFERROR(VLOOKUP($BE440,$BD$5:$BF439,3,0)*$AE440,VLOOKUP($C440,Demanda!$A:$B,2,0)*$AE440)*IF(AT440="Phantom Alt",$BC440,TRUE)</f>
        <v>1000</v>
      </c>
      <c r="BG440" s="57">
        <f ca="1">BF440*(AP440/100)</f>
        <v>0</v>
      </c>
      <c r="BH440" s="57">
        <f>SUMIF(Invoice!A:A,F440,Invoice!B:B)</f>
        <v>0</v>
      </c>
      <c r="BI440" s="57">
        <f ca="1">SUMIF(AS:AS,AS440,BG:BG)</f>
        <v>1000</v>
      </c>
      <c r="BJ440" s="57">
        <f ca="1">MIN((BI440-SUMIF($AS$5:AS439,AS440,$BJ$5:BJ439)),MAX(0,BH440-SUMIF($F$5:F439,F440,$BJ$5:BJ439)))</f>
        <v>0</v>
      </c>
      <c r="BK440" s="57">
        <f ca="1">(-SUMIF(AS:AS,AS440,BG:BG)+SUMIF(AS:AS,AS440,BJ:BJ))*(AP440=100)*AR440</f>
        <v>0</v>
      </c>
      <c r="BL440" s="57">
        <f ca="1">MAX(0,SUMIF(Invoice!A:A,F440,Invoice!B:B)-SUMIF(F:F,F440,BJ:BJ))*(COUNTIF(F:F,F440)=COUNTIF($F$5:F440,F440))</f>
        <v>0</v>
      </c>
    </row>
    <row r="441" spans="1:64" hidden="1">
      <c r="A441" s="43">
        <v>441</v>
      </c>
      <c r="B441" s="13" t="s">
        <v>147</v>
      </c>
      <c r="C441" s="13" t="s">
        <v>146</v>
      </c>
      <c r="D441" s="13">
        <v>2</v>
      </c>
      <c r="E441" s="13">
        <v>1560</v>
      </c>
      <c r="F441" s="71" t="s">
        <v>1084</v>
      </c>
      <c r="G441" s="71" t="s">
        <v>1085</v>
      </c>
      <c r="H441" s="13" t="s">
        <v>1081</v>
      </c>
      <c r="I441" s="13" t="s">
        <v>55</v>
      </c>
      <c r="J441" s="28">
        <v>0</v>
      </c>
      <c r="K441" s="13" t="s">
        <v>150</v>
      </c>
      <c r="L441" s="13" t="s">
        <v>53</v>
      </c>
      <c r="M441" s="13">
        <v>1</v>
      </c>
      <c r="O441" s="13">
        <v>1</v>
      </c>
      <c r="P441" s="13">
        <v>2</v>
      </c>
      <c r="Q441" s="13">
        <v>2</v>
      </c>
      <c r="R441" s="13" t="s">
        <v>73</v>
      </c>
      <c r="S441" s="13" t="s">
        <v>73</v>
      </c>
      <c r="T441" s="13">
        <v>44901</v>
      </c>
      <c r="U441" s="13">
        <v>2958465</v>
      </c>
      <c r="V441" s="13" t="s">
        <v>282</v>
      </c>
      <c r="W441" s="13" t="s">
        <v>145</v>
      </c>
      <c r="Y441" s="13" t="s">
        <v>143</v>
      </c>
      <c r="Z441" s="13">
        <v>7589154</v>
      </c>
      <c r="AA441" s="13">
        <v>768</v>
      </c>
      <c r="AB441" s="13">
        <v>384</v>
      </c>
      <c r="AE441" s="51">
        <f>M441/O441</f>
        <v>1</v>
      </c>
      <c r="AG441" s="6" t="str">
        <f>C441</f>
        <v>90MB1BJ0-C1BAY0</v>
      </c>
      <c r="AH441" s="6" t="str">
        <f>IF($D441&lt;=AH$4,"",IF(AND($D440=AH$4,$D441&gt;AH$4),$F440,AH440))</f>
        <v>59MB1BJB-MB0A02S</v>
      </c>
      <c r="AI441" s="6" t="str">
        <f>IF($D441&lt;=AI$4,"",IF(AND($D440=AI$4,$D441&gt;AI$4),$F440,AI440))</f>
        <v/>
      </c>
      <c r="AJ441" s="6" t="str">
        <f>IF($D441&lt;=AJ$4,"",IF(AND($D440=AJ$4,$D441&gt;AJ$4),$F440,AJ440))</f>
        <v/>
      </c>
      <c r="AK441" s="6" t="str">
        <f>IF($D441&lt;=AK$4,"",IF(AND($D440=AK$4,$D441&gt;AK$4),$F440,AK440))</f>
        <v/>
      </c>
      <c r="AL441" s="6" t="str">
        <f>IF($D441&lt;=AL$4,"",IF(AND($D440=AL$4,$D441&gt;AL$4),$F440,AL440))</f>
        <v/>
      </c>
      <c r="AM441" s="6" t="str">
        <f>IF($D441&lt;=AM$4,"",IF(AND($D440=AM$4,$D441&gt;AM$4),$F440,AM440))</f>
        <v/>
      </c>
      <c r="AN441" s="6" t="str">
        <f>IF($D441&lt;=AN$4,"",IF(AND($D440=AN$4,$D441&gt;AN$4),$F440,AN440))</f>
        <v/>
      </c>
      <c r="AO441" s="6" t="str">
        <f>CONCATENATE(AG441," | ",AH441," | ",AI441," | ",AJ441," | ",AK441," | ",AL441," | ",AM441," | ",AN441)</f>
        <v xml:space="preserve">90MB1BJ0-C1BAY0 | 59MB1BJB-MB0A02S |  |  |  |  |  | </v>
      </c>
      <c r="AP441" s="6">
        <f>IF(TRIM(H441)="",100,J441)</f>
        <v>0</v>
      </c>
      <c r="AQ441" s="4"/>
      <c r="AR441" s="6" t="b">
        <f>NOT(TRIM(W441)&lt;&gt;"F")</f>
        <v>1</v>
      </c>
      <c r="AS441" s="6" t="str">
        <f>$B441&amp;" | "&amp;$AO441&amp;" | "&amp;IF(TRIM(H441)="","uniq"&amp;ROW(),TRIM(H441))</f>
        <v>461E | 90MB1BJ0-C1BAY0 | 59MB1BJB-MB0A02S |  |  |  |  |  |  | F6</v>
      </c>
      <c r="AT441" s="63">
        <f>IF(NOT(AR441),IF(TRIM($H441)="","Assembly","Phantom Alt"),VLOOKUP(F441,ZPCS04!B:G,6,0))</f>
        <v>701</v>
      </c>
      <c r="AU441" s="7"/>
      <c r="AV441" s="38">
        <f ca="1">IF(TRIM($W441)="F",OFFSET($A$5,MATCH($AS441,$AS$5:$AS441,0)-1,0),$A441)</f>
        <v>439</v>
      </c>
      <c r="AW441" s="38">
        <f ca="1">IFERROR(OFFSET(ZPCS04!$A$1,MATCH(F441,ZPCS04!B:B,0)-1,0),100)</f>
        <v>2</v>
      </c>
      <c r="AX441" s="7"/>
      <c r="AY441" s="6" t="b">
        <f>SUMIF(AS:AS,AS441,AP:AP)=100</f>
        <v>1</v>
      </c>
      <c r="AZ441" s="6" t="b">
        <f>SUMIF(AS:AS,AS441,AE:AE)/COUNTIF(AS:AS,AS441)=AE441</f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>C441&amp;" | "&amp;F441</f>
        <v>90MB1BJ0-C1BAY0 | 10G21275R014050</v>
      </c>
      <c r="BE441" s="55" t="str">
        <f ca="1">C441&amp;" | "&amp;OFFSET($AF441,0,8-COUNTBLANK($AG441:$AN441))</f>
        <v>90MB1BJ0-C1BAY0 | 59MB1BJB-MB0A02S</v>
      </c>
      <c r="BF441" s="57">
        <f ca="1">IFERROR(VLOOKUP($BE441,$BD$5:$BF440,3,0)*$AE441,VLOOKUP($C441,Demanda!$A:$B,2,0)*$AE441)*IF(AT441="Phantom Alt",$BC441,TRUE)</f>
        <v>1000</v>
      </c>
      <c r="BG441" s="57">
        <f ca="1">BF441*(AP441/100)</f>
        <v>0</v>
      </c>
      <c r="BH441" s="57">
        <f>SUMIF(Invoice!A:A,F441,Invoice!B:B)</f>
        <v>0</v>
      </c>
      <c r="BI441" s="57">
        <f ca="1">SUMIF(AS:AS,AS441,BG:BG)</f>
        <v>1000</v>
      </c>
      <c r="BJ441" s="57">
        <f ca="1">MIN((BI441-SUMIF($AS$5:AS440,AS441,$BJ$5:BJ440)),MAX(0,BH441-SUMIF($F$5:F440,F441,$BJ$5:BJ440)))</f>
        <v>0</v>
      </c>
      <c r="BK441" s="57">
        <f ca="1">(-SUMIF(AS:AS,AS441,BG:BG)+SUMIF(AS:AS,AS441,BJ:BJ))*(AP441=100)*AR441</f>
        <v>0</v>
      </c>
      <c r="BL441" s="57">
        <f ca="1">MAX(0,SUMIF(Invoice!A:A,F441,Invoice!B:B)-SUMIF(F:F,F441,BJ:BJ))*(COUNTIF(F:F,F441)=COUNTIF($F$5:F441,F441))</f>
        <v>0</v>
      </c>
    </row>
    <row r="442" spans="1:64" hidden="1">
      <c r="A442" s="43">
        <v>443</v>
      </c>
      <c r="B442" s="13" t="s">
        <v>147</v>
      </c>
      <c r="C442" s="13" t="s">
        <v>146</v>
      </c>
      <c r="D442" s="13">
        <v>2</v>
      </c>
      <c r="E442" s="13">
        <v>1570</v>
      </c>
      <c r="F442" s="71" t="s">
        <v>1089</v>
      </c>
      <c r="G442" s="71" t="s">
        <v>1090</v>
      </c>
      <c r="H442" s="13" t="s">
        <v>1088</v>
      </c>
      <c r="I442" s="13" t="s">
        <v>55</v>
      </c>
      <c r="J442" s="28">
        <v>0</v>
      </c>
      <c r="K442" s="13" t="s">
        <v>489</v>
      </c>
      <c r="L442" s="13" t="s">
        <v>53</v>
      </c>
      <c r="M442" s="13">
        <v>161</v>
      </c>
      <c r="O442" s="13">
        <v>1</v>
      </c>
      <c r="P442" s="13">
        <v>2</v>
      </c>
      <c r="Q442" s="13">
        <v>2</v>
      </c>
      <c r="R442" s="13" t="s">
        <v>122</v>
      </c>
      <c r="S442" s="13" t="s">
        <v>122</v>
      </c>
      <c r="T442" s="13">
        <v>44901</v>
      </c>
      <c r="U442" s="13">
        <v>2958465</v>
      </c>
      <c r="V442" s="13" t="s">
        <v>282</v>
      </c>
      <c r="W442" s="13" t="s">
        <v>145</v>
      </c>
      <c r="Y442" s="13" t="s">
        <v>143</v>
      </c>
      <c r="Z442" s="13">
        <v>7589154</v>
      </c>
      <c r="AA442" s="13">
        <v>774</v>
      </c>
      <c r="AB442" s="13">
        <v>387</v>
      </c>
      <c r="AE442" s="51">
        <f>M442/O442</f>
        <v>161</v>
      </c>
      <c r="AG442" s="6" t="str">
        <f>C442</f>
        <v>90MB1BJ0-C1BAY0</v>
      </c>
      <c r="AH442" s="6" t="str">
        <f>IF($D442&lt;=AH$4,"",IF(AND($D441=AH$4,$D442&gt;AH$4),$F441,AH441))</f>
        <v>59MB1BJB-MB0A02S</v>
      </c>
      <c r="AI442" s="6" t="str">
        <f>IF($D442&lt;=AI$4,"",IF(AND($D441=AI$4,$D442&gt;AI$4),$F441,AI441))</f>
        <v/>
      </c>
      <c r="AJ442" s="6" t="str">
        <f>IF($D442&lt;=AJ$4,"",IF(AND($D441=AJ$4,$D442&gt;AJ$4),$F441,AJ441))</f>
        <v/>
      </c>
      <c r="AK442" s="6" t="str">
        <f>IF($D442&lt;=AK$4,"",IF(AND($D441=AK$4,$D442&gt;AK$4),$F441,AK441))</f>
        <v/>
      </c>
      <c r="AL442" s="6" t="str">
        <f>IF($D442&lt;=AL$4,"",IF(AND($D441=AL$4,$D442&gt;AL$4),$F441,AL441))</f>
        <v/>
      </c>
      <c r="AM442" s="6" t="str">
        <f>IF($D442&lt;=AM$4,"",IF(AND($D441=AM$4,$D442&gt;AM$4),$F441,AM441))</f>
        <v/>
      </c>
      <c r="AN442" s="6" t="str">
        <f>IF($D442&lt;=AN$4,"",IF(AND($D441=AN$4,$D442&gt;AN$4),$F441,AN441))</f>
        <v/>
      </c>
      <c r="AO442" s="6" t="str">
        <f>CONCATENATE(AG442," | ",AH442," | ",AI442," | ",AJ442," | ",AK442," | ",AL442," | ",AM442," | ",AN442)</f>
        <v xml:space="preserve">90MB1BJ0-C1BAY0 | 59MB1BJB-MB0A02S |  |  |  |  |  | </v>
      </c>
      <c r="AP442" s="6">
        <f>IF(TRIM(H442)="",100,J442)</f>
        <v>0</v>
      </c>
      <c r="AQ442" s="4"/>
      <c r="AR442" s="6" t="b">
        <f>NOT(TRIM(W442)&lt;&gt;"F")</f>
        <v>1</v>
      </c>
      <c r="AS442" s="6" t="str">
        <f>$B442&amp;" | "&amp;$AO442&amp;" | "&amp;IF(TRIM(H442)="","uniq"&amp;ROW(),TRIM(H442))</f>
        <v>461E | 90MB1BJ0-C1BAY0 | 59MB1BJB-MB0A02S |  |  |  |  |  |  | F7</v>
      </c>
      <c r="AT442" s="63">
        <f>IF(NOT(AR442),IF(TRIM($H442)="","Assembly","Phantom Alt"),VLOOKUP(F442,ZPCS04!B:G,6,0))</f>
        <v>703</v>
      </c>
      <c r="AU442" s="7"/>
      <c r="AV442" s="38">
        <f ca="1">IF(TRIM($W442)="F",OFFSET($A$5,MATCH($AS442,$AS$5:$AS442,0)-1,0),$A442)</f>
        <v>443</v>
      </c>
      <c r="AW442" s="38">
        <f ca="1">IFERROR(OFFSET(ZPCS04!$A$1,MATCH(F442,ZPCS04!B:B,0)-1,0),100)</f>
        <v>1.9999983000000001</v>
      </c>
      <c r="AX442" s="7"/>
      <c r="AY442" s="6" t="b">
        <f>SUMIF(AS:AS,AS442,AP:AP)=100</f>
        <v>1</v>
      </c>
      <c r="AZ442" s="6" t="b">
        <f>SUMIF(AS:AS,AS442,AE:AE)/COUNTIF(AS:AS,AS442)=AE442</f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>C442&amp;" | "&amp;F442</f>
        <v>90MB1BJ0-C1BAY0 | 10G212820114020</v>
      </c>
      <c r="BE442" s="55" t="str">
        <f ca="1">C442&amp;" | "&amp;OFFSET($AF442,0,8-COUNTBLANK($AG442:$AN442))</f>
        <v>90MB1BJ0-C1BAY0 | 59MB1BJB-MB0A02S</v>
      </c>
      <c r="BF442" s="57">
        <f ca="1">IFERROR(VLOOKUP($BE442,$BD$5:$BF441,3,0)*$AE442,VLOOKUP($C442,Demanda!$A:$B,2,0)*$AE442)*IF(AT442="Phantom Alt",$BC442,TRUE)</f>
        <v>161000</v>
      </c>
      <c r="BG442" s="57">
        <f ca="1">BF442*(AP442/100)</f>
        <v>0</v>
      </c>
      <c r="BH442" s="57">
        <f>SUMIF(Invoice!A:A,F442,Invoice!B:B)</f>
        <v>170000</v>
      </c>
      <c r="BI442" s="57">
        <f ca="1">SUMIF(AS:AS,AS442,BG:BG)</f>
        <v>161000</v>
      </c>
      <c r="BJ442" s="57">
        <f ca="1">MIN((BI442-SUMIF($AS$5:AS441,AS442,$BJ$5:BJ441)),MAX(0,BH442-SUMIF($F$5:F441,F442,$BJ$5:BJ441)))</f>
        <v>161000</v>
      </c>
      <c r="BK442" s="57">
        <f ca="1">(-SUMIF(AS:AS,AS442,BG:BG)+SUMIF(AS:AS,AS442,BJ:BJ))*(AP442=100)*AR442</f>
        <v>0</v>
      </c>
      <c r="BL442" s="57">
        <f ca="1">MAX(0,SUMIF(Invoice!A:A,F442,Invoice!B:B)-SUMIF(F:F,F442,BJ:BJ))*(COUNTIF(F:F,F442)=COUNTIF($F$5:F442,F442))</f>
        <v>9000</v>
      </c>
    </row>
    <row r="443" spans="1:64" hidden="1">
      <c r="A443" s="43">
        <v>442</v>
      </c>
      <c r="B443" s="13" t="s">
        <v>147</v>
      </c>
      <c r="C443" s="13" t="s">
        <v>146</v>
      </c>
      <c r="D443" s="13">
        <v>2</v>
      </c>
      <c r="E443" s="13">
        <v>1570</v>
      </c>
      <c r="F443" s="71" t="s">
        <v>1086</v>
      </c>
      <c r="G443" s="71" t="s">
        <v>1087</v>
      </c>
      <c r="H443" s="13" t="s">
        <v>1088</v>
      </c>
      <c r="I443" s="13" t="s">
        <v>55</v>
      </c>
      <c r="J443" s="28">
        <v>0</v>
      </c>
      <c r="K443" s="13" t="s">
        <v>489</v>
      </c>
      <c r="L443" s="13" t="s">
        <v>53</v>
      </c>
      <c r="M443" s="13">
        <v>161</v>
      </c>
      <c r="O443" s="13">
        <v>1</v>
      </c>
      <c r="P443" s="13">
        <v>2</v>
      </c>
      <c r="Q443" s="13">
        <v>3</v>
      </c>
      <c r="R443" s="13" t="s">
        <v>122</v>
      </c>
      <c r="S443" s="13" t="s">
        <v>122</v>
      </c>
      <c r="T443" s="13">
        <v>44901</v>
      </c>
      <c r="U443" s="13">
        <v>2958465</v>
      </c>
      <c r="V443" s="13" t="s">
        <v>282</v>
      </c>
      <c r="W443" s="13" t="s">
        <v>145</v>
      </c>
      <c r="Y443" s="13" t="s">
        <v>143</v>
      </c>
      <c r="Z443" s="13">
        <v>7589154</v>
      </c>
      <c r="AA443" s="13">
        <v>776</v>
      </c>
      <c r="AB443" s="13">
        <v>388</v>
      </c>
      <c r="AE443" s="51">
        <f>M443/O443</f>
        <v>161</v>
      </c>
      <c r="AG443" s="6" t="str">
        <f>C443</f>
        <v>90MB1BJ0-C1BAY0</v>
      </c>
      <c r="AH443" s="6" t="str">
        <f>IF($D443&lt;=AH$4,"",IF(AND($D442=AH$4,$D443&gt;AH$4),$F442,AH442))</f>
        <v>59MB1BJB-MB0A02S</v>
      </c>
      <c r="AI443" s="6" t="str">
        <f>IF($D443&lt;=AI$4,"",IF(AND($D442=AI$4,$D443&gt;AI$4),$F442,AI442))</f>
        <v/>
      </c>
      <c r="AJ443" s="6" t="str">
        <f>IF($D443&lt;=AJ$4,"",IF(AND($D442=AJ$4,$D443&gt;AJ$4),$F442,AJ442))</f>
        <v/>
      </c>
      <c r="AK443" s="6" t="str">
        <f>IF($D443&lt;=AK$4,"",IF(AND($D442=AK$4,$D443&gt;AK$4),$F442,AK442))</f>
        <v/>
      </c>
      <c r="AL443" s="6" t="str">
        <f>IF($D443&lt;=AL$4,"",IF(AND($D442=AL$4,$D443&gt;AL$4),$F442,AL442))</f>
        <v/>
      </c>
      <c r="AM443" s="6" t="str">
        <f>IF($D443&lt;=AM$4,"",IF(AND($D442=AM$4,$D443&gt;AM$4),$F442,AM442))</f>
        <v/>
      </c>
      <c r="AN443" s="6" t="str">
        <f>IF($D443&lt;=AN$4,"",IF(AND($D442=AN$4,$D443&gt;AN$4),$F442,AN442))</f>
        <v/>
      </c>
      <c r="AO443" s="6" t="str">
        <f>CONCATENATE(AG443," | ",AH443," | ",AI443," | ",AJ443," | ",AK443," | ",AL443," | ",AM443," | ",AN443)</f>
        <v xml:space="preserve">90MB1BJ0-C1BAY0 | 59MB1BJB-MB0A02S |  |  |  |  |  | </v>
      </c>
      <c r="AP443" s="6">
        <f>IF(TRIM(H443)="",100,J443)</f>
        <v>0</v>
      </c>
      <c r="AQ443" s="4"/>
      <c r="AR443" s="6" t="b">
        <f>NOT(TRIM(W443)&lt;&gt;"F")</f>
        <v>1</v>
      </c>
      <c r="AS443" s="6" t="str">
        <f>$B443&amp;" | "&amp;$AO443&amp;" | "&amp;IF(TRIM(H443)="","uniq"&amp;ROW(),TRIM(H443))</f>
        <v>461E | 90MB1BJ0-C1BAY0 | 59MB1BJB-MB0A02S |  |  |  |  |  |  | F7</v>
      </c>
      <c r="AT443" s="63">
        <f>IF(NOT(AR443),IF(TRIM($H443)="","Assembly","Phantom Alt"),VLOOKUP(F443,ZPCS04!B:G,6,0))</f>
        <v>703</v>
      </c>
      <c r="AU443" s="7"/>
      <c r="AV443" s="38">
        <f ca="1">IF(TRIM($W443)="F",OFFSET($A$5,MATCH($AS443,$AS$5:$AS443,0)-1,0),$A443)</f>
        <v>443</v>
      </c>
      <c r="AW443" s="38">
        <f ca="1">IFERROR(OFFSET(ZPCS04!$A$1,MATCH(F443,ZPCS04!B:B,0)-1,0),100)</f>
        <v>2</v>
      </c>
      <c r="AX443" s="7"/>
      <c r="AY443" s="6" t="b">
        <f>SUMIF(AS:AS,AS443,AP:AP)=100</f>
        <v>1</v>
      </c>
      <c r="AZ443" s="6" t="b">
        <f>SUMIF(AS:AS,AS443,AE:AE)/COUNTIF(AS:AS,AS443)=AE443</f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>C443&amp;" | "&amp;F443</f>
        <v>90MB1BJ0-C1BAY0 | 10G212820114010</v>
      </c>
      <c r="BE443" s="55" t="str">
        <f ca="1">C443&amp;" | "&amp;OFFSET($AF443,0,8-COUNTBLANK($AG443:$AN443))</f>
        <v>90MB1BJ0-C1BAY0 | 59MB1BJB-MB0A02S</v>
      </c>
      <c r="BF443" s="57">
        <f ca="1">IFERROR(VLOOKUP($BE443,$BD$5:$BF442,3,0)*$AE443,VLOOKUP($C443,Demanda!$A:$B,2,0)*$AE443)*IF(AT443="Phantom Alt",$BC443,TRUE)</f>
        <v>161000</v>
      </c>
      <c r="BG443" s="57">
        <f ca="1">BF443*(AP443/100)</f>
        <v>0</v>
      </c>
      <c r="BH443" s="57">
        <f>SUMIF(Invoice!A:A,F443,Invoice!B:B)</f>
        <v>0</v>
      </c>
      <c r="BI443" s="57">
        <f ca="1">SUMIF(AS:AS,AS443,BG:BG)</f>
        <v>161000</v>
      </c>
      <c r="BJ443" s="57">
        <f ca="1">MIN((BI443-SUMIF($AS$5:AS442,AS443,$BJ$5:BJ442)),MAX(0,BH443-SUMIF($F$5:F442,F443,$BJ$5:BJ442)))</f>
        <v>0</v>
      </c>
      <c r="BK443" s="57">
        <f ca="1">(-SUMIF(AS:AS,AS443,BG:BG)+SUMIF(AS:AS,AS443,BJ:BJ))*(AP443=100)*AR443</f>
        <v>0</v>
      </c>
      <c r="BL443" s="57">
        <f ca="1">MAX(0,SUMIF(Invoice!A:A,F443,Invoice!B:B)-SUMIF(F:F,F443,BJ:BJ))*(COUNTIF(F:F,F443)=COUNTIF($F$5:F443,F443))</f>
        <v>0</v>
      </c>
    </row>
    <row r="444" spans="1:64" hidden="1">
      <c r="A444" s="43">
        <v>444</v>
      </c>
      <c r="B444" s="13" t="s">
        <v>147</v>
      </c>
      <c r="C444" s="13" t="s">
        <v>146</v>
      </c>
      <c r="D444" s="13">
        <v>2</v>
      </c>
      <c r="E444" s="13">
        <v>1570</v>
      </c>
      <c r="F444" s="71" t="s">
        <v>1091</v>
      </c>
      <c r="G444" s="71" t="s">
        <v>1092</v>
      </c>
      <c r="H444" s="13" t="s">
        <v>1088</v>
      </c>
      <c r="I444" s="13" t="s">
        <v>54</v>
      </c>
      <c r="J444" s="28">
        <v>100</v>
      </c>
      <c r="K444" s="13" t="s">
        <v>150</v>
      </c>
      <c r="L444" s="13" t="s">
        <v>53</v>
      </c>
      <c r="M444" s="13">
        <v>161</v>
      </c>
      <c r="N444" s="13">
        <v>161</v>
      </c>
      <c r="O444" s="13">
        <v>1</v>
      </c>
      <c r="P444" s="13">
        <v>2</v>
      </c>
      <c r="Q444" s="13">
        <v>1</v>
      </c>
      <c r="R444" s="13" t="s">
        <v>73</v>
      </c>
      <c r="S444" s="13" t="s">
        <v>73</v>
      </c>
      <c r="T444" s="13">
        <v>44901</v>
      </c>
      <c r="U444" s="13">
        <v>2958465</v>
      </c>
      <c r="V444" s="13" t="s">
        <v>282</v>
      </c>
      <c r="W444" s="13" t="s">
        <v>145</v>
      </c>
      <c r="Y444" s="13" t="s">
        <v>143</v>
      </c>
      <c r="Z444" s="13">
        <v>7589154</v>
      </c>
      <c r="AA444" s="13">
        <v>772</v>
      </c>
      <c r="AB444" s="13">
        <v>386</v>
      </c>
      <c r="AE444" s="51">
        <f>M444/O444</f>
        <v>161</v>
      </c>
      <c r="AG444" s="6" t="str">
        <f>C444</f>
        <v>90MB1BJ0-C1BAY0</v>
      </c>
      <c r="AH444" s="6" t="str">
        <f>IF($D444&lt;=AH$4,"",IF(AND($D443=AH$4,$D444&gt;AH$4),$F443,AH443))</f>
        <v>59MB1BJB-MB0A02S</v>
      </c>
      <c r="AI444" s="6" t="str">
        <f>IF($D444&lt;=AI$4,"",IF(AND($D443=AI$4,$D444&gt;AI$4),$F443,AI443))</f>
        <v/>
      </c>
      <c r="AJ444" s="6" t="str">
        <f>IF($D444&lt;=AJ$4,"",IF(AND($D443=AJ$4,$D444&gt;AJ$4),$F443,AJ443))</f>
        <v/>
      </c>
      <c r="AK444" s="6" t="str">
        <f>IF($D444&lt;=AK$4,"",IF(AND($D443=AK$4,$D444&gt;AK$4),$F443,AK443))</f>
        <v/>
      </c>
      <c r="AL444" s="6" t="str">
        <f>IF($D444&lt;=AL$4,"",IF(AND($D443=AL$4,$D444&gt;AL$4),$F443,AL443))</f>
        <v/>
      </c>
      <c r="AM444" s="6" t="str">
        <f>IF($D444&lt;=AM$4,"",IF(AND($D443=AM$4,$D444&gt;AM$4),$F443,AM443))</f>
        <v/>
      </c>
      <c r="AN444" s="6" t="str">
        <f>IF($D444&lt;=AN$4,"",IF(AND($D443=AN$4,$D444&gt;AN$4),$F443,AN443))</f>
        <v/>
      </c>
      <c r="AO444" s="6" t="str">
        <f>CONCATENATE(AG444," | ",AH444," | ",AI444," | ",AJ444," | ",AK444," | ",AL444," | ",AM444," | ",AN444)</f>
        <v xml:space="preserve">90MB1BJ0-C1BAY0 | 59MB1BJB-MB0A02S |  |  |  |  |  | </v>
      </c>
      <c r="AP444" s="6">
        <f>IF(TRIM(H444)="",100,J444)</f>
        <v>100</v>
      </c>
      <c r="AQ444" s="4"/>
      <c r="AR444" s="6" t="b">
        <f>NOT(TRIM(W444)&lt;&gt;"F")</f>
        <v>1</v>
      </c>
      <c r="AS444" s="6" t="str">
        <f>$B444&amp;" | "&amp;$AO444&amp;" | "&amp;IF(TRIM(H444)="","uniq"&amp;ROW(),TRIM(H444))</f>
        <v>461E | 90MB1BJ0-C1BAY0 | 59MB1BJB-MB0A02S |  |  |  |  |  |  | F7</v>
      </c>
      <c r="AT444" s="63">
        <f>IF(NOT(AR444),IF(TRIM($H444)="","Assembly","Phantom Alt"),VLOOKUP(F444,ZPCS04!B:G,6,0))</f>
        <v>703</v>
      </c>
      <c r="AU444" s="7"/>
      <c r="AV444" s="38">
        <f ca="1">IF(TRIM($W444)="F",OFFSET($A$5,MATCH($AS444,$AS$5:$AS444,0)-1,0),$A444)</f>
        <v>443</v>
      </c>
      <c r="AW444" s="38">
        <f ca="1">IFERROR(OFFSET(ZPCS04!$A$1,MATCH(F444,ZPCS04!B:B,0)-1,0),100)</f>
        <v>2</v>
      </c>
      <c r="AX444" s="7"/>
      <c r="AY444" s="6" t="b">
        <f>SUMIF(AS:AS,AS444,AP:AP)=100</f>
        <v>1</v>
      </c>
      <c r="AZ444" s="6" t="b">
        <f>SUMIF(AS:AS,AS444,AE:AE)/COUNTIF(AS:AS,AS444)=AE444</f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>C444&amp;" | "&amp;F444</f>
        <v>90MB1BJ0-C1BAY0 | 10G212820114050</v>
      </c>
      <c r="BE444" s="55" t="str">
        <f ca="1">C444&amp;" | "&amp;OFFSET($AF444,0,8-COUNTBLANK($AG444:$AN444))</f>
        <v>90MB1BJ0-C1BAY0 | 59MB1BJB-MB0A02S</v>
      </c>
      <c r="BF444" s="57">
        <f ca="1">IFERROR(VLOOKUP($BE444,$BD$5:$BF443,3,0)*$AE444,VLOOKUP($C444,Demanda!$A:$B,2,0)*$AE444)*IF(AT444="Phantom Alt",$BC444,TRUE)</f>
        <v>161000</v>
      </c>
      <c r="BG444" s="57">
        <f ca="1">BF444*(AP444/100)</f>
        <v>161000</v>
      </c>
      <c r="BH444" s="57">
        <f>SUMIF(Invoice!A:A,F444,Invoice!B:B)</f>
        <v>0</v>
      </c>
      <c r="BI444" s="57">
        <f ca="1">SUMIF(AS:AS,AS444,BG:BG)</f>
        <v>161000</v>
      </c>
      <c r="BJ444" s="57">
        <f ca="1">MIN((BI444-SUMIF($AS$5:AS443,AS444,$BJ$5:BJ443)),MAX(0,BH444-SUMIF($F$5:F443,F444,$BJ$5:BJ443)))</f>
        <v>0</v>
      </c>
      <c r="BK444" s="57">
        <f ca="1">(-SUMIF(AS:AS,AS444,BG:BG)+SUMIF(AS:AS,AS444,BJ:BJ))*(AP444=100)*AR444</f>
        <v>0</v>
      </c>
      <c r="BL444" s="57">
        <f ca="1">MAX(0,SUMIF(Invoice!A:A,F444,Invoice!B:B)-SUMIF(F:F,F444,BJ:BJ))*(COUNTIF(F:F,F444)=COUNTIF($F$5:F444,F444))</f>
        <v>0</v>
      </c>
    </row>
    <row r="445" spans="1:64" hidden="1">
      <c r="A445" s="43">
        <v>445</v>
      </c>
      <c r="B445" s="13" t="s">
        <v>147</v>
      </c>
      <c r="C445" s="13" t="s">
        <v>146</v>
      </c>
      <c r="D445" s="13">
        <v>2</v>
      </c>
      <c r="E445" s="13">
        <v>1580</v>
      </c>
      <c r="F445" s="71" t="s">
        <v>1093</v>
      </c>
      <c r="G445" s="71" t="s">
        <v>1094</v>
      </c>
      <c r="H445" s="13" t="s">
        <v>1095</v>
      </c>
      <c r="I445" s="13" t="s">
        <v>54</v>
      </c>
      <c r="J445" s="28">
        <v>100</v>
      </c>
      <c r="K445" s="13" t="s">
        <v>489</v>
      </c>
      <c r="L445" s="13" t="s">
        <v>53</v>
      </c>
      <c r="M445" s="13">
        <v>3</v>
      </c>
      <c r="N445" s="13">
        <v>3</v>
      </c>
      <c r="O445" s="13">
        <v>1</v>
      </c>
      <c r="P445" s="13">
        <v>2</v>
      </c>
      <c r="Q445" s="13">
        <v>1</v>
      </c>
      <c r="R445" s="13" t="s">
        <v>122</v>
      </c>
      <c r="S445" s="13" t="s">
        <v>122</v>
      </c>
      <c r="T445" s="13">
        <v>44901</v>
      </c>
      <c r="U445" s="13">
        <v>2958465</v>
      </c>
      <c r="V445" s="13" t="s">
        <v>282</v>
      </c>
      <c r="W445" s="13" t="s">
        <v>145</v>
      </c>
      <c r="Y445" s="13" t="s">
        <v>143</v>
      </c>
      <c r="Z445" s="13">
        <v>7589154</v>
      </c>
      <c r="AA445" s="13">
        <v>778</v>
      </c>
      <c r="AB445" s="13">
        <v>389</v>
      </c>
      <c r="AE445" s="51">
        <f>M445/O445</f>
        <v>3</v>
      </c>
      <c r="AG445" s="6" t="str">
        <f>C445</f>
        <v>90MB1BJ0-C1BAY0</v>
      </c>
      <c r="AH445" s="6" t="str">
        <f>IF($D445&lt;=AH$4,"",IF(AND($D444=AH$4,$D445&gt;AH$4),$F444,AH444))</f>
        <v>59MB1BJB-MB0A02S</v>
      </c>
      <c r="AI445" s="6" t="str">
        <f>IF($D445&lt;=AI$4,"",IF(AND($D444=AI$4,$D445&gt;AI$4),$F444,AI444))</f>
        <v/>
      </c>
      <c r="AJ445" s="6" t="str">
        <f>IF($D445&lt;=AJ$4,"",IF(AND($D444=AJ$4,$D445&gt;AJ$4),$F444,AJ444))</f>
        <v/>
      </c>
      <c r="AK445" s="6" t="str">
        <f>IF($D445&lt;=AK$4,"",IF(AND($D444=AK$4,$D445&gt;AK$4),$F444,AK444))</f>
        <v/>
      </c>
      <c r="AL445" s="6" t="str">
        <f>IF($D445&lt;=AL$4,"",IF(AND($D444=AL$4,$D445&gt;AL$4),$F444,AL444))</f>
        <v/>
      </c>
      <c r="AM445" s="6" t="str">
        <f>IF($D445&lt;=AM$4,"",IF(AND($D444=AM$4,$D445&gt;AM$4),$F444,AM444))</f>
        <v/>
      </c>
      <c r="AN445" s="6" t="str">
        <f>IF($D445&lt;=AN$4,"",IF(AND($D444=AN$4,$D445&gt;AN$4),$F444,AN444))</f>
        <v/>
      </c>
      <c r="AO445" s="6" t="str">
        <f>CONCATENATE(AG445," | ",AH445," | ",AI445," | ",AJ445," | ",AK445," | ",AL445," | ",AM445," | ",AN445)</f>
        <v xml:space="preserve">90MB1BJ0-C1BAY0 | 59MB1BJB-MB0A02S |  |  |  |  |  | </v>
      </c>
      <c r="AP445" s="6">
        <f>IF(TRIM(H445)="",100,J445)</f>
        <v>100</v>
      </c>
      <c r="AQ445" s="4"/>
      <c r="AR445" s="6" t="b">
        <f>NOT(TRIM(W445)&lt;&gt;"F")</f>
        <v>1</v>
      </c>
      <c r="AS445" s="6" t="str">
        <f>$B445&amp;" | "&amp;$AO445&amp;" | "&amp;IF(TRIM(H445)="","uniq"&amp;ROW(),TRIM(H445))</f>
        <v>461E | 90MB1BJ0-C1BAY0 | 59MB1BJB-MB0A02S |  |  |  |  |  |  | F8</v>
      </c>
      <c r="AT445" s="63">
        <f>IF(NOT(AR445),IF(TRIM($H445)="","Assembly","Phantom Alt"),VLOOKUP(F445,ZPCS04!B:G,6,0))</f>
        <v>973</v>
      </c>
      <c r="AU445" s="7"/>
      <c r="AV445" s="38">
        <f ca="1">IF(TRIM($W445)="F",OFFSET($A$5,MATCH($AS445,$AS$5:$AS445,0)-1,0),$A445)</f>
        <v>445</v>
      </c>
      <c r="AW445" s="38">
        <f ca="1">IFERROR(OFFSET(ZPCS04!$A$1,MATCH(F445,ZPCS04!B:B,0)-1,0),100)</f>
        <v>1.99999987886</v>
      </c>
      <c r="AX445" s="7"/>
      <c r="AY445" s="6" t="b">
        <f>SUMIF(AS:AS,AS445,AP:AP)=100</f>
        <v>1</v>
      </c>
      <c r="AZ445" s="6" t="b">
        <f>SUMIF(AS:AS,AS445,AE:AE)/COUNTIF(AS:AS,AS445)=AE445</f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>C445&amp;" | "&amp;F445</f>
        <v>90MB1BJ0-C1BAY0 | 10G212822004010</v>
      </c>
      <c r="BE445" s="55" t="str">
        <f ca="1">C445&amp;" | "&amp;OFFSET($AF445,0,8-COUNTBLANK($AG445:$AN445))</f>
        <v>90MB1BJ0-C1BAY0 | 59MB1BJB-MB0A02S</v>
      </c>
      <c r="BF445" s="57">
        <f ca="1">IFERROR(VLOOKUP($BE445,$BD$5:$BF444,3,0)*$AE445,VLOOKUP($C445,Demanda!$A:$B,2,0)*$AE445)*IF(AT445="Phantom Alt",$BC445,TRUE)</f>
        <v>3000</v>
      </c>
      <c r="BG445" s="57">
        <f ca="1">BF445*(AP445/100)</f>
        <v>3000</v>
      </c>
      <c r="BH445" s="57">
        <f>SUMIF(Invoice!A:A,F445,Invoice!B:B)</f>
        <v>12114</v>
      </c>
      <c r="BI445" s="57">
        <f ca="1">SUMIF(AS:AS,AS445,BG:BG)</f>
        <v>3000</v>
      </c>
      <c r="BJ445" s="57">
        <f ca="1">MIN((BI445-SUMIF($AS$5:AS444,AS445,$BJ$5:BJ444)),MAX(0,BH445-SUMIF($F$5:F444,F445,$BJ$5:BJ444)))</f>
        <v>3000</v>
      </c>
      <c r="BK445" s="57">
        <f ca="1">(-SUMIF(AS:AS,AS445,BG:BG)+SUMIF(AS:AS,AS445,BJ:BJ))*(AP445=100)*AR445</f>
        <v>0</v>
      </c>
      <c r="BL445" s="57">
        <f ca="1">MAX(0,SUMIF(Invoice!A:A,F445,Invoice!B:B)-SUMIF(F:F,F445,BJ:BJ))*(COUNTIF(F:F,F445)=COUNTIF($F$5:F445,F445))</f>
        <v>9114</v>
      </c>
    </row>
    <row r="446" spans="1:64" hidden="1">
      <c r="A446" s="43">
        <v>446</v>
      </c>
      <c r="B446" s="13" t="s">
        <v>147</v>
      </c>
      <c r="C446" s="13" t="s">
        <v>146</v>
      </c>
      <c r="D446" s="13">
        <v>2</v>
      </c>
      <c r="E446" s="13">
        <v>1580</v>
      </c>
      <c r="F446" s="71" t="s">
        <v>1096</v>
      </c>
      <c r="G446" s="71" t="s">
        <v>1097</v>
      </c>
      <c r="H446" s="13" t="s">
        <v>1095</v>
      </c>
      <c r="I446" s="13" t="s">
        <v>55</v>
      </c>
      <c r="J446" s="28">
        <v>0</v>
      </c>
      <c r="K446" s="13" t="s">
        <v>489</v>
      </c>
      <c r="L446" s="13" t="s">
        <v>53</v>
      </c>
      <c r="M446" s="13">
        <v>3</v>
      </c>
      <c r="O446" s="13">
        <v>1</v>
      </c>
      <c r="P446" s="13">
        <v>2</v>
      </c>
      <c r="Q446" s="13">
        <v>2</v>
      </c>
      <c r="R446" s="13" t="s">
        <v>122</v>
      </c>
      <c r="S446" s="13" t="s">
        <v>122</v>
      </c>
      <c r="T446" s="13">
        <v>44901</v>
      </c>
      <c r="U446" s="13">
        <v>2958465</v>
      </c>
      <c r="V446" s="13" t="s">
        <v>282</v>
      </c>
      <c r="W446" s="13" t="s">
        <v>145</v>
      </c>
      <c r="Y446" s="13" t="s">
        <v>143</v>
      </c>
      <c r="Z446" s="13">
        <v>7589154</v>
      </c>
      <c r="AA446" s="13">
        <v>780</v>
      </c>
      <c r="AB446" s="13">
        <v>390</v>
      </c>
      <c r="AE446" s="51">
        <f>M446/O446</f>
        <v>3</v>
      </c>
      <c r="AG446" s="6" t="str">
        <f>C446</f>
        <v>90MB1BJ0-C1BAY0</v>
      </c>
      <c r="AH446" s="6" t="str">
        <f>IF($D446&lt;=AH$4,"",IF(AND($D445=AH$4,$D446&gt;AH$4),$F445,AH445))</f>
        <v>59MB1BJB-MB0A02S</v>
      </c>
      <c r="AI446" s="6" t="str">
        <f>IF($D446&lt;=AI$4,"",IF(AND($D445=AI$4,$D446&gt;AI$4),$F445,AI445))</f>
        <v/>
      </c>
      <c r="AJ446" s="6" t="str">
        <f>IF($D446&lt;=AJ$4,"",IF(AND($D445=AJ$4,$D446&gt;AJ$4),$F445,AJ445))</f>
        <v/>
      </c>
      <c r="AK446" s="6" t="str">
        <f>IF($D446&lt;=AK$4,"",IF(AND($D445=AK$4,$D446&gt;AK$4),$F445,AK445))</f>
        <v/>
      </c>
      <c r="AL446" s="6" t="str">
        <f>IF($D446&lt;=AL$4,"",IF(AND($D445=AL$4,$D446&gt;AL$4),$F445,AL445))</f>
        <v/>
      </c>
      <c r="AM446" s="6" t="str">
        <f>IF($D446&lt;=AM$4,"",IF(AND($D445=AM$4,$D446&gt;AM$4),$F445,AM445))</f>
        <v/>
      </c>
      <c r="AN446" s="6" t="str">
        <f>IF($D446&lt;=AN$4,"",IF(AND($D445=AN$4,$D446&gt;AN$4),$F445,AN445))</f>
        <v/>
      </c>
      <c r="AO446" s="6" t="str">
        <f>CONCATENATE(AG446," | ",AH446," | ",AI446," | ",AJ446," | ",AK446," | ",AL446," | ",AM446," | ",AN446)</f>
        <v xml:space="preserve">90MB1BJ0-C1BAY0 | 59MB1BJB-MB0A02S |  |  |  |  |  | </v>
      </c>
      <c r="AP446" s="6">
        <f>IF(TRIM(H446)="",100,J446)</f>
        <v>0</v>
      </c>
      <c r="AQ446" s="4"/>
      <c r="AR446" s="6" t="b">
        <f>NOT(TRIM(W446)&lt;&gt;"F")</f>
        <v>1</v>
      </c>
      <c r="AS446" s="6" t="str">
        <f>$B446&amp;" | "&amp;$AO446&amp;" | "&amp;IF(TRIM(H446)="","uniq"&amp;ROW(),TRIM(H446))</f>
        <v>461E | 90MB1BJ0-C1BAY0 | 59MB1BJB-MB0A02S |  |  |  |  |  |  | F8</v>
      </c>
      <c r="AT446" s="63">
        <f>IF(NOT(AR446),IF(TRIM($H446)="","Assembly","Phantom Alt"),VLOOKUP(F446,ZPCS04!B:G,6,0))</f>
        <v>973</v>
      </c>
      <c r="AU446" s="7"/>
      <c r="AV446" s="38">
        <f ca="1">IF(TRIM($W446)="F",OFFSET($A$5,MATCH($AS446,$AS$5:$AS446,0)-1,0),$A446)</f>
        <v>445</v>
      </c>
      <c r="AW446" s="38">
        <f ca="1">IFERROR(OFFSET(ZPCS04!$A$1,MATCH(F446,ZPCS04!B:B,0)-1,0),100)</f>
        <v>2</v>
      </c>
      <c r="AX446" s="7"/>
      <c r="AY446" s="6" t="b">
        <f>SUMIF(AS:AS,AS446,AP:AP)=100</f>
        <v>1</v>
      </c>
      <c r="AZ446" s="6" t="b">
        <f>SUMIF(AS:AS,AS446,AE:AE)/COUNTIF(AS:AS,AS446)=AE446</f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>C446&amp;" | "&amp;F446</f>
        <v>90MB1BJ0-C1BAY0 | 10G212822004020</v>
      </c>
      <c r="BE446" s="55" t="str">
        <f ca="1">C446&amp;" | "&amp;OFFSET($AF446,0,8-COUNTBLANK($AG446:$AN446))</f>
        <v>90MB1BJ0-C1BAY0 | 59MB1BJB-MB0A02S</v>
      </c>
      <c r="BF446" s="57">
        <f ca="1">IFERROR(VLOOKUP($BE446,$BD$5:$BF445,3,0)*$AE446,VLOOKUP($C446,Demanda!$A:$B,2,0)*$AE446)*IF(AT446="Phantom Alt",$BC446,TRUE)</f>
        <v>3000</v>
      </c>
      <c r="BG446" s="57">
        <f ca="1">BF446*(AP446/100)</f>
        <v>0</v>
      </c>
      <c r="BH446" s="57">
        <f>SUMIF(Invoice!A:A,F446,Invoice!B:B)</f>
        <v>0</v>
      </c>
      <c r="BI446" s="57">
        <f ca="1">SUMIF(AS:AS,AS446,BG:BG)</f>
        <v>3000</v>
      </c>
      <c r="BJ446" s="57">
        <f ca="1">MIN((BI446-SUMIF($AS$5:AS445,AS446,$BJ$5:BJ445)),MAX(0,BH446-SUMIF($F$5:F445,F446,$BJ$5:BJ445)))</f>
        <v>0</v>
      </c>
      <c r="BK446" s="57">
        <f ca="1">(-SUMIF(AS:AS,AS446,BG:BG)+SUMIF(AS:AS,AS446,BJ:BJ))*(AP446=100)*AR446</f>
        <v>0</v>
      </c>
      <c r="BL446" s="57">
        <f ca="1">MAX(0,SUMIF(Invoice!A:A,F446,Invoice!B:B)-SUMIF(F:F,F446,BJ:BJ))*(COUNTIF(F:F,F446)=COUNTIF($F$5:F446,F446))</f>
        <v>0</v>
      </c>
    </row>
    <row r="447" spans="1:64" hidden="1">
      <c r="A447" s="43">
        <v>447</v>
      </c>
      <c r="B447" s="13" t="s">
        <v>147</v>
      </c>
      <c r="C447" s="13" t="s">
        <v>146</v>
      </c>
      <c r="D447" s="13">
        <v>2</v>
      </c>
      <c r="E447" s="13">
        <v>1580</v>
      </c>
      <c r="F447" s="71" t="s">
        <v>1098</v>
      </c>
      <c r="G447" s="71" t="s">
        <v>1099</v>
      </c>
      <c r="H447" s="13" t="s">
        <v>1095</v>
      </c>
      <c r="I447" s="13" t="s">
        <v>55</v>
      </c>
      <c r="J447" s="28">
        <v>0</v>
      </c>
      <c r="K447" s="13" t="s">
        <v>150</v>
      </c>
      <c r="L447" s="13" t="s">
        <v>53</v>
      </c>
      <c r="M447" s="13">
        <v>3</v>
      </c>
      <c r="O447" s="13">
        <v>1</v>
      </c>
      <c r="P447" s="13">
        <v>2</v>
      </c>
      <c r="Q447" s="13">
        <v>3</v>
      </c>
      <c r="R447" s="13" t="s">
        <v>73</v>
      </c>
      <c r="S447" s="13" t="s">
        <v>73</v>
      </c>
      <c r="T447" s="13">
        <v>44901</v>
      </c>
      <c r="U447" s="13">
        <v>2958465</v>
      </c>
      <c r="V447" s="13" t="s">
        <v>282</v>
      </c>
      <c r="W447" s="13" t="s">
        <v>145</v>
      </c>
      <c r="Y447" s="13" t="s">
        <v>143</v>
      </c>
      <c r="Z447" s="13">
        <v>7589154</v>
      </c>
      <c r="AA447" s="13">
        <v>782</v>
      </c>
      <c r="AB447" s="13">
        <v>391</v>
      </c>
      <c r="AE447" s="51">
        <f>M447/O447</f>
        <v>3</v>
      </c>
      <c r="AG447" s="6" t="str">
        <f>C447</f>
        <v>90MB1BJ0-C1BAY0</v>
      </c>
      <c r="AH447" s="6" t="str">
        <f>IF($D447&lt;=AH$4,"",IF(AND($D446=AH$4,$D447&gt;AH$4),$F446,AH446))</f>
        <v>59MB1BJB-MB0A02S</v>
      </c>
      <c r="AI447" s="6" t="str">
        <f>IF($D447&lt;=AI$4,"",IF(AND($D446=AI$4,$D447&gt;AI$4),$F446,AI446))</f>
        <v/>
      </c>
      <c r="AJ447" s="6" t="str">
        <f>IF($D447&lt;=AJ$4,"",IF(AND($D446=AJ$4,$D447&gt;AJ$4),$F446,AJ446))</f>
        <v/>
      </c>
      <c r="AK447" s="6" t="str">
        <f>IF($D447&lt;=AK$4,"",IF(AND($D446=AK$4,$D447&gt;AK$4),$F446,AK446))</f>
        <v/>
      </c>
      <c r="AL447" s="6" t="str">
        <f>IF($D447&lt;=AL$4,"",IF(AND($D446=AL$4,$D447&gt;AL$4),$F446,AL446))</f>
        <v/>
      </c>
      <c r="AM447" s="6" t="str">
        <f>IF($D447&lt;=AM$4,"",IF(AND($D446=AM$4,$D447&gt;AM$4),$F446,AM446))</f>
        <v/>
      </c>
      <c r="AN447" s="6" t="str">
        <f>IF($D447&lt;=AN$4,"",IF(AND($D446=AN$4,$D447&gt;AN$4),$F446,AN446))</f>
        <v/>
      </c>
      <c r="AO447" s="6" t="str">
        <f>CONCATENATE(AG447," | ",AH447," | ",AI447," | ",AJ447," | ",AK447," | ",AL447," | ",AM447," | ",AN447)</f>
        <v xml:space="preserve">90MB1BJ0-C1BAY0 | 59MB1BJB-MB0A02S |  |  |  |  |  | </v>
      </c>
      <c r="AP447" s="6">
        <f>IF(TRIM(H447)="",100,J447)</f>
        <v>0</v>
      </c>
      <c r="AQ447" s="4"/>
      <c r="AR447" s="6" t="b">
        <f>NOT(TRIM(W447)&lt;&gt;"F")</f>
        <v>1</v>
      </c>
      <c r="AS447" s="6" t="str">
        <f>$B447&amp;" | "&amp;$AO447&amp;" | "&amp;IF(TRIM(H447)="","uniq"&amp;ROW(),TRIM(H447))</f>
        <v>461E | 90MB1BJ0-C1BAY0 | 59MB1BJB-MB0A02S |  |  |  |  |  |  | F8</v>
      </c>
      <c r="AT447" s="63">
        <f>IF(NOT(AR447),IF(TRIM($H447)="","Assembly","Phantom Alt"),VLOOKUP(F447,ZPCS04!B:G,6,0))</f>
        <v>973</v>
      </c>
      <c r="AU447" s="7"/>
      <c r="AV447" s="38">
        <f ca="1">IF(TRIM($W447)="F",OFFSET($A$5,MATCH($AS447,$AS$5:$AS447,0)-1,0),$A447)</f>
        <v>445</v>
      </c>
      <c r="AW447" s="38">
        <f ca="1">IFERROR(OFFSET(ZPCS04!$A$1,MATCH(F447,ZPCS04!B:B,0)-1,0),100)</f>
        <v>2</v>
      </c>
      <c r="AX447" s="7"/>
      <c r="AY447" s="6" t="b">
        <f>SUMIF(AS:AS,AS447,AP:AP)=100</f>
        <v>1</v>
      </c>
      <c r="AZ447" s="6" t="b">
        <f>SUMIF(AS:AS,AS447,AE:AE)/COUNTIF(AS:AS,AS447)=AE447</f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>C447&amp;" | "&amp;F447</f>
        <v>90MB1BJ0-C1BAY0 | 10G212822004050</v>
      </c>
      <c r="BE447" s="55" t="str">
        <f ca="1">C447&amp;" | "&amp;OFFSET($AF447,0,8-COUNTBLANK($AG447:$AN447))</f>
        <v>90MB1BJ0-C1BAY0 | 59MB1BJB-MB0A02S</v>
      </c>
      <c r="BF447" s="57">
        <f ca="1">IFERROR(VLOOKUP($BE447,$BD$5:$BF446,3,0)*$AE447,VLOOKUP($C447,Demanda!$A:$B,2,0)*$AE447)*IF(AT447="Phantom Alt",$BC447,TRUE)</f>
        <v>3000</v>
      </c>
      <c r="BG447" s="57">
        <f ca="1">BF447*(AP447/100)</f>
        <v>0</v>
      </c>
      <c r="BH447" s="57">
        <f>SUMIF(Invoice!A:A,F447,Invoice!B:B)</f>
        <v>0</v>
      </c>
      <c r="BI447" s="57">
        <f ca="1">SUMIF(AS:AS,AS447,BG:BG)</f>
        <v>3000</v>
      </c>
      <c r="BJ447" s="57">
        <f ca="1">MIN((BI447-SUMIF($AS$5:AS446,AS447,$BJ$5:BJ446)),MAX(0,BH447-SUMIF($F$5:F446,F447,$BJ$5:BJ446)))</f>
        <v>0</v>
      </c>
      <c r="BK447" s="57">
        <f ca="1">(-SUMIF(AS:AS,AS447,BG:BG)+SUMIF(AS:AS,AS447,BJ:BJ))*(AP447=100)*AR447</f>
        <v>0</v>
      </c>
      <c r="BL447" s="57">
        <f ca="1">MAX(0,SUMIF(Invoice!A:A,F447,Invoice!B:B)-SUMIF(F:F,F447,BJ:BJ))*(COUNTIF(F:F,F447)=COUNTIF($F$5:F447,F447))</f>
        <v>0</v>
      </c>
    </row>
    <row r="448" spans="1:64" hidden="1">
      <c r="A448" s="43">
        <v>450</v>
      </c>
      <c r="B448" s="13" t="s">
        <v>147</v>
      </c>
      <c r="C448" s="13" t="s">
        <v>146</v>
      </c>
      <c r="D448" s="13">
        <v>2</v>
      </c>
      <c r="E448" s="13">
        <v>1590</v>
      </c>
      <c r="F448" s="71" t="s">
        <v>1105</v>
      </c>
      <c r="G448" s="71" t="s">
        <v>1106</v>
      </c>
      <c r="H448" s="13" t="s">
        <v>1102</v>
      </c>
      <c r="I448" s="13" t="s">
        <v>55</v>
      </c>
      <c r="J448" s="28">
        <v>0</v>
      </c>
      <c r="K448" s="13" t="s">
        <v>150</v>
      </c>
      <c r="L448" s="13" t="s">
        <v>53</v>
      </c>
      <c r="M448" s="13">
        <v>2</v>
      </c>
      <c r="O448" s="13">
        <v>1</v>
      </c>
      <c r="P448" s="13">
        <v>2</v>
      </c>
      <c r="Q448" s="13">
        <v>3</v>
      </c>
      <c r="R448" s="13" t="s">
        <v>73</v>
      </c>
      <c r="S448" s="13" t="s">
        <v>73</v>
      </c>
      <c r="T448" s="13">
        <v>44901</v>
      </c>
      <c r="U448" s="13">
        <v>2958465</v>
      </c>
      <c r="V448" s="13" t="s">
        <v>282</v>
      </c>
      <c r="W448" s="13" t="s">
        <v>145</v>
      </c>
      <c r="Y448" s="13" t="s">
        <v>143</v>
      </c>
      <c r="Z448" s="13">
        <v>7589154</v>
      </c>
      <c r="AA448" s="13">
        <v>788</v>
      </c>
      <c r="AB448" s="13">
        <v>394</v>
      </c>
      <c r="AE448" s="51">
        <f>M448/O448</f>
        <v>2</v>
      </c>
      <c r="AG448" s="6" t="str">
        <f>C448</f>
        <v>90MB1BJ0-C1BAY0</v>
      </c>
      <c r="AH448" s="6" t="str">
        <f>IF($D448&lt;=AH$4,"",IF(AND($D447=AH$4,$D448&gt;AH$4),$F447,AH447))</f>
        <v>59MB1BJB-MB0A02S</v>
      </c>
      <c r="AI448" s="6" t="str">
        <f>IF($D448&lt;=AI$4,"",IF(AND($D447=AI$4,$D448&gt;AI$4),$F447,AI447))</f>
        <v/>
      </c>
      <c r="AJ448" s="6" t="str">
        <f>IF($D448&lt;=AJ$4,"",IF(AND($D447=AJ$4,$D448&gt;AJ$4),$F447,AJ447))</f>
        <v/>
      </c>
      <c r="AK448" s="6" t="str">
        <f>IF($D448&lt;=AK$4,"",IF(AND($D447=AK$4,$D448&gt;AK$4),$F447,AK447))</f>
        <v/>
      </c>
      <c r="AL448" s="6" t="str">
        <f>IF($D448&lt;=AL$4,"",IF(AND($D447=AL$4,$D448&gt;AL$4),$F447,AL447))</f>
        <v/>
      </c>
      <c r="AM448" s="6" t="str">
        <f>IF($D448&lt;=AM$4,"",IF(AND($D447=AM$4,$D448&gt;AM$4),$F447,AM447))</f>
        <v/>
      </c>
      <c r="AN448" s="6" t="str">
        <f>IF($D448&lt;=AN$4,"",IF(AND($D447=AN$4,$D448&gt;AN$4),$F447,AN447))</f>
        <v/>
      </c>
      <c r="AO448" s="6" t="str">
        <f>CONCATENATE(AG448," | ",AH448," | ",AI448," | ",AJ448," | ",AK448," | ",AL448," | ",AM448," | ",AN448)</f>
        <v xml:space="preserve">90MB1BJ0-C1BAY0 | 59MB1BJB-MB0A02S |  |  |  |  |  | </v>
      </c>
      <c r="AP448" s="6">
        <f>IF(TRIM(H448)="",100,J448)</f>
        <v>0</v>
      </c>
      <c r="AQ448" s="4"/>
      <c r="AR448" s="6" t="b">
        <f>NOT(TRIM(W448)&lt;&gt;"F")</f>
        <v>1</v>
      </c>
      <c r="AS448" s="6" t="str">
        <f>$B448&amp;" | "&amp;$AO448&amp;" | "&amp;IF(TRIM(H448)="","uniq"&amp;ROW(),TRIM(H448))</f>
        <v>461E | 90MB1BJ0-C1BAY0 | 59MB1BJB-MB0A02S |  |  |  |  |  |  | F9</v>
      </c>
      <c r="AT448" s="63">
        <f>IF(NOT(AR448),IF(TRIM($H448)="","Assembly","Phantom Alt"),VLOOKUP(F448,ZPCS04!B:G,6,0))</f>
        <v>974</v>
      </c>
      <c r="AU448" s="7"/>
      <c r="AV448" s="38">
        <f ca="1">IF(TRIM($W448)="F",OFFSET($A$5,MATCH($AS448,$AS$5:$AS448,0)-1,0),$A448)</f>
        <v>450</v>
      </c>
      <c r="AW448" s="38">
        <f ca="1">IFERROR(OFFSET(ZPCS04!$A$1,MATCH(F448,ZPCS04!B:B,0)-1,0),100)</f>
        <v>1.9999999000000002</v>
      </c>
      <c r="AX448" s="7"/>
      <c r="AY448" s="6" t="b">
        <f>SUMIF(AS:AS,AS448,AP:AP)=100</f>
        <v>1</v>
      </c>
      <c r="AZ448" s="6" t="b">
        <f>SUMIF(AS:AS,AS448,AE:AE)/COUNTIF(AS:AS,AS448)=AE448</f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>C448&amp;" | "&amp;F448</f>
        <v>90MB1BJ0-C1BAY0 | 10G212866114050</v>
      </c>
      <c r="BE448" s="55" t="str">
        <f ca="1">C448&amp;" | "&amp;OFFSET($AF448,0,8-COUNTBLANK($AG448:$AN448))</f>
        <v>90MB1BJ0-C1BAY0 | 59MB1BJB-MB0A02S</v>
      </c>
      <c r="BF448" s="57">
        <f ca="1">IFERROR(VLOOKUP($BE448,$BD$5:$BF447,3,0)*$AE448,VLOOKUP($C448,Demanda!$A:$B,2,0)*$AE448)*IF(AT448="Phantom Alt",$BC448,TRUE)</f>
        <v>2000</v>
      </c>
      <c r="BG448" s="57">
        <f ca="1">BF448*(AP448/100)</f>
        <v>0</v>
      </c>
      <c r="BH448" s="57">
        <f>SUMIF(Invoice!A:A,F448,Invoice!B:B)</f>
        <v>10000</v>
      </c>
      <c r="BI448" s="57">
        <f ca="1">SUMIF(AS:AS,AS448,BG:BG)</f>
        <v>2000</v>
      </c>
      <c r="BJ448" s="57">
        <f ca="1">MIN((BI448-SUMIF($AS$5:AS447,AS448,$BJ$5:BJ447)),MAX(0,BH448-SUMIF($F$5:F447,F448,$BJ$5:BJ447)))</f>
        <v>2000</v>
      </c>
      <c r="BK448" s="57">
        <f ca="1">(-SUMIF(AS:AS,AS448,BG:BG)+SUMIF(AS:AS,AS448,BJ:BJ))*(AP448=100)*AR448</f>
        <v>0</v>
      </c>
      <c r="BL448" s="57">
        <f ca="1">MAX(0,SUMIF(Invoice!A:A,F448,Invoice!B:B)-SUMIF(F:F,F448,BJ:BJ))*(COUNTIF(F:F,F448)=COUNTIF($F$5:F448,F448))</f>
        <v>8000</v>
      </c>
    </row>
    <row r="449" spans="1:64" hidden="1">
      <c r="A449" s="43">
        <v>448</v>
      </c>
      <c r="B449" s="13" t="s">
        <v>147</v>
      </c>
      <c r="C449" s="13" t="s">
        <v>146</v>
      </c>
      <c r="D449" s="13">
        <v>2</v>
      </c>
      <c r="E449" s="13">
        <v>1590</v>
      </c>
      <c r="F449" s="71" t="s">
        <v>1100</v>
      </c>
      <c r="G449" s="71" t="s">
        <v>1101</v>
      </c>
      <c r="H449" s="13" t="s">
        <v>1102</v>
      </c>
      <c r="I449" s="13" t="s">
        <v>54</v>
      </c>
      <c r="J449" s="28">
        <v>100</v>
      </c>
      <c r="K449" s="13" t="s">
        <v>489</v>
      </c>
      <c r="L449" s="13" t="s">
        <v>53</v>
      </c>
      <c r="M449" s="13">
        <v>2</v>
      </c>
      <c r="N449" s="13">
        <v>2</v>
      </c>
      <c r="O449" s="13">
        <v>1</v>
      </c>
      <c r="P449" s="13">
        <v>2</v>
      </c>
      <c r="Q449" s="13">
        <v>1</v>
      </c>
      <c r="R449" s="13" t="s">
        <v>122</v>
      </c>
      <c r="S449" s="13" t="s">
        <v>122</v>
      </c>
      <c r="T449" s="13">
        <v>44901</v>
      </c>
      <c r="U449" s="13">
        <v>2958465</v>
      </c>
      <c r="V449" s="13" t="s">
        <v>282</v>
      </c>
      <c r="W449" s="13" t="s">
        <v>145</v>
      </c>
      <c r="Y449" s="13" t="s">
        <v>143</v>
      </c>
      <c r="Z449" s="13">
        <v>7589154</v>
      </c>
      <c r="AA449" s="13">
        <v>784</v>
      </c>
      <c r="AB449" s="13">
        <v>392</v>
      </c>
      <c r="AE449" s="51">
        <f>M449/O449</f>
        <v>2</v>
      </c>
      <c r="AG449" s="6" t="str">
        <f>C449</f>
        <v>90MB1BJ0-C1BAY0</v>
      </c>
      <c r="AH449" s="6" t="str">
        <f>IF($D449&lt;=AH$4,"",IF(AND($D448=AH$4,$D449&gt;AH$4),$F448,AH448))</f>
        <v>59MB1BJB-MB0A02S</v>
      </c>
      <c r="AI449" s="6" t="str">
        <f>IF($D449&lt;=AI$4,"",IF(AND($D448=AI$4,$D449&gt;AI$4),$F448,AI448))</f>
        <v/>
      </c>
      <c r="AJ449" s="6" t="str">
        <f>IF($D449&lt;=AJ$4,"",IF(AND($D448=AJ$4,$D449&gt;AJ$4),$F448,AJ448))</f>
        <v/>
      </c>
      <c r="AK449" s="6" t="str">
        <f>IF($D449&lt;=AK$4,"",IF(AND($D448=AK$4,$D449&gt;AK$4),$F448,AK448))</f>
        <v/>
      </c>
      <c r="AL449" s="6" t="str">
        <f>IF($D449&lt;=AL$4,"",IF(AND($D448=AL$4,$D449&gt;AL$4),$F448,AL448))</f>
        <v/>
      </c>
      <c r="AM449" s="6" t="str">
        <f>IF($D449&lt;=AM$4,"",IF(AND($D448=AM$4,$D449&gt;AM$4),$F448,AM448))</f>
        <v/>
      </c>
      <c r="AN449" s="6" t="str">
        <f>IF($D449&lt;=AN$4,"",IF(AND($D448=AN$4,$D449&gt;AN$4),$F448,AN448))</f>
        <v/>
      </c>
      <c r="AO449" s="6" t="str">
        <f>CONCATENATE(AG449," | ",AH449," | ",AI449," | ",AJ449," | ",AK449," | ",AL449," | ",AM449," | ",AN449)</f>
        <v xml:space="preserve">90MB1BJ0-C1BAY0 | 59MB1BJB-MB0A02S |  |  |  |  |  | </v>
      </c>
      <c r="AP449" s="6">
        <f>IF(TRIM(H449)="",100,J449)</f>
        <v>100</v>
      </c>
      <c r="AQ449" s="4"/>
      <c r="AR449" s="6" t="b">
        <f>NOT(TRIM(W449)&lt;&gt;"F")</f>
        <v>1</v>
      </c>
      <c r="AS449" s="6" t="str">
        <f>$B449&amp;" | "&amp;$AO449&amp;" | "&amp;IF(TRIM(H449)="","uniq"&amp;ROW(),TRIM(H449))</f>
        <v>461E | 90MB1BJ0-C1BAY0 | 59MB1BJB-MB0A02S |  |  |  |  |  |  | F9</v>
      </c>
      <c r="AT449" s="63">
        <f>IF(NOT(AR449),IF(TRIM($H449)="","Assembly","Phantom Alt"),VLOOKUP(F449,ZPCS04!B:G,6,0))</f>
        <v>974</v>
      </c>
      <c r="AU449" s="7"/>
      <c r="AV449" s="38">
        <f ca="1">IF(TRIM($W449)="F",OFFSET($A$5,MATCH($AS449,$AS$5:$AS449,0)-1,0),$A449)</f>
        <v>450</v>
      </c>
      <c r="AW449" s="38">
        <f ca="1">IFERROR(OFFSET(ZPCS04!$A$1,MATCH(F449,ZPCS04!B:B,0)-1,0),100)</f>
        <v>2</v>
      </c>
      <c r="AX449" s="7"/>
      <c r="AY449" s="6" t="b">
        <f>SUMIF(AS:AS,AS449,AP:AP)=100</f>
        <v>1</v>
      </c>
      <c r="AZ449" s="6" t="b">
        <f>SUMIF(AS:AS,AS449,AE:AE)/COUNTIF(AS:AS,AS449)=AE449</f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>C449&amp;" | "&amp;F449</f>
        <v>90MB1BJ0-C1BAY0 | 10G212866114010</v>
      </c>
      <c r="BE449" s="55" t="str">
        <f ca="1">C449&amp;" | "&amp;OFFSET($AF449,0,8-COUNTBLANK($AG449:$AN449))</f>
        <v>90MB1BJ0-C1BAY0 | 59MB1BJB-MB0A02S</v>
      </c>
      <c r="BF449" s="57">
        <f ca="1">IFERROR(VLOOKUP($BE449,$BD$5:$BF448,3,0)*$AE449,VLOOKUP($C449,Demanda!$A:$B,2,0)*$AE449)*IF(AT449="Phantom Alt",$BC449,TRUE)</f>
        <v>2000</v>
      </c>
      <c r="BG449" s="57">
        <f ca="1">BF449*(AP449/100)</f>
        <v>2000</v>
      </c>
      <c r="BH449" s="57">
        <f>SUMIF(Invoice!A:A,F449,Invoice!B:B)</f>
        <v>0</v>
      </c>
      <c r="BI449" s="57">
        <f ca="1">SUMIF(AS:AS,AS449,BG:BG)</f>
        <v>2000</v>
      </c>
      <c r="BJ449" s="57">
        <f ca="1">MIN((BI449-SUMIF($AS$5:AS448,AS449,$BJ$5:BJ448)),MAX(0,BH449-SUMIF($F$5:F448,F449,$BJ$5:BJ448)))</f>
        <v>0</v>
      </c>
      <c r="BK449" s="57">
        <f ca="1">(-SUMIF(AS:AS,AS449,BG:BG)+SUMIF(AS:AS,AS449,BJ:BJ))*(AP449=100)*AR449</f>
        <v>0</v>
      </c>
      <c r="BL449" s="57">
        <f ca="1">MAX(0,SUMIF(Invoice!A:A,F449,Invoice!B:B)-SUMIF(F:F,F449,BJ:BJ))*(COUNTIF(F:F,F449)=COUNTIF($F$5:F449,F449))</f>
        <v>0</v>
      </c>
    </row>
    <row r="450" spans="1:64" hidden="1">
      <c r="A450" s="43">
        <v>449</v>
      </c>
      <c r="B450" s="13" t="s">
        <v>147</v>
      </c>
      <c r="C450" s="13" t="s">
        <v>146</v>
      </c>
      <c r="D450" s="13">
        <v>2</v>
      </c>
      <c r="E450" s="13">
        <v>1590</v>
      </c>
      <c r="F450" s="71" t="s">
        <v>1103</v>
      </c>
      <c r="G450" s="71" t="s">
        <v>1104</v>
      </c>
      <c r="H450" s="13" t="s">
        <v>1102</v>
      </c>
      <c r="I450" s="13" t="s">
        <v>55</v>
      </c>
      <c r="J450" s="28">
        <v>0</v>
      </c>
      <c r="K450" s="13" t="s">
        <v>489</v>
      </c>
      <c r="L450" s="13" t="s">
        <v>53</v>
      </c>
      <c r="M450" s="13">
        <v>2</v>
      </c>
      <c r="O450" s="13">
        <v>1</v>
      </c>
      <c r="P450" s="13">
        <v>2</v>
      </c>
      <c r="Q450" s="13">
        <v>2</v>
      </c>
      <c r="R450" s="13" t="s">
        <v>122</v>
      </c>
      <c r="S450" s="13" t="s">
        <v>122</v>
      </c>
      <c r="T450" s="13">
        <v>44901</v>
      </c>
      <c r="U450" s="13">
        <v>2958465</v>
      </c>
      <c r="V450" s="13" t="s">
        <v>282</v>
      </c>
      <c r="W450" s="13" t="s">
        <v>145</v>
      </c>
      <c r="Y450" s="13" t="s">
        <v>143</v>
      </c>
      <c r="Z450" s="13">
        <v>7589154</v>
      </c>
      <c r="AA450" s="13">
        <v>786</v>
      </c>
      <c r="AB450" s="13">
        <v>393</v>
      </c>
      <c r="AE450" s="51">
        <f>M450/O450</f>
        <v>2</v>
      </c>
      <c r="AG450" s="6" t="str">
        <f>C450</f>
        <v>90MB1BJ0-C1BAY0</v>
      </c>
      <c r="AH450" s="6" t="str">
        <f>IF($D450&lt;=AH$4,"",IF(AND($D449=AH$4,$D450&gt;AH$4),$F449,AH449))</f>
        <v>59MB1BJB-MB0A02S</v>
      </c>
      <c r="AI450" s="6" t="str">
        <f>IF($D450&lt;=AI$4,"",IF(AND($D449=AI$4,$D450&gt;AI$4),$F449,AI449))</f>
        <v/>
      </c>
      <c r="AJ450" s="6" t="str">
        <f>IF($D450&lt;=AJ$4,"",IF(AND($D449=AJ$4,$D450&gt;AJ$4),$F449,AJ449))</f>
        <v/>
      </c>
      <c r="AK450" s="6" t="str">
        <f>IF($D450&lt;=AK$4,"",IF(AND($D449=AK$4,$D450&gt;AK$4),$F449,AK449))</f>
        <v/>
      </c>
      <c r="AL450" s="6" t="str">
        <f>IF($D450&lt;=AL$4,"",IF(AND($D449=AL$4,$D450&gt;AL$4),$F449,AL449))</f>
        <v/>
      </c>
      <c r="AM450" s="6" t="str">
        <f>IF($D450&lt;=AM$4,"",IF(AND($D449=AM$4,$D450&gt;AM$4),$F449,AM449))</f>
        <v/>
      </c>
      <c r="AN450" s="6" t="str">
        <f>IF($D450&lt;=AN$4,"",IF(AND($D449=AN$4,$D450&gt;AN$4),$F449,AN449))</f>
        <v/>
      </c>
      <c r="AO450" s="6" t="str">
        <f>CONCATENATE(AG450," | ",AH450," | ",AI450," | ",AJ450," | ",AK450," | ",AL450," | ",AM450," | ",AN450)</f>
        <v xml:space="preserve">90MB1BJ0-C1BAY0 | 59MB1BJB-MB0A02S |  |  |  |  |  | </v>
      </c>
      <c r="AP450" s="6">
        <f>IF(TRIM(H450)="",100,J450)</f>
        <v>0</v>
      </c>
      <c r="AQ450" s="4"/>
      <c r="AR450" s="6" t="b">
        <f>NOT(TRIM(W450)&lt;&gt;"F")</f>
        <v>1</v>
      </c>
      <c r="AS450" s="6" t="str">
        <f>$B450&amp;" | "&amp;$AO450&amp;" | "&amp;IF(TRIM(H450)="","uniq"&amp;ROW(),TRIM(H450))</f>
        <v>461E | 90MB1BJ0-C1BAY0 | 59MB1BJB-MB0A02S |  |  |  |  |  |  | F9</v>
      </c>
      <c r="AT450" s="63">
        <f>IF(NOT(AR450),IF(TRIM($H450)="","Assembly","Phantom Alt"),VLOOKUP(F450,ZPCS04!B:G,6,0))</f>
        <v>974</v>
      </c>
      <c r="AU450" s="7"/>
      <c r="AV450" s="38">
        <f ca="1">IF(TRIM($W450)="F",OFFSET($A$5,MATCH($AS450,$AS$5:$AS450,0)-1,0),$A450)</f>
        <v>450</v>
      </c>
      <c r="AW450" s="38">
        <f ca="1">IFERROR(OFFSET(ZPCS04!$A$1,MATCH(F450,ZPCS04!B:B,0)-1,0),100)</f>
        <v>2</v>
      </c>
      <c r="AX450" s="7"/>
      <c r="AY450" s="6" t="b">
        <f>SUMIF(AS:AS,AS450,AP:AP)=100</f>
        <v>1</v>
      </c>
      <c r="AZ450" s="6" t="b">
        <f>SUMIF(AS:AS,AS450,AE:AE)/COUNTIF(AS:AS,AS450)=AE450</f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>C450&amp;" | "&amp;F450</f>
        <v>90MB1BJ0-C1BAY0 | 10G212866114020</v>
      </c>
      <c r="BE450" s="55" t="str">
        <f ca="1">C450&amp;" | "&amp;OFFSET($AF450,0,8-COUNTBLANK($AG450:$AN450))</f>
        <v>90MB1BJ0-C1BAY0 | 59MB1BJB-MB0A02S</v>
      </c>
      <c r="BF450" s="57">
        <f ca="1">IFERROR(VLOOKUP($BE450,$BD$5:$BF449,3,0)*$AE450,VLOOKUP($C450,Demanda!$A:$B,2,0)*$AE450)*IF(AT450="Phantom Alt",$BC450,TRUE)</f>
        <v>2000</v>
      </c>
      <c r="BG450" s="57">
        <f ca="1">BF450*(AP450/100)</f>
        <v>0</v>
      </c>
      <c r="BH450" s="57">
        <f>SUMIF(Invoice!A:A,F450,Invoice!B:B)</f>
        <v>0</v>
      </c>
      <c r="BI450" s="57">
        <f ca="1">SUMIF(AS:AS,AS450,BG:BG)</f>
        <v>2000</v>
      </c>
      <c r="BJ450" s="57">
        <f ca="1">MIN((BI450-SUMIF($AS$5:AS449,AS450,$BJ$5:BJ449)),MAX(0,BH450-SUMIF($F$5:F449,F450,$BJ$5:BJ449)))</f>
        <v>0</v>
      </c>
      <c r="BK450" s="57">
        <f ca="1">(-SUMIF(AS:AS,AS450,BG:BG)+SUMIF(AS:AS,AS450,BJ:BJ))*(AP450=100)*AR450</f>
        <v>0</v>
      </c>
      <c r="BL450" s="57">
        <f ca="1">MAX(0,SUMIF(Invoice!A:A,F450,Invoice!B:B)-SUMIF(F:F,F450,BJ:BJ))*(COUNTIF(F:F,F450)=COUNTIF($F$5:F450,F450))</f>
        <v>0</v>
      </c>
    </row>
    <row r="451" spans="1:64" hidden="1">
      <c r="A451" s="43">
        <v>451</v>
      </c>
      <c r="B451" s="13" t="s">
        <v>147</v>
      </c>
      <c r="C451" s="13" t="s">
        <v>146</v>
      </c>
      <c r="D451" s="13">
        <v>2</v>
      </c>
      <c r="E451" s="13">
        <v>1600</v>
      </c>
      <c r="F451" s="71" t="s">
        <v>1107</v>
      </c>
      <c r="G451" s="71" t="s">
        <v>1108</v>
      </c>
      <c r="H451" s="13" t="s">
        <v>1109</v>
      </c>
      <c r="I451" s="13" t="s">
        <v>54</v>
      </c>
      <c r="J451" s="28">
        <v>100</v>
      </c>
      <c r="K451" s="13" t="s">
        <v>489</v>
      </c>
      <c r="L451" s="13" t="s">
        <v>53</v>
      </c>
      <c r="M451" s="13">
        <v>4</v>
      </c>
      <c r="N451" s="13">
        <v>4</v>
      </c>
      <c r="O451" s="13">
        <v>1</v>
      </c>
      <c r="P451" s="13">
        <v>2</v>
      </c>
      <c r="Q451" s="13">
        <v>1</v>
      </c>
      <c r="R451" s="13" t="s">
        <v>122</v>
      </c>
      <c r="S451" s="13" t="s">
        <v>122</v>
      </c>
      <c r="T451" s="13">
        <v>44901</v>
      </c>
      <c r="U451" s="13">
        <v>2958465</v>
      </c>
      <c r="V451" s="13" t="s">
        <v>282</v>
      </c>
      <c r="W451" s="13" t="s">
        <v>145</v>
      </c>
      <c r="Y451" s="13" t="s">
        <v>143</v>
      </c>
      <c r="Z451" s="13">
        <v>7589154</v>
      </c>
      <c r="AA451" s="13">
        <v>790</v>
      </c>
      <c r="AB451" s="13">
        <v>395</v>
      </c>
      <c r="AE451" s="51">
        <f>M451/O451</f>
        <v>4</v>
      </c>
      <c r="AG451" s="6" t="str">
        <f>C451</f>
        <v>90MB1BJ0-C1BAY0</v>
      </c>
      <c r="AH451" s="6" t="str">
        <f>IF($D451&lt;=AH$4,"",IF(AND($D450=AH$4,$D451&gt;AH$4),$F450,AH450))</f>
        <v>59MB1BJB-MB0A02S</v>
      </c>
      <c r="AI451" s="6" t="str">
        <f>IF($D451&lt;=AI$4,"",IF(AND($D450=AI$4,$D451&gt;AI$4),$F450,AI450))</f>
        <v/>
      </c>
      <c r="AJ451" s="6" t="str">
        <f>IF($D451&lt;=AJ$4,"",IF(AND($D450=AJ$4,$D451&gt;AJ$4),$F450,AJ450))</f>
        <v/>
      </c>
      <c r="AK451" s="6" t="str">
        <f>IF($D451&lt;=AK$4,"",IF(AND($D450=AK$4,$D451&gt;AK$4),$F450,AK450))</f>
        <v/>
      </c>
      <c r="AL451" s="6" t="str">
        <f>IF($D451&lt;=AL$4,"",IF(AND($D450=AL$4,$D451&gt;AL$4),$F450,AL450))</f>
        <v/>
      </c>
      <c r="AM451" s="6" t="str">
        <f>IF($D451&lt;=AM$4,"",IF(AND($D450=AM$4,$D451&gt;AM$4),$F450,AM450))</f>
        <v/>
      </c>
      <c r="AN451" s="6" t="str">
        <f>IF($D451&lt;=AN$4,"",IF(AND($D450=AN$4,$D451&gt;AN$4),$F450,AN450))</f>
        <v/>
      </c>
      <c r="AO451" s="6" t="str">
        <f>CONCATENATE(AG451," | ",AH451," | ",AI451," | ",AJ451," | ",AK451," | ",AL451," | ",AM451," | ",AN451)</f>
        <v xml:space="preserve">90MB1BJ0-C1BAY0 | 59MB1BJB-MB0A02S |  |  |  |  |  | </v>
      </c>
      <c r="AP451" s="6">
        <f>IF(TRIM(H451)="",100,J451)</f>
        <v>100</v>
      </c>
      <c r="AQ451" s="4"/>
      <c r="AR451" s="6" t="b">
        <f>NOT(TRIM(W451)&lt;&gt;"F")</f>
        <v>1</v>
      </c>
      <c r="AS451" s="6" t="str">
        <f>$B451&amp;" | "&amp;$AO451&amp;" | "&amp;IF(TRIM(H451)="","uniq"&amp;ROW(),TRIM(H451))</f>
        <v>461E | 90MB1BJ0-C1BAY0 | 59MB1BJB-MB0A02S |  |  |  |  |  |  | G0</v>
      </c>
      <c r="AT451" s="63">
        <f>IF(NOT(AR451),IF(TRIM($H451)="","Assembly","Phantom Alt"),VLOOKUP(F451,ZPCS04!B:G,6,0))</f>
        <v>1273</v>
      </c>
      <c r="AU451" s="7"/>
      <c r="AV451" s="38">
        <f ca="1">IF(TRIM($W451)="F",OFFSET($A$5,MATCH($AS451,$AS$5:$AS451,0)-1,0),$A451)</f>
        <v>451</v>
      </c>
      <c r="AW451" s="38">
        <f ca="1">IFERROR(OFFSET(ZPCS04!$A$1,MATCH(F451,ZPCS04!B:B,0)-1,0),100)</f>
        <v>1.9999999000000002</v>
      </c>
      <c r="AX451" s="7"/>
      <c r="AY451" s="6" t="b">
        <f>SUMIF(AS:AS,AS451,AP:AP)=100</f>
        <v>1</v>
      </c>
      <c r="AZ451" s="6" t="b">
        <f>SUMIF(AS:AS,AS451,AE:AE)/COUNTIF(AS:AS,AS451)=AE451</f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>C451&amp;" | "&amp;F451</f>
        <v>90MB1BJ0-C1BAY0 | 10G21290R914010</v>
      </c>
      <c r="BE451" s="55" t="str">
        <f ca="1">C451&amp;" | "&amp;OFFSET($AF451,0,8-COUNTBLANK($AG451:$AN451))</f>
        <v>90MB1BJ0-C1BAY0 | 59MB1BJB-MB0A02S</v>
      </c>
      <c r="BF451" s="57">
        <f ca="1">IFERROR(VLOOKUP($BE451,$BD$5:$BF450,3,0)*$AE451,VLOOKUP($C451,Demanda!$A:$B,2,0)*$AE451)*IF(AT451="Phantom Alt",$BC451,TRUE)</f>
        <v>4000</v>
      </c>
      <c r="BG451" s="57">
        <f ca="1">BF451*(AP451/100)</f>
        <v>4000</v>
      </c>
      <c r="BH451" s="57">
        <f>SUMIF(Invoice!A:A,F451,Invoice!B:B)</f>
        <v>10000</v>
      </c>
      <c r="BI451" s="57">
        <f ca="1">SUMIF(AS:AS,AS451,BG:BG)</f>
        <v>4000</v>
      </c>
      <c r="BJ451" s="57">
        <f ca="1">MIN((BI451-SUMIF($AS$5:AS450,AS451,$BJ$5:BJ450)),MAX(0,BH451-SUMIF($F$5:F450,F451,$BJ$5:BJ450)))</f>
        <v>4000</v>
      </c>
      <c r="BK451" s="57">
        <f ca="1">(-SUMIF(AS:AS,AS451,BG:BG)+SUMIF(AS:AS,AS451,BJ:BJ))*(AP451=100)*AR451</f>
        <v>0</v>
      </c>
      <c r="BL451" s="57">
        <f ca="1">MAX(0,SUMIF(Invoice!A:A,F451,Invoice!B:B)-SUMIF(F:F,F451,BJ:BJ))*(COUNTIF(F:F,F451)=COUNTIF($F$5:F451,F451))</f>
        <v>6000</v>
      </c>
    </row>
    <row r="452" spans="1:64" hidden="1">
      <c r="A452" s="43">
        <v>452</v>
      </c>
      <c r="B452" s="13" t="s">
        <v>147</v>
      </c>
      <c r="C452" s="13" t="s">
        <v>146</v>
      </c>
      <c r="D452" s="13">
        <v>2</v>
      </c>
      <c r="E452" s="13">
        <v>1600</v>
      </c>
      <c r="F452" s="71" t="s">
        <v>1110</v>
      </c>
      <c r="G452" s="71" t="s">
        <v>1111</v>
      </c>
      <c r="H452" s="13" t="s">
        <v>1109</v>
      </c>
      <c r="I452" s="13" t="s">
        <v>55</v>
      </c>
      <c r="J452" s="28">
        <v>0</v>
      </c>
      <c r="K452" s="13" t="s">
        <v>489</v>
      </c>
      <c r="L452" s="13" t="s">
        <v>53</v>
      </c>
      <c r="M452" s="13">
        <v>4</v>
      </c>
      <c r="O452" s="13">
        <v>1</v>
      </c>
      <c r="P452" s="13">
        <v>2</v>
      </c>
      <c r="Q452" s="13">
        <v>3</v>
      </c>
      <c r="R452" s="13" t="s">
        <v>122</v>
      </c>
      <c r="S452" s="13" t="s">
        <v>122</v>
      </c>
      <c r="T452" s="13">
        <v>44901</v>
      </c>
      <c r="U452" s="13">
        <v>2958465</v>
      </c>
      <c r="V452" s="13" t="s">
        <v>282</v>
      </c>
      <c r="W452" s="13" t="s">
        <v>145</v>
      </c>
      <c r="Y452" s="13" t="s">
        <v>143</v>
      </c>
      <c r="Z452" s="13">
        <v>7589154</v>
      </c>
      <c r="AA452" s="13">
        <v>794</v>
      </c>
      <c r="AB452" s="13">
        <v>397</v>
      </c>
      <c r="AE452" s="51">
        <f>M452/O452</f>
        <v>4</v>
      </c>
      <c r="AG452" s="6" t="str">
        <f>C452</f>
        <v>90MB1BJ0-C1BAY0</v>
      </c>
      <c r="AH452" s="6" t="str">
        <f>IF($D452&lt;=AH$4,"",IF(AND($D451=AH$4,$D452&gt;AH$4),$F451,AH451))</f>
        <v>59MB1BJB-MB0A02S</v>
      </c>
      <c r="AI452" s="6" t="str">
        <f>IF($D452&lt;=AI$4,"",IF(AND($D451=AI$4,$D452&gt;AI$4),$F451,AI451))</f>
        <v/>
      </c>
      <c r="AJ452" s="6" t="str">
        <f>IF($D452&lt;=AJ$4,"",IF(AND($D451=AJ$4,$D452&gt;AJ$4),$F451,AJ451))</f>
        <v/>
      </c>
      <c r="AK452" s="6" t="str">
        <f>IF($D452&lt;=AK$4,"",IF(AND($D451=AK$4,$D452&gt;AK$4),$F451,AK451))</f>
        <v/>
      </c>
      <c r="AL452" s="6" t="str">
        <f>IF($D452&lt;=AL$4,"",IF(AND($D451=AL$4,$D452&gt;AL$4),$F451,AL451))</f>
        <v/>
      </c>
      <c r="AM452" s="6" t="str">
        <f>IF($D452&lt;=AM$4,"",IF(AND($D451=AM$4,$D452&gt;AM$4),$F451,AM451))</f>
        <v/>
      </c>
      <c r="AN452" s="6" t="str">
        <f>IF($D452&lt;=AN$4,"",IF(AND($D451=AN$4,$D452&gt;AN$4),$F451,AN451))</f>
        <v/>
      </c>
      <c r="AO452" s="6" t="str">
        <f>CONCATENATE(AG452," | ",AH452," | ",AI452," | ",AJ452," | ",AK452," | ",AL452," | ",AM452," | ",AN452)</f>
        <v xml:space="preserve">90MB1BJ0-C1BAY0 | 59MB1BJB-MB0A02S |  |  |  |  |  | </v>
      </c>
      <c r="AP452" s="6">
        <f>IF(TRIM(H452)="",100,J452)</f>
        <v>0</v>
      </c>
      <c r="AQ452" s="4"/>
      <c r="AR452" s="6" t="b">
        <f>NOT(TRIM(W452)&lt;&gt;"F")</f>
        <v>1</v>
      </c>
      <c r="AS452" s="6" t="str">
        <f>$B452&amp;" | "&amp;$AO452&amp;" | "&amp;IF(TRIM(H452)="","uniq"&amp;ROW(),TRIM(H452))</f>
        <v>461E | 90MB1BJ0-C1BAY0 | 59MB1BJB-MB0A02S |  |  |  |  |  |  | G0</v>
      </c>
      <c r="AT452" s="63">
        <f>IF(NOT(AR452),IF(TRIM($H452)="","Assembly","Phantom Alt"),VLOOKUP(F452,ZPCS04!B:G,6,0))</f>
        <v>1273</v>
      </c>
      <c r="AU452" s="7"/>
      <c r="AV452" s="38">
        <f ca="1">IF(TRIM($W452)="F",OFFSET($A$5,MATCH($AS452,$AS$5:$AS452,0)-1,0),$A452)</f>
        <v>451</v>
      </c>
      <c r="AW452" s="38">
        <f ca="1">IFERROR(OFFSET(ZPCS04!$A$1,MATCH(F452,ZPCS04!B:B,0)-1,0),100)</f>
        <v>2</v>
      </c>
      <c r="AX452" s="7"/>
      <c r="AY452" s="6" t="b">
        <f>SUMIF(AS:AS,AS452,AP:AP)=100</f>
        <v>1</v>
      </c>
      <c r="AZ452" s="6" t="b">
        <f>SUMIF(AS:AS,AS452,AE:AE)/COUNTIF(AS:AS,AS452)=AE452</f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>C452&amp;" | "&amp;F452</f>
        <v>90MB1BJ0-C1BAY0 | 10G21290R914020</v>
      </c>
      <c r="BE452" s="55" t="str">
        <f ca="1">C452&amp;" | "&amp;OFFSET($AF452,0,8-COUNTBLANK($AG452:$AN452))</f>
        <v>90MB1BJ0-C1BAY0 | 59MB1BJB-MB0A02S</v>
      </c>
      <c r="BF452" s="57">
        <f ca="1">IFERROR(VLOOKUP($BE452,$BD$5:$BF451,3,0)*$AE452,VLOOKUP($C452,Demanda!$A:$B,2,0)*$AE452)*IF(AT452="Phantom Alt",$BC452,TRUE)</f>
        <v>4000</v>
      </c>
      <c r="BG452" s="57">
        <f ca="1">BF452*(AP452/100)</f>
        <v>0</v>
      </c>
      <c r="BH452" s="57">
        <f>SUMIF(Invoice!A:A,F452,Invoice!B:B)</f>
        <v>0</v>
      </c>
      <c r="BI452" s="57">
        <f ca="1">SUMIF(AS:AS,AS452,BG:BG)</f>
        <v>4000</v>
      </c>
      <c r="BJ452" s="57">
        <f ca="1">MIN((BI452-SUMIF($AS$5:AS451,AS452,$BJ$5:BJ451)),MAX(0,BH452-SUMIF($F$5:F451,F452,$BJ$5:BJ451)))</f>
        <v>0</v>
      </c>
      <c r="BK452" s="57">
        <f ca="1">(-SUMIF(AS:AS,AS452,BG:BG)+SUMIF(AS:AS,AS452,BJ:BJ))*(AP452=100)*AR452</f>
        <v>0</v>
      </c>
      <c r="BL452" s="57">
        <f ca="1">MAX(0,SUMIF(Invoice!A:A,F452,Invoice!B:B)-SUMIF(F:F,F452,BJ:BJ))*(COUNTIF(F:F,F452)=COUNTIF($F$5:F452,F452))</f>
        <v>0</v>
      </c>
    </row>
    <row r="453" spans="1:64" hidden="1">
      <c r="A453" s="43">
        <v>453</v>
      </c>
      <c r="B453" s="13" t="s">
        <v>147</v>
      </c>
      <c r="C453" s="13" t="s">
        <v>146</v>
      </c>
      <c r="D453" s="13">
        <v>2</v>
      </c>
      <c r="E453" s="13">
        <v>1600</v>
      </c>
      <c r="F453" s="71" t="s">
        <v>1112</v>
      </c>
      <c r="G453" s="71" t="s">
        <v>1113</v>
      </c>
      <c r="H453" s="13" t="s">
        <v>1109</v>
      </c>
      <c r="I453" s="13" t="s">
        <v>55</v>
      </c>
      <c r="J453" s="28">
        <v>0</v>
      </c>
      <c r="K453" s="13" t="s">
        <v>150</v>
      </c>
      <c r="L453" s="13" t="s">
        <v>53</v>
      </c>
      <c r="M453" s="13">
        <v>4</v>
      </c>
      <c r="O453" s="13">
        <v>1</v>
      </c>
      <c r="P453" s="13">
        <v>2</v>
      </c>
      <c r="Q453" s="13">
        <v>2</v>
      </c>
      <c r="R453" s="13" t="s">
        <v>73</v>
      </c>
      <c r="S453" s="13" t="s">
        <v>73</v>
      </c>
      <c r="T453" s="13">
        <v>44901</v>
      </c>
      <c r="U453" s="13">
        <v>2958465</v>
      </c>
      <c r="V453" s="13" t="s">
        <v>282</v>
      </c>
      <c r="W453" s="13" t="s">
        <v>145</v>
      </c>
      <c r="Y453" s="13" t="s">
        <v>143</v>
      </c>
      <c r="Z453" s="13">
        <v>7589154</v>
      </c>
      <c r="AA453" s="13">
        <v>792</v>
      </c>
      <c r="AB453" s="13">
        <v>396</v>
      </c>
      <c r="AE453" s="51">
        <f>M453/O453</f>
        <v>4</v>
      </c>
      <c r="AG453" s="6" t="str">
        <f>C453</f>
        <v>90MB1BJ0-C1BAY0</v>
      </c>
      <c r="AH453" s="6" t="str">
        <f>IF($D453&lt;=AH$4,"",IF(AND($D452=AH$4,$D453&gt;AH$4),$F452,AH452))</f>
        <v>59MB1BJB-MB0A02S</v>
      </c>
      <c r="AI453" s="6" t="str">
        <f>IF($D453&lt;=AI$4,"",IF(AND($D452=AI$4,$D453&gt;AI$4),$F452,AI452))</f>
        <v/>
      </c>
      <c r="AJ453" s="6" t="str">
        <f>IF($D453&lt;=AJ$4,"",IF(AND($D452=AJ$4,$D453&gt;AJ$4),$F452,AJ452))</f>
        <v/>
      </c>
      <c r="AK453" s="6" t="str">
        <f>IF($D453&lt;=AK$4,"",IF(AND($D452=AK$4,$D453&gt;AK$4),$F452,AK452))</f>
        <v/>
      </c>
      <c r="AL453" s="6" t="str">
        <f>IF($D453&lt;=AL$4,"",IF(AND($D452=AL$4,$D453&gt;AL$4),$F452,AL452))</f>
        <v/>
      </c>
      <c r="AM453" s="6" t="str">
        <f>IF($D453&lt;=AM$4,"",IF(AND($D452=AM$4,$D453&gt;AM$4),$F452,AM452))</f>
        <v/>
      </c>
      <c r="AN453" s="6" t="str">
        <f>IF($D453&lt;=AN$4,"",IF(AND($D452=AN$4,$D453&gt;AN$4),$F452,AN452))</f>
        <v/>
      </c>
      <c r="AO453" s="6" t="str">
        <f>CONCATENATE(AG453," | ",AH453," | ",AI453," | ",AJ453," | ",AK453," | ",AL453," | ",AM453," | ",AN453)</f>
        <v xml:space="preserve">90MB1BJ0-C1BAY0 | 59MB1BJB-MB0A02S |  |  |  |  |  | </v>
      </c>
      <c r="AP453" s="6">
        <f>IF(TRIM(H453)="",100,J453)</f>
        <v>0</v>
      </c>
      <c r="AQ453" s="4"/>
      <c r="AR453" s="6" t="b">
        <f>NOT(TRIM(W453)&lt;&gt;"F")</f>
        <v>1</v>
      </c>
      <c r="AS453" s="6" t="str">
        <f>$B453&amp;" | "&amp;$AO453&amp;" | "&amp;IF(TRIM(H453)="","uniq"&amp;ROW(),TRIM(H453))</f>
        <v>461E | 90MB1BJ0-C1BAY0 | 59MB1BJB-MB0A02S |  |  |  |  |  |  | G0</v>
      </c>
      <c r="AT453" s="63">
        <f>IF(NOT(AR453),IF(TRIM($H453)="","Assembly","Phantom Alt"),VLOOKUP(F453,ZPCS04!B:G,6,0))</f>
        <v>1273</v>
      </c>
      <c r="AU453" s="7"/>
      <c r="AV453" s="38">
        <f ca="1">IF(TRIM($W453)="F",OFFSET($A$5,MATCH($AS453,$AS$5:$AS453,0)-1,0),$A453)</f>
        <v>451</v>
      </c>
      <c r="AW453" s="38">
        <f ca="1">IFERROR(OFFSET(ZPCS04!$A$1,MATCH(F453,ZPCS04!B:B,0)-1,0),100)</f>
        <v>2</v>
      </c>
      <c r="AX453" s="7"/>
      <c r="AY453" s="6" t="b">
        <f>SUMIF(AS:AS,AS453,AP:AP)=100</f>
        <v>1</v>
      </c>
      <c r="AZ453" s="6" t="b">
        <f>SUMIF(AS:AS,AS453,AE:AE)/COUNTIF(AS:AS,AS453)=AE453</f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>C453&amp;" | "&amp;F453</f>
        <v>90MB1BJ0-C1BAY0 | 10G21290R914050</v>
      </c>
      <c r="BE453" s="55" t="str">
        <f ca="1">C453&amp;" | "&amp;OFFSET($AF453,0,8-COUNTBLANK($AG453:$AN453))</f>
        <v>90MB1BJ0-C1BAY0 | 59MB1BJB-MB0A02S</v>
      </c>
      <c r="BF453" s="57">
        <f ca="1">IFERROR(VLOOKUP($BE453,$BD$5:$BF452,3,0)*$AE453,VLOOKUP($C453,Demanda!$A:$B,2,0)*$AE453)*IF(AT453="Phantom Alt",$BC453,TRUE)</f>
        <v>4000</v>
      </c>
      <c r="BG453" s="57">
        <f ca="1">BF453*(AP453/100)</f>
        <v>0</v>
      </c>
      <c r="BH453" s="57">
        <f>SUMIF(Invoice!A:A,F453,Invoice!B:B)</f>
        <v>0</v>
      </c>
      <c r="BI453" s="57">
        <f ca="1">SUMIF(AS:AS,AS453,BG:BG)</f>
        <v>4000</v>
      </c>
      <c r="BJ453" s="57">
        <f ca="1">MIN((BI453-SUMIF($AS$5:AS452,AS453,$BJ$5:BJ452)),MAX(0,BH453-SUMIF($F$5:F452,F453,$BJ$5:BJ452)))</f>
        <v>0</v>
      </c>
      <c r="BK453" s="57">
        <f ca="1">(-SUMIF(AS:AS,AS453,BG:BG)+SUMIF(AS:AS,AS453,BJ:BJ))*(AP453=100)*AR453</f>
        <v>0</v>
      </c>
      <c r="BL453" s="57">
        <f ca="1">MAX(0,SUMIF(Invoice!A:A,F453,Invoice!B:B)-SUMIF(F:F,F453,BJ:BJ))*(COUNTIF(F:F,F453)=COUNTIF($F$5:F453,F453))</f>
        <v>0</v>
      </c>
    </row>
    <row r="454" spans="1:64" hidden="1">
      <c r="A454" s="43">
        <v>454</v>
      </c>
      <c r="B454" s="13" t="s">
        <v>147</v>
      </c>
      <c r="C454" s="13" t="s">
        <v>146</v>
      </c>
      <c r="D454" s="13">
        <v>2</v>
      </c>
      <c r="E454" s="13">
        <v>1610</v>
      </c>
      <c r="F454" s="71" t="s">
        <v>1114</v>
      </c>
      <c r="G454" s="71" t="s">
        <v>1115</v>
      </c>
      <c r="H454" s="13" t="s">
        <v>1116</v>
      </c>
      <c r="I454" s="13" t="s">
        <v>54</v>
      </c>
      <c r="J454" s="28">
        <v>100</v>
      </c>
      <c r="K454" s="13" t="s">
        <v>150</v>
      </c>
      <c r="L454" s="13" t="s">
        <v>53</v>
      </c>
      <c r="M454" s="13">
        <v>1</v>
      </c>
      <c r="N454" s="13">
        <v>1</v>
      </c>
      <c r="O454" s="13">
        <v>1</v>
      </c>
      <c r="P454" s="13">
        <v>2</v>
      </c>
      <c r="Q454" s="13">
        <v>1</v>
      </c>
      <c r="R454" s="13" t="s">
        <v>73</v>
      </c>
      <c r="S454" s="13" t="s">
        <v>73</v>
      </c>
      <c r="T454" s="13">
        <v>44901</v>
      </c>
      <c r="U454" s="13">
        <v>2958465</v>
      </c>
      <c r="V454" s="13" t="s">
        <v>282</v>
      </c>
      <c r="W454" s="13" t="s">
        <v>145</v>
      </c>
      <c r="Y454" s="13" t="s">
        <v>143</v>
      </c>
      <c r="Z454" s="13">
        <v>7589154</v>
      </c>
      <c r="AA454" s="13">
        <v>796</v>
      </c>
      <c r="AB454" s="13">
        <v>398</v>
      </c>
      <c r="AE454" s="51">
        <f>M454/O454</f>
        <v>1</v>
      </c>
      <c r="AG454" s="6" t="str">
        <f>C454</f>
        <v>90MB1BJ0-C1BAY0</v>
      </c>
      <c r="AH454" s="6" t="str">
        <f>IF($D454&lt;=AH$4,"",IF(AND($D453=AH$4,$D454&gt;AH$4),$F453,AH453))</f>
        <v>59MB1BJB-MB0A02S</v>
      </c>
      <c r="AI454" s="6" t="str">
        <f>IF($D454&lt;=AI$4,"",IF(AND($D453=AI$4,$D454&gt;AI$4),$F453,AI453))</f>
        <v/>
      </c>
      <c r="AJ454" s="6" t="str">
        <f>IF($D454&lt;=AJ$4,"",IF(AND($D453=AJ$4,$D454&gt;AJ$4),$F453,AJ453))</f>
        <v/>
      </c>
      <c r="AK454" s="6" t="str">
        <f>IF($D454&lt;=AK$4,"",IF(AND($D453=AK$4,$D454&gt;AK$4),$F453,AK453))</f>
        <v/>
      </c>
      <c r="AL454" s="6" t="str">
        <f>IF($D454&lt;=AL$4,"",IF(AND($D453=AL$4,$D454&gt;AL$4),$F453,AL453))</f>
        <v/>
      </c>
      <c r="AM454" s="6" t="str">
        <f>IF($D454&lt;=AM$4,"",IF(AND($D453=AM$4,$D454&gt;AM$4),$F453,AM453))</f>
        <v/>
      </c>
      <c r="AN454" s="6" t="str">
        <f>IF($D454&lt;=AN$4,"",IF(AND($D453=AN$4,$D454&gt;AN$4),$F453,AN453))</f>
        <v/>
      </c>
      <c r="AO454" s="6" t="str">
        <f>CONCATENATE(AG454," | ",AH454," | ",AI454," | ",AJ454," | ",AK454," | ",AL454," | ",AM454," | ",AN454)</f>
        <v xml:space="preserve">90MB1BJ0-C1BAY0 | 59MB1BJB-MB0A02S |  |  |  |  |  | </v>
      </c>
      <c r="AP454" s="6">
        <f>IF(TRIM(H454)="",100,J454)</f>
        <v>100</v>
      </c>
      <c r="AQ454" s="4"/>
      <c r="AR454" s="6" t="b">
        <f>NOT(TRIM(W454)&lt;&gt;"F")</f>
        <v>1</v>
      </c>
      <c r="AS454" s="6" t="str">
        <f>$B454&amp;" | "&amp;$AO454&amp;" | "&amp;IF(TRIM(H454)="","uniq"&amp;ROW(),TRIM(H454))</f>
        <v>461E | 90MB1BJ0-C1BAY0 | 59MB1BJB-MB0A02S |  |  |  |  |  |  | G1</v>
      </c>
      <c r="AT454" s="63">
        <f>IF(NOT(AR454),IF(TRIM($H454)="","Assembly","Phantom Alt"),VLOOKUP(F454,ZPCS04!B:G,6,0))</f>
        <v>1101</v>
      </c>
      <c r="AU454" s="7"/>
      <c r="AV454" s="38">
        <f ca="1">IF(TRIM($W454)="F",OFFSET($A$5,MATCH($AS454,$AS$5:$AS454,0)-1,0),$A454)</f>
        <v>454</v>
      </c>
      <c r="AW454" s="38">
        <f ca="1">IFERROR(OFFSET(ZPCS04!$A$1,MATCH(F454,ZPCS04!B:B,0)-1,0),100)</f>
        <v>1.9999999000000002</v>
      </c>
      <c r="AX454" s="7"/>
      <c r="AY454" s="6" t="b">
        <f>SUMIF(AS:AS,AS454,AP:AP)=100</f>
        <v>1</v>
      </c>
      <c r="AZ454" s="6" t="b">
        <f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>C454&amp;" | "&amp;F454</f>
        <v>90MB1BJ0-C1BAY0 | 10G212976114010</v>
      </c>
      <c r="BE454" s="55" t="str">
        <f ca="1">C454&amp;" | "&amp;OFFSET($AF454,0,8-COUNTBLANK($AG454:$AN454))</f>
        <v>90MB1BJ0-C1BAY0 | 59MB1BJB-MB0A02S</v>
      </c>
      <c r="BF454" s="57">
        <f ca="1">IFERROR(VLOOKUP($BE454,$BD$5:$BF453,3,0)*$AE454,VLOOKUP($C454,Demanda!$A:$B,2,0)*$AE454)*IF(AT454="Phantom Alt",$BC454,TRUE)</f>
        <v>1000</v>
      </c>
      <c r="BG454" s="57">
        <f ca="1">BF454*(AP454/100)</f>
        <v>1000</v>
      </c>
      <c r="BH454" s="57">
        <f>SUMIF(Invoice!A:A,F454,Invoice!B:B)</f>
        <v>10000</v>
      </c>
      <c r="BI454" s="57">
        <f ca="1">SUMIF(AS:AS,AS454,BG:BG)</f>
        <v>1000</v>
      </c>
      <c r="BJ454" s="57">
        <f ca="1">MIN((BI454-SUMIF($AS$5:AS453,AS454,$BJ$5:BJ453)),MAX(0,BH454-SUMIF($F$5:F453,F454,$BJ$5:BJ453)))</f>
        <v>1000</v>
      </c>
      <c r="BK454" s="57">
        <f ca="1">(-SUMIF(AS:AS,AS454,BG:BG)+SUMIF(AS:AS,AS454,BJ:BJ))*(AP454=100)*AR454</f>
        <v>0</v>
      </c>
      <c r="BL454" s="57">
        <f ca="1">MAX(0,SUMIF(Invoice!A:A,F454,Invoice!B:B)-SUMIF(F:F,F454,BJ:BJ))*(COUNTIF(F:F,F454)=COUNTIF($F$5:F454,F454))</f>
        <v>9000</v>
      </c>
    </row>
    <row r="455" spans="1:64" hidden="1">
      <c r="A455" s="43">
        <v>455</v>
      </c>
      <c r="B455" s="13" t="s">
        <v>147</v>
      </c>
      <c r="C455" s="13" t="s">
        <v>146</v>
      </c>
      <c r="D455" s="13">
        <v>2</v>
      </c>
      <c r="E455" s="13">
        <v>1610</v>
      </c>
      <c r="F455" s="71" t="s">
        <v>1117</v>
      </c>
      <c r="G455" s="71" t="s">
        <v>1115</v>
      </c>
      <c r="H455" s="13" t="s">
        <v>1116</v>
      </c>
      <c r="I455" s="13" t="s">
        <v>55</v>
      </c>
      <c r="J455" s="28">
        <v>0</v>
      </c>
      <c r="K455" s="13" t="s">
        <v>150</v>
      </c>
      <c r="L455" s="13" t="s">
        <v>53</v>
      </c>
      <c r="M455" s="13">
        <v>1</v>
      </c>
      <c r="O455" s="13">
        <v>1</v>
      </c>
      <c r="P455" s="13">
        <v>2</v>
      </c>
      <c r="Q455" s="13">
        <v>2</v>
      </c>
      <c r="R455" s="13" t="s">
        <v>73</v>
      </c>
      <c r="S455" s="13" t="s">
        <v>73</v>
      </c>
      <c r="T455" s="13">
        <v>44901</v>
      </c>
      <c r="U455" s="13">
        <v>2958465</v>
      </c>
      <c r="V455" s="13" t="s">
        <v>282</v>
      </c>
      <c r="W455" s="13" t="s">
        <v>145</v>
      </c>
      <c r="Y455" s="13" t="s">
        <v>143</v>
      </c>
      <c r="Z455" s="13">
        <v>7589154</v>
      </c>
      <c r="AA455" s="13">
        <v>798</v>
      </c>
      <c r="AB455" s="13">
        <v>399</v>
      </c>
      <c r="AE455" s="51">
        <f>M455/O455</f>
        <v>1</v>
      </c>
      <c r="AG455" s="6" t="str">
        <f>C455</f>
        <v>90MB1BJ0-C1BAY0</v>
      </c>
      <c r="AH455" s="6" t="str">
        <f>IF($D455&lt;=AH$4,"",IF(AND($D454=AH$4,$D455&gt;AH$4),$F454,AH454))</f>
        <v>59MB1BJB-MB0A02S</v>
      </c>
      <c r="AI455" s="6" t="str">
        <f>IF($D455&lt;=AI$4,"",IF(AND($D454=AI$4,$D455&gt;AI$4),$F454,AI454))</f>
        <v/>
      </c>
      <c r="AJ455" s="6" t="str">
        <f>IF($D455&lt;=AJ$4,"",IF(AND($D454=AJ$4,$D455&gt;AJ$4),$F454,AJ454))</f>
        <v/>
      </c>
      <c r="AK455" s="6" t="str">
        <f>IF($D455&lt;=AK$4,"",IF(AND($D454=AK$4,$D455&gt;AK$4),$F454,AK454))</f>
        <v/>
      </c>
      <c r="AL455" s="6" t="str">
        <f>IF($D455&lt;=AL$4,"",IF(AND($D454=AL$4,$D455&gt;AL$4),$F454,AL454))</f>
        <v/>
      </c>
      <c r="AM455" s="6" t="str">
        <f>IF($D455&lt;=AM$4,"",IF(AND($D454=AM$4,$D455&gt;AM$4),$F454,AM454))</f>
        <v/>
      </c>
      <c r="AN455" s="6" t="str">
        <f>IF($D455&lt;=AN$4,"",IF(AND($D454=AN$4,$D455&gt;AN$4),$F454,AN454))</f>
        <v/>
      </c>
      <c r="AO455" s="6" t="str">
        <f>CONCATENATE(AG455," | ",AH455," | ",AI455," | ",AJ455," | ",AK455," | ",AL455," | ",AM455," | ",AN455)</f>
        <v xml:space="preserve">90MB1BJ0-C1BAY0 | 59MB1BJB-MB0A02S |  |  |  |  |  | </v>
      </c>
      <c r="AP455" s="6">
        <f>IF(TRIM(H455)="",100,J455)</f>
        <v>0</v>
      </c>
      <c r="AQ455" s="4"/>
      <c r="AR455" s="6" t="b">
        <f>NOT(TRIM(W455)&lt;&gt;"F")</f>
        <v>1</v>
      </c>
      <c r="AS455" s="6" t="str">
        <f>$B455&amp;" | "&amp;$AO455&amp;" | "&amp;IF(TRIM(H455)="","uniq"&amp;ROW(),TRIM(H455))</f>
        <v>461E | 90MB1BJ0-C1BAY0 | 59MB1BJB-MB0A02S |  |  |  |  |  |  | G1</v>
      </c>
      <c r="AT455" s="63">
        <f>IF(NOT(AR455),IF(TRIM($H455)="","Assembly","Phantom Alt"),VLOOKUP(F455,ZPCS04!B:G,6,0))</f>
        <v>1101</v>
      </c>
      <c r="AU455" s="7"/>
      <c r="AV455" s="38">
        <f ca="1">IF(TRIM($W455)="F",OFFSET($A$5,MATCH($AS455,$AS$5:$AS455,0)-1,0),$A455)</f>
        <v>454</v>
      </c>
      <c r="AW455" s="38">
        <f ca="1">IFERROR(OFFSET(ZPCS04!$A$1,MATCH(F455,ZPCS04!B:B,0)-1,0),100)</f>
        <v>2</v>
      </c>
      <c r="AX455" s="7"/>
      <c r="AY455" s="6" t="b">
        <f>SUMIF(AS:AS,AS455,AP:AP)=100</f>
        <v>1</v>
      </c>
      <c r="AZ455" s="6" t="b">
        <f>SUMIF(AS:AS,AS455,AE:AE)/COUNTIF(AS:AS,AS455)=AE455</f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>C455&amp;" | "&amp;F455</f>
        <v>90MB1BJ0-C1BAY0 | 10G212976114020</v>
      </c>
      <c r="BE455" s="55" t="str">
        <f ca="1">C455&amp;" | "&amp;OFFSET($AF455,0,8-COUNTBLANK($AG455:$AN455))</f>
        <v>90MB1BJ0-C1BAY0 | 59MB1BJB-MB0A02S</v>
      </c>
      <c r="BF455" s="57">
        <f ca="1">IFERROR(VLOOKUP($BE455,$BD$5:$BF454,3,0)*$AE455,VLOOKUP($C455,Demanda!$A:$B,2,0)*$AE455)*IF(AT455="Phantom Alt",$BC455,TRUE)</f>
        <v>1000</v>
      </c>
      <c r="BG455" s="57">
        <f ca="1">BF455*(AP455/100)</f>
        <v>0</v>
      </c>
      <c r="BH455" s="57">
        <f>SUMIF(Invoice!A:A,F455,Invoice!B:B)</f>
        <v>0</v>
      </c>
      <c r="BI455" s="57">
        <f ca="1">SUMIF(AS:AS,AS455,BG:BG)</f>
        <v>1000</v>
      </c>
      <c r="BJ455" s="57">
        <f ca="1">MIN((BI455-SUMIF($AS$5:AS454,AS455,$BJ$5:BJ454)),MAX(0,BH455-SUMIF($F$5:F454,F455,$BJ$5:BJ454)))</f>
        <v>0</v>
      </c>
      <c r="BK455" s="57">
        <f ca="1">(-SUMIF(AS:AS,AS455,BG:BG)+SUMIF(AS:AS,AS455,BJ:BJ))*(AP455=100)*AR455</f>
        <v>0</v>
      </c>
      <c r="BL455" s="57">
        <f ca="1">MAX(0,SUMIF(Invoice!A:A,F455,Invoice!B:B)-SUMIF(F:F,F455,BJ:BJ))*(COUNTIF(F:F,F455)=COUNTIF($F$5:F455,F455))</f>
        <v>0</v>
      </c>
    </row>
    <row r="456" spans="1:64" hidden="1">
      <c r="A456" s="43">
        <v>457</v>
      </c>
      <c r="B456" s="13" t="s">
        <v>147</v>
      </c>
      <c r="C456" s="13" t="s">
        <v>146</v>
      </c>
      <c r="D456" s="13">
        <v>2</v>
      </c>
      <c r="E456" s="13">
        <v>1620</v>
      </c>
      <c r="F456" s="71" t="s">
        <v>1121</v>
      </c>
      <c r="G456" s="71" t="s">
        <v>1122</v>
      </c>
      <c r="H456" s="13" t="s">
        <v>1120</v>
      </c>
      <c r="I456" s="13" t="s">
        <v>55</v>
      </c>
      <c r="J456" s="28">
        <v>0</v>
      </c>
      <c r="K456" s="13" t="s">
        <v>489</v>
      </c>
      <c r="L456" s="13" t="s">
        <v>53</v>
      </c>
      <c r="M456" s="13">
        <v>20</v>
      </c>
      <c r="O456" s="13">
        <v>1</v>
      </c>
      <c r="P456" s="13">
        <v>2</v>
      </c>
      <c r="Q456" s="13">
        <v>2</v>
      </c>
      <c r="R456" s="13" t="s">
        <v>122</v>
      </c>
      <c r="S456" s="13" t="s">
        <v>122</v>
      </c>
      <c r="T456" s="13">
        <v>44901</v>
      </c>
      <c r="U456" s="13">
        <v>2958465</v>
      </c>
      <c r="V456" s="13" t="s">
        <v>282</v>
      </c>
      <c r="W456" s="13" t="s">
        <v>145</v>
      </c>
      <c r="Y456" s="13" t="s">
        <v>143</v>
      </c>
      <c r="Z456" s="13">
        <v>7589154</v>
      </c>
      <c r="AA456" s="13">
        <v>802</v>
      </c>
      <c r="AB456" s="13">
        <v>401</v>
      </c>
      <c r="AE456" s="51">
        <f>M456/O456</f>
        <v>20</v>
      </c>
      <c r="AG456" s="6" t="str">
        <f>C456</f>
        <v>90MB1BJ0-C1BAY0</v>
      </c>
      <c r="AH456" s="6" t="str">
        <f>IF($D456&lt;=AH$4,"",IF(AND($D455=AH$4,$D456&gt;AH$4),$F455,AH455))</f>
        <v>59MB1BJB-MB0A02S</v>
      </c>
      <c r="AI456" s="6" t="str">
        <f>IF($D456&lt;=AI$4,"",IF(AND($D455=AI$4,$D456&gt;AI$4),$F455,AI455))</f>
        <v/>
      </c>
      <c r="AJ456" s="6" t="str">
        <f>IF($D456&lt;=AJ$4,"",IF(AND($D455=AJ$4,$D456&gt;AJ$4),$F455,AJ455))</f>
        <v/>
      </c>
      <c r="AK456" s="6" t="str">
        <f>IF($D456&lt;=AK$4,"",IF(AND($D455=AK$4,$D456&gt;AK$4),$F455,AK455))</f>
        <v/>
      </c>
      <c r="AL456" s="6" t="str">
        <f>IF($D456&lt;=AL$4,"",IF(AND($D455=AL$4,$D456&gt;AL$4),$F455,AL455))</f>
        <v/>
      </c>
      <c r="AM456" s="6" t="str">
        <f>IF($D456&lt;=AM$4,"",IF(AND($D455=AM$4,$D456&gt;AM$4),$F455,AM455))</f>
        <v/>
      </c>
      <c r="AN456" s="6" t="str">
        <f>IF($D456&lt;=AN$4,"",IF(AND($D455=AN$4,$D456&gt;AN$4),$F455,AN455))</f>
        <v/>
      </c>
      <c r="AO456" s="6" t="str">
        <f>CONCATENATE(AG456," | ",AH456," | ",AI456," | ",AJ456," | ",AK456," | ",AL456," | ",AM456," | ",AN456)</f>
        <v xml:space="preserve">90MB1BJ0-C1BAY0 | 59MB1BJB-MB0A02S |  |  |  |  |  | </v>
      </c>
      <c r="AP456" s="6">
        <f>IF(TRIM(H456)="",100,J456)</f>
        <v>0</v>
      </c>
      <c r="AQ456" s="4"/>
      <c r="AR456" s="6" t="b">
        <f>NOT(TRIM(W456)&lt;&gt;"F")</f>
        <v>1</v>
      </c>
      <c r="AS456" s="6" t="str">
        <f>$B456&amp;" | "&amp;$AO456&amp;" | "&amp;IF(TRIM(H456)="","uniq"&amp;ROW(),TRIM(H456))</f>
        <v>461E | 90MB1BJ0-C1BAY0 | 59MB1BJB-MB0A02S |  |  |  |  |  |  | G2</v>
      </c>
      <c r="AT456" s="63">
        <f>IF(NOT(AR456),IF(TRIM($H456)="","Assembly","Phantom Alt"),VLOOKUP(F456,ZPCS04!B:G,6,0))</f>
        <v>706</v>
      </c>
      <c r="AU456" s="7"/>
      <c r="AV456" s="38">
        <f ca="1">IF(TRIM($W456)="F",OFFSET($A$5,MATCH($AS456,$AS$5:$AS456,0)-1,0),$A456)</f>
        <v>457</v>
      </c>
      <c r="AW456" s="38">
        <f ca="1">IFERROR(OFFSET(ZPCS04!$A$1,MATCH(F456,ZPCS04!B:B,0)-1,0),100)</f>
        <v>1.9999997999999999</v>
      </c>
      <c r="AX456" s="7"/>
      <c r="AY456" s="6" t="b">
        <f>SUMIF(AS:AS,AS456,AP:AP)=100</f>
        <v>1</v>
      </c>
      <c r="AZ456" s="6" t="b">
        <f>SUMIF(AS:AS,AS456,AE:AE)/COUNTIF(AS:AS,AS456)=AE456</f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>C456&amp;" | "&amp;F456</f>
        <v>90MB1BJ0-C1BAY0 | 10G213000003020</v>
      </c>
      <c r="BE456" s="55" t="str">
        <f ca="1">C456&amp;" | "&amp;OFFSET($AF456,0,8-COUNTBLANK($AG456:$AN456))</f>
        <v>90MB1BJ0-C1BAY0 | 59MB1BJB-MB0A02S</v>
      </c>
      <c r="BF456" s="57">
        <f ca="1">IFERROR(VLOOKUP($BE456,$BD$5:$BF455,3,0)*$AE456,VLOOKUP($C456,Demanda!$A:$B,2,0)*$AE456)*IF(AT456="Phantom Alt",$BC456,TRUE)</f>
        <v>20000</v>
      </c>
      <c r="BG456" s="57">
        <f ca="1">BF456*(AP456/100)</f>
        <v>0</v>
      </c>
      <c r="BH456" s="57">
        <f>SUMIF(Invoice!A:A,F456,Invoice!B:B)</f>
        <v>20000</v>
      </c>
      <c r="BI456" s="57">
        <f ca="1">SUMIF(AS:AS,AS456,BG:BG)</f>
        <v>20000</v>
      </c>
      <c r="BJ456" s="57">
        <f ca="1">MIN((BI456-SUMIF($AS$5:AS455,AS456,$BJ$5:BJ455)),MAX(0,BH456-SUMIF($F$5:F455,F456,$BJ$5:BJ455)))</f>
        <v>20000</v>
      </c>
      <c r="BK456" s="57">
        <f ca="1">(-SUMIF(AS:AS,AS456,BG:BG)+SUMIF(AS:AS,AS456,BJ:BJ))*(AP456=100)*AR456</f>
        <v>0</v>
      </c>
      <c r="BL456" s="57">
        <f ca="1">MAX(0,SUMIF(Invoice!A:A,F456,Invoice!B:B)-SUMIF(F:F,F456,BJ:BJ))*(COUNTIF(F:F,F456)=COUNTIF($F$5:F456,F456))</f>
        <v>0</v>
      </c>
    </row>
    <row r="457" spans="1:64" hidden="1">
      <c r="A457" s="43">
        <v>456</v>
      </c>
      <c r="B457" s="13" t="s">
        <v>147</v>
      </c>
      <c r="C457" s="13" t="s">
        <v>146</v>
      </c>
      <c r="D457" s="13">
        <v>2</v>
      </c>
      <c r="E457" s="13">
        <v>1620</v>
      </c>
      <c r="F457" s="71" t="s">
        <v>1118</v>
      </c>
      <c r="G457" s="71" t="s">
        <v>1119</v>
      </c>
      <c r="H457" s="13" t="s">
        <v>1120</v>
      </c>
      <c r="I457" s="13" t="s">
        <v>54</v>
      </c>
      <c r="J457" s="28">
        <v>100</v>
      </c>
      <c r="K457" s="13" t="s">
        <v>489</v>
      </c>
      <c r="L457" s="13" t="s">
        <v>53</v>
      </c>
      <c r="M457" s="13">
        <v>20</v>
      </c>
      <c r="N457" s="13">
        <v>20</v>
      </c>
      <c r="O457" s="13">
        <v>1</v>
      </c>
      <c r="P457" s="13">
        <v>2</v>
      </c>
      <c r="Q457" s="13">
        <v>1</v>
      </c>
      <c r="R457" s="13" t="s">
        <v>122</v>
      </c>
      <c r="S457" s="13" t="s">
        <v>122</v>
      </c>
      <c r="T457" s="13">
        <v>44901</v>
      </c>
      <c r="U457" s="13">
        <v>2958465</v>
      </c>
      <c r="V457" s="13" t="s">
        <v>282</v>
      </c>
      <c r="W457" s="13" t="s">
        <v>145</v>
      </c>
      <c r="Y457" s="13" t="s">
        <v>143</v>
      </c>
      <c r="Z457" s="13">
        <v>7589154</v>
      </c>
      <c r="AA457" s="13">
        <v>800</v>
      </c>
      <c r="AB457" s="13">
        <v>400</v>
      </c>
      <c r="AE457" s="51">
        <f>M457/O457</f>
        <v>20</v>
      </c>
      <c r="AG457" s="6" t="str">
        <f>C457</f>
        <v>90MB1BJ0-C1BAY0</v>
      </c>
      <c r="AH457" s="6" t="str">
        <f>IF($D457&lt;=AH$4,"",IF(AND($D456=AH$4,$D457&gt;AH$4),$F456,AH456))</f>
        <v>59MB1BJB-MB0A02S</v>
      </c>
      <c r="AI457" s="6" t="str">
        <f>IF($D457&lt;=AI$4,"",IF(AND($D456=AI$4,$D457&gt;AI$4),$F456,AI456))</f>
        <v/>
      </c>
      <c r="AJ457" s="6" t="str">
        <f>IF($D457&lt;=AJ$4,"",IF(AND($D456=AJ$4,$D457&gt;AJ$4),$F456,AJ456))</f>
        <v/>
      </c>
      <c r="AK457" s="6" t="str">
        <f>IF($D457&lt;=AK$4,"",IF(AND($D456=AK$4,$D457&gt;AK$4),$F456,AK456))</f>
        <v/>
      </c>
      <c r="AL457" s="6" t="str">
        <f>IF($D457&lt;=AL$4,"",IF(AND($D456=AL$4,$D457&gt;AL$4),$F456,AL456))</f>
        <v/>
      </c>
      <c r="AM457" s="6" t="str">
        <f>IF($D457&lt;=AM$4,"",IF(AND($D456=AM$4,$D457&gt;AM$4),$F456,AM456))</f>
        <v/>
      </c>
      <c r="AN457" s="6" t="str">
        <f>IF($D457&lt;=AN$4,"",IF(AND($D456=AN$4,$D457&gt;AN$4),$F456,AN456))</f>
        <v/>
      </c>
      <c r="AO457" s="6" t="str">
        <f>CONCATENATE(AG457," | ",AH457," | ",AI457," | ",AJ457," | ",AK457," | ",AL457," | ",AM457," | ",AN457)</f>
        <v xml:space="preserve">90MB1BJ0-C1BAY0 | 59MB1BJB-MB0A02S |  |  |  |  |  | </v>
      </c>
      <c r="AP457" s="6">
        <f>IF(TRIM(H457)="",100,J457)</f>
        <v>100</v>
      </c>
      <c r="AQ457" s="4"/>
      <c r="AR457" s="6" t="b">
        <f>NOT(TRIM(W457)&lt;&gt;"F")</f>
        <v>1</v>
      </c>
      <c r="AS457" s="6" t="str">
        <f>$B457&amp;" | "&amp;$AO457&amp;" | "&amp;IF(TRIM(H457)="","uniq"&amp;ROW(),TRIM(H457))</f>
        <v>461E | 90MB1BJ0-C1BAY0 | 59MB1BJB-MB0A02S |  |  |  |  |  |  | G2</v>
      </c>
      <c r="AT457" s="63">
        <f>IF(NOT(AR457),IF(TRIM($H457)="","Assembly","Phantom Alt"),VLOOKUP(F457,ZPCS04!B:G,6,0))</f>
        <v>706</v>
      </c>
      <c r="AU457" s="7"/>
      <c r="AV457" s="38">
        <f ca="1">IF(TRIM($W457)="F",OFFSET($A$5,MATCH($AS457,$AS$5:$AS457,0)-1,0),$A457)</f>
        <v>457</v>
      </c>
      <c r="AW457" s="38">
        <f ca="1">IFERROR(OFFSET(ZPCS04!$A$1,MATCH(F457,ZPCS04!B:B,0)-1,0),100)</f>
        <v>2</v>
      </c>
      <c r="AX457" s="7"/>
      <c r="AY457" s="6" t="b">
        <f>SUMIF(AS:AS,AS457,AP:AP)=100</f>
        <v>1</v>
      </c>
      <c r="AZ457" s="6" t="b">
        <f>SUMIF(AS:AS,AS457,AE:AE)/COUNTIF(AS:AS,AS457)=AE457</f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>C457&amp;" | "&amp;F457</f>
        <v>90MB1BJ0-C1BAY0 | 10G213000003010</v>
      </c>
      <c r="BE457" s="55" t="str">
        <f ca="1">C457&amp;" | "&amp;OFFSET($AF457,0,8-COUNTBLANK($AG457:$AN457))</f>
        <v>90MB1BJ0-C1BAY0 | 59MB1BJB-MB0A02S</v>
      </c>
      <c r="BF457" s="57">
        <f ca="1">IFERROR(VLOOKUP($BE457,$BD$5:$BF456,3,0)*$AE457,VLOOKUP($C457,Demanda!$A:$B,2,0)*$AE457)*IF(AT457="Phantom Alt",$BC457,TRUE)</f>
        <v>20000</v>
      </c>
      <c r="BG457" s="57">
        <f ca="1">BF457*(AP457/100)</f>
        <v>20000</v>
      </c>
      <c r="BH457" s="57">
        <f>SUMIF(Invoice!A:A,F457,Invoice!B:B)</f>
        <v>0</v>
      </c>
      <c r="BI457" s="57">
        <f ca="1">SUMIF(AS:AS,AS457,BG:BG)</f>
        <v>20000</v>
      </c>
      <c r="BJ457" s="57">
        <f ca="1">MIN((BI457-SUMIF($AS$5:AS456,AS457,$BJ$5:BJ456)),MAX(0,BH457-SUMIF($F$5:F456,F457,$BJ$5:BJ456)))</f>
        <v>0</v>
      </c>
      <c r="BK457" s="57">
        <f ca="1">(-SUMIF(AS:AS,AS457,BG:BG)+SUMIF(AS:AS,AS457,BJ:BJ))*(AP457=100)*AR457</f>
        <v>0</v>
      </c>
      <c r="BL457" s="57">
        <f ca="1">MAX(0,SUMIF(Invoice!A:A,F457,Invoice!B:B)-SUMIF(F:F,F457,BJ:BJ))*(COUNTIF(F:F,F457)=COUNTIF($F$5:F457,F457))</f>
        <v>0</v>
      </c>
    </row>
    <row r="458" spans="1:64" hidden="1">
      <c r="A458" s="43">
        <v>458</v>
      </c>
      <c r="B458" s="13" t="s">
        <v>147</v>
      </c>
      <c r="C458" s="13" t="s">
        <v>146</v>
      </c>
      <c r="D458" s="13">
        <v>2</v>
      </c>
      <c r="E458" s="13">
        <v>1620</v>
      </c>
      <c r="F458" s="71" t="s">
        <v>1123</v>
      </c>
      <c r="G458" s="71" t="s">
        <v>1124</v>
      </c>
      <c r="H458" s="13" t="s">
        <v>1120</v>
      </c>
      <c r="I458" s="13" t="s">
        <v>55</v>
      </c>
      <c r="J458" s="28">
        <v>0</v>
      </c>
      <c r="K458" s="13" t="s">
        <v>150</v>
      </c>
      <c r="L458" s="13" t="s">
        <v>53</v>
      </c>
      <c r="M458" s="13">
        <v>20</v>
      </c>
      <c r="O458" s="13">
        <v>1</v>
      </c>
      <c r="P458" s="13">
        <v>2</v>
      </c>
      <c r="Q458" s="13">
        <v>3</v>
      </c>
      <c r="R458" s="13" t="s">
        <v>73</v>
      </c>
      <c r="S458" s="13" t="s">
        <v>73</v>
      </c>
      <c r="T458" s="13">
        <v>44901</v>
      </c>
      <c r="U458" s="13">
        <v>2958465</v>
      </c>
      <c r="V458" s="13" t="s">
        <v>282</v>
      </c>
      <c r="W458" s="13" t="s">
        <v>145</v>
      </c>
      <c r="Y458" s="13" t="s">
        <v>143</v>
      </c>
      <c r="Z458" s="13">
        <v>7589154</v>
      </c>
      <c r="AA458" s="13">
        <v>804</v>
      </c>
      <c r="AB458" s="13">
        <v>402</v>
      </c>
      <c r="AE458" s="51">
        <f>M458/O458</f>
        <v>20</v>
      </c>
      <c r="AG458" s="6" t="str">
        <f>C458</f>
        <v>90MB1BJ0-C1BAY0</v>
      </c>
      <c r="AH458" s="6" t="str">
        <f>IF($D458&lt;=AH$4,"",IF(AND($D457=AH$4,$D458&gt;AH$4),$F457,AH457))</f>
        <v>59MB1BJB-MB0A02S</v>
      </c>
      <c r="AI458" s="6" t="str">
        <f>IF($D458&lt;=AI$4,"",IF(AND($D457=AI$4,$D458&gt;AI$4),$F457,AI457))</f>
        <v/>
      </c>
      <c r="AJ458" s="6" t="str">
        <f>IF($D458&lt;=AJ$4,"",IF(AND($D457=AJ$4,$D458&gt;AJ$4),$F457,AJ457))</f>
        <v/>
      </c>
      <c r="AK458" s="6" t="str">
        <f>IF($D458&lt;=AK$4,"",IF(AND($D457=AK$4,$D458&gt;AK$4),$F457,AK457))</f>
        <v/>
      </c>
      <c r="AL458" s="6" t="str">
        <f>IF($D458&lt;=AL$4,"",IF(AND($D457=AL$4,$D458&gt;AL$4),$F457,AL457))</f>
        <v/>
      </c>
      <c r="AM458" s="6" t="str">
        <f>IF($D458&lt;=AM$4,"",IF(AND($D457=AM$4,$D458&gt;AM$4),$F457,AM457))</f>
        <v/>
      </c>
      <c r="AN458" s="6" t="str">
        <f>IF($D458&lt;=AN$4,"",IF(AND($D457=AN$4,$D458&gt;AN$4),$F457,AN457))</f>
        <v/>
      </c>
      <c r="AO458" s="6" t="str">
        <f>CONCATENATE(AG458," | ",AH458," | ",AI458," | ",AJ458," | ",AK458," | ",AL458," | ",AM458," | ",AN458)</f>
        <v xml:space="preserve">90MB1BJ0-C1BAY0 | 59MB1BJB-MB0A02S |  |  |  |  |  | </v>
      </c>
      <c r="AP458" s="6">
        <f>IF(TRIM(H458)="",100,J458)</f>
        <v>0</v>
      </c>
      <c r="AQ458" s="4"/>
      <c r="AR458" s="6" t="b">
        <f>NOT(TRIM(W458)&lt;&gt;"F")</f>
        <v>1</v>
      </c>
      <c r="AS458" s="6" t="str">
        <f>$B458&amp;" | "&amp;$AO458&amp;" | "&amp;IF(TRIM(H458)="","uniq"&amp;ROW(),TRIM(H458))</f>
        <v>461E | 90MB1BJ0-C1BAY0 | 59MB1BJB-MB0A02S |  |  |  |  |  |  | G2</v>
      </c>
      <c r="AT458" s="63">
        <f>IF(NOT(AR458),IF(TRIM($H458)="","Assembly","Phantom Alt"),VLOOKUP(F458,ZPCS04!B:G,6,0))</f>
        <v>706</v>
      </c>
      <c r="AU458" s="7"/>
      <c r="AV458" s="38">
        <f ca="1">IF(TRIM($W458)="F",OFFSET($A$5,MATCH($AS458,$AS$5:$AS458,0)-1,0),$A458)</f>
        <v>457</v>
      </c>
      <c r="AW458" s="38">
        <f ca="1">IFERROR(OFFSET(ZPCS04!$A$1,MATCH(F458,ZPCS04!B:B,0)-1,0),100)</f>
        <v>2</v>
      </c>
      <c r="AX458" s="7"/>
      <c r="AY458" s="6" t="b">
        <f>SUMIF(AS:AS,AS458,AP:AP)=100</f>
        <v>1</v>
      </c>
      <c r="AZ458" s="6" t="b">
        <f>SUMIF(AS:AS,AS458,AE:AE)/COUNTIF(AS:AS,AS458)=AE458</f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>C458&amp;" | "&amp;F458</f>
        <v>90MB1BJ0-C1BAY0 | 10G213000003050</v>
      </c>
      <c r="BE458" s="55" t="str">
        <f ca="1">C458&amp;" | "&amp;OFFSET($AF458,0,8-COUNTBLANK($AG458:$AN458))</f>
        <v>90MB1BJ0-C1BAY0 | 59MB1BJB-MB0A02S</v>
      </c>
      <c r="BF458" s="57">
        <f ca="1">IFERROR(VLOOKUP($BE458,$BD$5:$BF457,3,0)*$AE458,VLOOKUP($C458,Demanda!$A:$B,2,0)*$AE458)*IF(AT458="Phantom Alt",$BC458,TRUE)</f>
        <v>20000</v>
      </c>
      <c r="BG458" s="57">
        <f ca="1">BF458*(AP458/100)</f>
        <v>0</v>
      </c>
      <c r="BH458" s="57">
        <f>SUMIF(Invoice!A:A,F458,Invoice!B:B)</f>
        <v>0</v>
      </c>
      <c r="BI458" s="57">
        <f ca="1">SUMIF(AS:AS,AS458,BG:BG)</f>
        <v>20000</v>
      </c>
      <c r="BJ458" s="57">
        <f ca="1">MIN((BI458-SUMIF($AS$5:AS457,AS458,$BJ$5:BJ457)),MAX(0,BH458-SUMIF($F$5:F457,F458,$BJ$5:BJ457)))</f>
        <v>0</v>
      </c>
      <c r="BK458" s="57">
        <f ca="1">(-SUMIF(AS:AS,AS458,BG:BG)+SUMIF(AS:AS,AS458,BJ:BJ))*(AP458=100)*AR458</f>
        <v>0</v>
      </c>
      <c r="BL458" s="57">
        <f ca="1">MAX(0,SUMIF(Invoice!A:A,F458,Invoice!B:B)-SUMIF(F:F,F458,BJ:BJ))*(COUNTIF(F:F,F458)=COUNTIF($F$5:F458,F458))</f>
        <v>0</v>
      </c>
    </row>
    <row r="459" spans="1:64" hidden="1">
      <c r="A459" s="43">
        <v>459</v>
      </c>
      <c r="B459" s="13" t="s">
        <v>147</v>
      </c>
      <c r="C459" s="13" t="s">
        <v>146</v>
      </c>
      <c r="D459" s="13">
        <v>2</v>
      </c>
      <c r="E459" s="13">
        <v>1630</v>
      </c>
      <c r="F459" s="71" t="s">
        <v>1125</v>
      </c>
      <c r="G459" s="71" t="s">
        <v>1126</v>
      </c>
      <c r="H459" s="13" t="s">
        <v>1127</v>
      </c>
      <c r="I459" s="13" t="s">
        <v>54</v>
      </c>
      <c r="J459" s="28">
        <v>100</v>
      </c>
      <c r="K459" s="13" t="s">
        <v>489</v>
      </c>
      <c r="L459" s="13" t="s">
        <v>53</v>
      </c>
      <c r="M459" s="13">
        <v>5</v>
      </c>
      <c r="N459" s="13">
        <v>5</v>
      </c>
      <c r="O459" s="13">
        <v>1</v>
      </c>
      <c r="P459" s="13">
        <v>2</v>
      </c>
      <c r="Q459" s="13">
        <v>1</v>
      </c>
      <c r="R459" s="13" t="s">
        <v>122</v>
      </c>
      <c r="S459" s="13" t="s">
        <v>122</v>
      </c>
      <c r="T459" s="13">
        <v>44901</v>
      </c>
      <c r="U459" s="13">
        <v>2958465</v>
      </c>
      <c r="V459" s="13" t="s">
        <v>282</v>
      </c>
      <c r="W459" s="13" t="s">
        <v>145</v>
      </c>
      <c r="Y459" s="13" t="s">
        <v>143</v>
      </c>
      <c r="Z459" s="13">
        <v>7589154</v>
      </c>
      <c r="AA459" s="13">
        <v>806</v>
      </c>
      <c r="AB459" s="13">
        <v>403</v>
      </c>
      <c r="AE459" s="51">
        <f>M459/O459</f>
        <v>5</v>
      </c>
      <c r="AG459" s="6" t="str">
        <f>C459</f>
        <v>90MB1BJ0-C1BAY0</v>
      </c>
      <c r="AH459" s="6" t="str">
        <f>IF($D459&lt;=AH$4,"",IF(AND($D458=AH$4,$D459&gt;AH$4),$F458,AH458))</f>
        <v>59MB1BJB-MB0A02S</v>
      </c>
      <c r="AI459" s="6" t="str">
        <f>IF($D459&lt;=AI$4,"",IF(AND($D458=AI$4,$D459&gt;AI$4),$F458,AI458))</f>
        <v/>
      </c>
      <c r="AJ459" s="6" t="str">
        <f>IF($D459&lt;=AJ$4,"",IF(AND($D458=AJ$4,$D459&gt;AJ$4),$F458,AJ458))</f>
        <v/>
      </c>
      <c r="AK459" s="6" t="str">
        <f>IF($D459&lt;=AK$4,"",IF(AND($D458=AK$4,$D459&gt;AK$4),$F458,AK458))</f>
        <v/>
      </c>
      <c r="AL459" s="6" t="str">
        <f>IF($D459&lt;=AL$4,"",IF(AND($D458=AL$4,$D459&gt;AL$4),$F458,AL458))</f>
        <v/>
      </c>
      <c r="AM459" s="6" t="str">
        <f>IF($D459&lt;=AM$4,"",IF(AND($D458=AM$4,$D459&gt;AM$4),$F458,AM458))</f>
        <v/>
      </c>
      <c r="AN459" s="6" t="str">
        <f>IF($D459&lt;=AN$4,"",IF(AND($D458=AN$4,$D459&gt;AN$4),$F458,AN458))</f>
        <v/>
      </c>
      <c r="AO459" s="6" t="str">
        <f>CONCATENATE(AG459," | ",AH459," | ",AI459," | ",AJ459," | ",AK459," | ",AL459," | ",AM459," | ",AN459)</f>
        <v xml:space="preserve">90MB1BJ0-C1BAY0 | 59MB1BJB-MB0A02S |  |  |  |  |  | </v>
      </c>
      <c r="AP459" s="6">
        <f>IF(TRIM(H459)="",100,J459)</f>
        <v>100</v>
      </c>
      <c r="AQ459" s="4"/>
      <c r="AR459" s="6" t="b">
        <f>NOT(TRIM(W459)&lt;&gt;"F")</f>
        <v>1</v>
      </c>
      <c r="AS459" s="6" t="str">
        <f>$B459&amp;" | "&amp;$AO459&amp;" | "&amp;IF(TRIM(H459)="","uniq"&amp;ROW(),TRIM(H459))</f>
        <v>461E | 90MB1BJ0-C1BAY0 | 59MB1BJB-MB0A02S |  |  |  |  |  |  | G3</v>
      </c>
      <c r="AT459" s="63">
        <f>IF(NOT(AR459),IF(TRIM($H459)="","Assembly","Phantom Alt"),VLOOKUP(F459,ZPCS04!B:G,6,0))</f>
        <v>707</v>
      </c>
      <c r="AU459" s="7"/>
      <c r="AV459" s="38">
        <f ca="1">IF(TRIM($W459)="F",OFFSET($A$5,MATCH($AS459,$AS$5:$AS459,0)-1,0),$A459)</f>
        <v>459</v>
      </c>
      <c r="AW459" s="38">
        <f ca="1">IFERROR(OFFSET(ZPCS04!$A$1,MATCH(F459,ZPCS04!B:B,0)-1,0),100)</f>
        <v>1.9999999499999999</v>
      </c>
      <c r="AX459" s="7"/>
      <c r="AY459" s="6" t="b">
        <f>SUMIF(AS:AS,AS459,AP:AP)=100</f>
        <v>1</v>
      </c>
      <c r="AZ459" s="6" t="b">
        <f>SUMIF(AS:AS,AS459,AE:AE)/COUNTIF(AS:AS,AS459)=AE459</f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>C459&amp;" | "&amp;F459</f>
        <v>90MB1BJ0-C1BAY0 | 10G213100003010</v>
      </c>
      <c r="BE459" s="55" t="str">
        <f ca="1">C459&amp;" | "&amp;OFFSET($AF459,0,8-COUNTBLANK($AG459:$AN459))</f>
        <v>90MB1BJ0-C1BAY0 | 59MB1BJB-MB0A02S</v>
      </c>
      <c r="BF459" s="57">
        <f ca="1">IFERROR(VLOOKUP($BE459,$BD$5:$BF458,3,0)*$AE459,VLOOKUP($C459,Demanda!$A:$B,2,0)*$AE459)*IF(AT459="Phantom Alt",$BC459,TRUE)</f>
        <v>5000</v>
      </c>
      <c r="BG459" s="57">
        <f ca="1">BF459*(AP459/100)</f>
        <v>5000</v>
      </c>
      <c r="BH459" s="57">
        <f>SUMIF(Invoice!A:A,F459,Invoice!B:B)</f>
        <v>5000</v>
      </c>
      <c r="BI459" s="57">
        <f ca="1">SUMIF(AS:AS,AS459,BG:BG)</f>
        <v>5000</v>
      </c>
      <c r="BJ459" s="57">
        <f ca="1">MIN((BI459-SUMIF($AS$5:AS458,AS459,$BJ$5:BJ458)),MAX(0,BH459-SUMIF($F$5:F458,F459,$BJ$5:BJ458)))</f>
        <v>5000</v>
      </c>
      <c r="BK459" s="57">
        <f ca="1">(-SUMIF(AS:AS,AS459,BG:BG)+SUMIF(AS:AS,AS459,BJ:BJ))*(AP459=100)*AR459</f>
        <v>0</v>
      </c>
      <c r="BL459" s="57">
        <f ca="1">MAX(0,SUMIF(Invoice!A:A,F459,Invoice!B:B)-SUMIF(F:F,F459,BJ:BJ))*(COUNTIF(F:F,F459)=COUNTIF($F$5:F459,F459))</f>
        <v>0</v>
      </c>
    </row>
    <row r="460" spans="1:64" hidden="1">
      <c r="A460" s="43">
        <v>460</v>
      </c>
      <c r="B460" s="13" t="s">
        <v>147</v>
      </c>
      <c r="C460" s="13" t="s">
        <v>146</v>
      </c>
      <c r="D460" s="13">
        <v>2</v>
      </c>
      <c r="E460" s="13">
        <v>1630</v>
      </c>
      <c r="F460" s="71" t="s">
        <v>1128</v>
      </c>
      <c r="G460" s="71" t="s">
        <v>1129</v>
      </c>
      <c r="H460" s="13" t="s">
        <v>1127</v>
      </c>
      <c r="I460" s="13" t="s">
        <v>55</v>
      </c>
      <c r="J460" s="28">
        <v>0</v>
      </c>
      <c r="K460" s="13" t="s">
        <v>489</v>
      </c>
      <c r="L460" s="13" t="s">
        <v>53</v>
      </c>
      <c r="M460" s="13">
        <v>5</v>
      </c>
      <c r="O460" s="13">
        <v>1</v>
      </c>
      <c r="P460" s="13">
        <v>2</v>
      </c>
      <c r="Q460" s="13">
        <v>3</v>
      </c>
      <c r="R460" s="13" t="s">
        <v>122</v>
      </c>
      <c r="S460" s="13" t="s">
        <v>122</v>
      </c>
      <c r="T460" s="13">
        <v>44901</v>
      </c>
      <c r="U460" s="13">
        <v>2958465</v>
      </c>
      <c r="V460" s="13" t="s">
        <v>282</v>
      </c>
      <c r="W460" s="13" t="s">
        <v>145</v>
      </c>
      <c r="Y460" s="13" t="s">
        <v>143</v>
      </c>
      <c r="Z460" s="13">
        <v>7589154</v>
      </c>
      <c r="AA460" s="13">
        <v>810</v>
      </c>
      <c r="AB460" s="13">
        <v>405</v>
      </c>
      <c r="AE460" s="51">
        <f>M460/O460</f>
        <v>5</v>
      </c>
      <c r="AG460" s="6" t="str">
        <f>C460</f>
        <v>90MB1BJ0-C1BAY0</v>
      </c>
      <c r="AH460" s="6" t="str">
        <f>IF($D460&lt;=AH$4,"",IF(AND($D459=AH$4,$D460&gt;AH$4),$F459,AH459))</f>
        <v>59MB1BJB-MB0A02S</v>
      </c>
      <c r="AI460" s="6" t="str">
        <f>IF($D460&lt;=AI$4,"",IF(AND($D459=AI$4,$D460&gt;AI$4),$F459,AI459))</f>
        <v/>
      </c>
      <c r="AJ460" s="6" t="str">
        <f>IF($D460&lt;=AJ$4,"",IF(AND($D459=AJ$4,$D460&gt;AJ$4),$F459,AJ459))</f>
        <v/>
      </c>
      <c r="AK460" s="6" t="str">
        <f>IF($D460&lt;=AK$4,"",IF(AND($D459=AK$4,$D460&gt;AK$4),$F459,AK459))</f>
        <v/>
      </c>
      <c r="AL460" s="6" t="str">
        <f>IF($D460&lt;=AL$4,"",IF(AND($D459=AL$4,$D460&gt;AL$4),$F459,AL459))</f>
        <v/>
      </c>
      <c r="AM460" s="6" t="str">
        <f>IF($D460&lt;=AM$4,"",IF(AND($D459=AM$4,$D460&gt;AM$4),$F459,AM459))</f>
        <v/>
      </c>
      <c r="AN460" s="6" t="str">
        <f>IF($D460&lt;=AN$4,"",IF(AND($D459=AN$4,$D460&gt;AN$4),$F459,AN459))</f>
        <v/>
      </c>
      <c r="AO460" s="6" t="str">
        <f>CONCATENATE(AG460," | ",AH460," | ",AI460," | ",AJ460," | ",AK460," | ",AL460," | ",AM460," | ",AN460)</f>
        <v xml:space="preserve">90MB1BJ0-C1BAY0 | 59MB1BJB-MB0A02S |  |  |  |  |  | </v>
      </c>
      <c r="AP460" s="6">
        <f>IF(TRIM(H460)="",100,J460)</f>
        <v>0</v>
      </c>
      <c r="AQ460" s="4"/>
      <c r="AR460" s="6" t="b">
        <f>NOT(TRIM(W460)&lt;&gt;"F")</f>
        <v>1</v>
      </c>
      <c r="AS460" s="6" t="str">
        <f>$B460&amp;" | "&amp;$AO460&amp;" | "&amp;IF(TRIM(H460)="","uniq"&amp;ROW(),TRIM(H460))</f>
        <v>461E | 90MB1BJ0-C1BAY0 | 59MB1BJB-MB0A02S |  |  |  |  |  |  | G3</v>
      </c>
      <c r="AT460" s="63">
        <f>IF(NOT(AR460),IF(TRIM($H460)="","Assembly","Phantom Alt"),VLOOKUP(F460,ZPCS04!B:G,6,0))</f>
        <v>707</v>
      </c>
      <c r="AU460" s="7"/>
      <c r="AV460" s="38">
        <f ca="1">IF(TRIM($W460)="F",OFFSET($A$5,MATCH($AS460,$AS$5:$AS460,0)-1,0),$A460)</f>
        <v>459</v>
      </c>
      <c r="AW460" s="38">
        <f ca="1">IFERROR(OFFSET(ZPCS04!$A$1,MATCH(F460,ZPCS04!B:B,0)-1,0),100)</f>
        <v>2</v>
      </c>
      <c r="AX460" s="7"/>
      <c r="AY460" s="6" t="b">
        <f>SUMIF(AS:AS,AS460,AP:AP)=100</f>
        <v>1</v>
      </c>
      <c r="AZ460" s="6" t="b">
        <f>SUMIF(AS:AS,AS460,AE:AE)/COUNTIF(AS:AS,AS460)=AE460</f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>C460&amp;" | "&amp;F460</f>
        <v>90MB1BJ0-C1BAY0 | 10G213100003020</v>
      </c>
      <c r="BE460" s="55" t="str">
        <f ca="1">C460&amp;" | "&amp;OFFSET($AF460,0,8-COUNTBLANK($AG460:$AN460))</f>
        <v>90MB1BJ0-C1BAY0 | 59MB1BJB-MB0A02S</v>
      </c>
      <c r="BF460" s="57">
        <f ca="1">IFERROR(VLOOKUP($BE460,$BD$5:$BF459,3,0)*$AE460,VLOOKUP($C460,Demanda!$A:$B,2,0)*$AE460)*IF(AT460="Phantom Alt",$BC460,TRUE)</f>
        <v>5000</v>
      </c>
      <c r="BG460" s="57">
        <f ca="1">BF460*(AP460/100)</f>
        <v>0</v>
      </c>
      <c r="BH460" s="57">
        <f>SUMIF(Invoice!A:A,F460,Invoice!B:B)</f>
        <v>0</v>
      </c>
      <c r="BI460" s="57">
        <f ca="1">SUMIF(AS:AS,AS460,BG:BG)</f>
        <v>5000</v>
      </c>
      <c r="BJ460" s="57">
        <f ca="1">MIN((BI460-SUMIF($AS$5:AS459,AS460,$BJ$5:BJ459)),MAX(0,BH460-SUMIF($F$5:F459,F460,$BJ$5:BJ459)))</f>
        <v>0</v>
      </c>
      <c r="BK460" s="57">
        <f ca="1">(-SUMIF(AS:AS,AS460,BG:BG)+SUMIF(AS:AS,AS460,BJ:BJ))*(AP460=100)*AR460</f>
        <v>0</v>
      </c>
      <c r="BL460" s="57">
        <f ca="1">MAX(0,SUMIF(Invoice!A:A,F460,Invoice!B:B)-SUMIF(F:F,F460,BJ:BJ))*(COUNTIF(F:F,F460)=COUNTIF($F$5:F460,F460))</f>
        <v>0</v>
      </c>
    </row>
    <row r="461" spans="1:64" hidden="1">
      <c r="A461" s="43">
        <v>461</v>
      </c>
      <c r="B461" s="13" t="s">
        <v>147</v>
      </c>
      <c r="C461" s="13" t="s">
        <v>146</v>
      </c>
      <c r="D461" s="13">
        <v>2</v>
      </c>
      <c r="E461" s="13">
        <v>1630</v>
      </c>
      <c r="F461" s="71" t="s">
        <v>1130</v>
      </c>
      <c r="G461" s="71" t="s">
        <v>1131</v>
      </c>
      <c r="H461" s="13" t="s">
        <v>1127</v>
      </c>
      <c r="I461" s="13" t="s">
        <v>55</v>
      </c>
      <c r="J461" s="28">
        <v>0</v>
      </c>
      <c r="K461" s="13" t="s">
        <v>150</v>
      </c>
      <c r="L461" s="13" t="s">
        <v>53</v>
      </c>
      <c r="M461" s="13">
        <v>5</v>
      </c>
      <c r="O461" s="13">
        <v>1</v>
      </c>
      <c r="P461" s="13">
        <v>2</v>
      </c>
      <c r="Q461" s="13">
        <v>2</v>
      </c>
      <c r="R461" s="13" t="s">
        <v>73</v>
      </c>
      <c r="S461" s="13" t="s">
        <v>73</v>
      </c>
      <c r="T461" s="13">
        <v>44901</v>
      </c>
      <c r="U461" s="13">
        <v>2958465</v>
      </c>
      <c r="V461" s="13" t="s">
        <v>282</v>
      </c>
      <c r="W461" s="13" t="s">
        <v>145</v>
      </c>
      <c r="Y461" s="13" t="s">
        <v>143</v>
      </c>
      <c r="Z461" s="13">
        <v>7589154</v>
      </c>
      <c r="AA461" s="13">
        <v>808</v>
      </c>
      <c r="AB461" s="13">
        <v>404</v>
      </c>
      <c r="AE461" s="51">
        <f>M461/O461</f>
        <v>5</v>
      </c>
      <c r="AG461" s="6" t="str">
        <f>C461</f>
        <v>90MB1BJ0-C1BAY0</v>
      </c>
      <c r="AH461" s="6" t="str">
        <f>IF($D461&lt;=AH$4,"",IF(AND($D460=AH$4,$D461&gt;AH$4),$F460,AH460))</f>
        <v>59MB1BJB-MB0A02S</v>
      </c>
      <c r="AI461" s="6" t="str">
        <f>IF($D461&lt;=AI$4,"",IF(AND($D460=AI$4,$D461&gt;AI$4),$F460,AI460))</f>
        <v/>
      </c>
      <c r="AJ461" s="6" t="str">
        <f>IF($D461&lt;=AJ$4,"",IF(AND($D460=AJ$4,$D461&gt;AJ$4),$F460,AJ460))</f>
        <v/>
      </c>
      <c r="AK461" s="6" t="str">
        <f>IF($D461&lt;=AK$4,"",IF(AND($D460=AK$4,$D461&gt;AK$4),$F460,AK460))</f>
        <v/>
      </c>
      <c r="AL461" s="6" t="str">
        <f>IF($D461&lt;=AL$4,"",IF(AND($D460=AL$4,$D461&gt;AL$4),$F460,AL460))</f>
        <v/>
      </c>
      <c r="AM461" s="6" t="str">
        <f>IF($D461&lt;=AM$4,"",IF(AND($D460=AM$4,$D461&gt;AM$4),$F460,AM460))</f>
        <v/>
      </c>
      <c r="AN461" s="6" t="str">
        <f>IF($D461&lt;=AN$4,"",IF(AND($D460=AN$4,$D461&gt;AN$4),$F460,AN460))</f>
        <v/>
      </c>
      <c r="AO461" s="6" t="str">
        <f>CONCATENATE(AG461," | ",AH461," | ",AI461," | ",AJ461," | ",AK461," | ",AL461," | ",AM461," | ",AN461)</f>
        <v xml:space="preserve">90MB1BJ0-C1BAY0 | 59MB1BJB-MB0A02S |  |  |  |  |  | </v>
      </c>
      <c r="AP461" s="6">
        <f>IF(TRIM(H461)="",100,J461)</f>
        <v>0</v>
      </c>
      <c r="AQ461" s="4"/>
      <c r="AR461" s="6" t="b">
        <f>NOT(TRIM(W461)&lt;&gt;"F")</f>
        <v>1</v>
      </c>
      <c r="AS461" s="6" t="str">
        <f>$B461&amp;" | "&amp;$AO461&amp;" | "&amp;IF(TRIM(H461)="","uniq"&amp;ROW(),TRIM(H461))</f>
        <v>461E | 90MB1BJ0-C1BAY0 | 59MB1BJB-MB0A02S |  |  |  |  |  |  | G3</v>
      </c>
      <c r="AT461" s="63">
        <f>IF(NOT(AR461),IF(TRIM($H461)="","Assembly","Phantom Alt"),VLOOKUP(F461,ZPCS04!B:G,6,0))</f>
        <v>707</v>
      </c>
      <c r="AU461" s="7"/>
      <c r="AV461" s="38">
        <f ca="1">IF(TRIM($W461)="F",OFFSET($A$5,MATCH($AS461,$AS$5:$AS461,0)-1,0),$A461)</f>
        <v>459</v>
      </c>
      <c r="AW461" s="38">
        <f ca="1">IFERROR(OFFSET(ZPCS04!$A$1,MATCH(F461,ZPCS04!B:B,0)-1,0),100)</f>
        <v>2</v>
      </c>
      <c r="AX461" s="7"/>
      <c r="AY461" s="6" t="b">
        <f>SUMIF(AS:AS,AS461,AP:AP)=100</f>
        <v>1</v>
      </c>
      <c r="AZ461" s="6" t="b">
        <f>SUMIF(AS:AS,AS461,AE:AE)/COUNTIF(AS:AS,AS461)=AE461</f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>C461&amp;" | "&amp;F461</f>
        <v>90MB1BJ0-C1BAY0 | 10G213100003050</v>
      </c>
      <c r="BE461" s="55" t="str">
        <f ca="1">C461&amp;" | "&amp;OFFSET($AF461,0,8-COUNTBLANK($AG461:$AN461))</f>
        <v>90MB1BJ0-C1BAY0 | 59MB1BJB-MB0A02S</v>
      </c>
      <c r="BF461" s="57">
        <f ca="1">IFERROR(VLOOKUP($BE461,$BD$5:$BF460,3,0)*$AE461,VLOOKUP($C461,Demanda!$A:$B,2,0)*$AE461)*IF(AT461="Phantom Alt",$BC461,TRUE)</f>
        <v>5000</v>
      </c>
      <c r="BG461" s="57">
        <f ca="1">BF461*(AP461/100)</f>
        <v>0</v>
      </c>
      <c r="BH461" s="57">
        <f>SUMIF(Invoice!A:A,F461,Invoice!B:B)</f>
        <v>0</v>
      </c>
      <c r="BI461" s="57">
        <f ca="1">SUMIF(AS:AS,AS461,BG:BG)</f>
        <v>5000</v>
      </c>
      <c r="BJ461" s="57">
        <f ca="1">MIN((BI461-SUMIF($AS$5:AS460,AS461,$BJ$5:BJ460)),MAX(0,BH461-SUMIF($F$5:F460,F461,$BJ$5:BJ460)))</f>
        <v>0</v>
      </c>
      <c r="BK461" s="57">
        <f ca="1">(-SUMIF(AS:AS,AS461,BG:BG)+SUMIF(AS:AS,AS461,BJ:BJ))*(AP461=100)*AR461</f>
        <v>0</v>
      </c>
      <c r="BL461" s="57">
        <f ca="1">MAX(0,SUMIF(Invoice!A:A,F461,Invoice!B:B)-SUMIF(F:F,F461,BJ:BJ))*(COUNTIF(F:F,F461)=COUNTIF($F$5:F461,F461))</f>
        <v>0</v>
      </c>
    </row>
    <row r="462" spans="1:64" hidden="1">
      <c r="A462" s="43">
        <v>462</v>
      </c>
      <c r="B462" s="13" t="s">
        <v>147</v>
      </c>
      <c r="C462" s="13" t="s">
        <v>146</v>
      </c>
      <c r="D462" s="13">
        <v>2</v>
      </c>
      <c r="E462" s="13">
        <v>1640</v>
      </c>
      <c r="F462" s="71" t="s">
        <v>1132</v>
      </c>
      <c r="G462" s="71" t="s">
        <v>1133</v>
      </c>
      <c r="H462" s="13" t="s">
        <v>1134</v>
      </c>
      <c r="I462" s="13" t="s">
        <v>54</v>
      </c>
      <c r="J462" s="28">
        <v>100</v>
      </c>
      <c r="K462" s="13" t="s">
        <v>489</v>
      </c>
      <c r="L462" s="13" t="s">
        <v>53</v>
      </c>
      <c r="M462" s="13">
        <v>12</v>
      </c>
      <c r="N462" s="13">
        <v>12</v>
      </c>
      <c r="O462" s="13">
        <v>1</v>
      </c>
      <c r="P462" s="13">
        <v>2</v>
      </c>
      <c r="Q462" s="13">
        <v>1</v>
      </c>
      <c r="R462" s="13" t="s">
        <v>122</v>
      </c>
      <c r="S462" s="13" t="s">
        <v>122</v>
      </c>
      <c r="T462" s="13">
        <v>44901</v>
      </c>
      <c r="U462" s="13">
        <v>2958465</v>
      </c>
      <c r="V462" s="13" t="s">
        <v>282</v>
      </c>
      <c r="W462" s="13" t="s">
        <v>145</v>
      </c>
      <c r="Y462" s="13" t="s">
        <v>143</v>
      </c>
      <c r="Z462" s="13">
        <v>7589154</v>
      </c>
      <c r="AA462" s="13">
        <v>812</v>
      </c>
      <c r="AB462" s="13">
        <v>406</v>
      </c>
      <c r="AE462" s="51">
        <f>M462/O462</f>
        <v>12</v>
      </c>
      <c r="AG462" s="6" t="str">
        <f>C462</f>
        <v>90MB1BJ0-C1BAY0</v>
      </c>
      <c r="AH462" s="6" t="str">
        <f>IF($D462&lt;=AH$4,"",IF(AND($D461=AH$4,$D462&gt;AH$4),$F461,AH461))</f>
        <v>59MB1BJB-MB0A02S</v>
      </c>
      <c r="AI462" s="6" t="str">
        <f>IF($D462&lt;=AI$4,"",IF(AND($D461=AI$4,$D462&gt;AI$4),$F461,AI461))</f>
        <v/>
      </c>
      <c r="AJ462" s="6" t="str">
        <f>IF($D462&lt;=AJ$4,"",IF(AND($D461=AJ$4,$D462&gt;AJ$4),$F461,AJ461))</f>
        <v/>
      </c>
      <c r="AK462" s="6" t="str">
        <f>IF($D462&lt;=AK$4,"",IF(AND($D461=AK$4,$D462&gt;AK$4),$F461,AK461))</f>
        <v/>
      </c>
      <c r="AL462" s="6" t="str">
        <f>IF($D462&lt;=AL$4,"",IF(AND($D461=AL$4,$D462&gt;AL$4),$F461,AL461))</f>
        <v/>
      </c>
      <c r="AM462" s="6" t="str">
        <f>IF($D462&lt;=AM$4,"",IF(AND($D461=AM$4,$D462&gt;AM$4),$F461,AM461))</f>
        <v/>
      </c>
      <c r="AN462" s="6" t="str">
        <f>IF($D462&lt;=AN$4,"",IF(AND($D461=AN$4,$D462&gt;AN$4),$F461,AN461))</f>
        <v/>
      </c>
      <c r="AO462" s="6" t="str">
        <f>CONCATENATE(AG462," | ",AH462," | ",AI462," | ",AJ462," | ",AK462," | ",AL462," | ",AM462," | ",AN462)</f>
        <v xml:space="preserve">90MB1BJ0-C1BAY0 | 59MB1BJB-MB0A02S |  |  |  |  |  | </v>
      </c>
      <c r="AP462" s="6">
        <f>IF(TRIM(H462)="",100,J462)</f>
        <v>100</v>
      </c>
      <c r="AQ462" s="4"/>
      <c r="AR462" s="6" t="b">
        <f>NOT(TRIM(W462)&lt;&gt;"F")</f>
        <v>1</v>
      </c>
      <c r="AS462" s="6" t="str">
        <f>$B462&amp;" | "&amp;$AO462&amp;" | "&amp;IF(TRIM(H462)="","uniq"&amp;ROW(),TRIM(H462))</f>
        <v>461E | 90MB1BJ0-C1BAY0 | 59MB1BJB-MB0A02S |  |  |  |  |  |  | G4</v>
      </c>
      <c r="AT462" s="63">
        <f>IF(NOT(AR462),IF(TRIM($H462)="","Assembly","Phantom Alt"),VLOOKUP(F462,ZPCS04!B:G,6,0))</f>
        <v>708</v>
      </c>
      <c r="AU462" s="7"/>
      <c r="AV462" s="38">
        <f ca="1">IF(TRIM($W462)="F",OFFSET($A$5,MATCH($AS462,$AS$5:$AS462,0)-1,0),$A462)</f>
        <v>462</v>
      </c>
      <c r="AW462" s="38">
        <f ca="1">IFERROR(OFFSET(ZPCS04!$A$1,MATCH(F462,ZPCS04!B:B,0)-1,0),100)</f>
        <v>1.99999985</v>
      </c>
      <c r="AX462" s="7"/>
      <c r="AY462" s="6" t="b">
        <f>SUMIF(AS:AS,AS462,AP:AP)=100</f>
        <v>1</v>
      </c>
      <c r="AZ462" s="6" t="b">
        <f>SUMIF(AS:AS,AS462,AE:AE)/COUNTIF(AS:AS,AS462)=AE462</f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>C462&amp;" | "&amp;F462</f>
        <v>90MB1BJ0-C1BAY0 | 10G213100113010</v>
      </c>
      <c r="BE462" s="55" t="str">
        <f ca="1">C462&amp;" | "&amp;OFFSET($AF462,0,8-COUNTBLANK($AG462:$AN462))</f>
        <v>90MB1BJ0-C1BAY0 | 59MB1BJB-MB0A02S</v>
      </c>
      <c r="BF462" s="57">
        <f ca="1">IFERROR(VLOOKUP($BE462,$BD$5:$BF461,3,0)*$AE462,VLOOKUP($C462,Demanda!$A:$B,2,0)*$AE462)*IF(AT462="Phantom Alt",$BC462,TRUE)</f>
        <v>12000</v>
      </c>
      <c r="BG462" s="57">
        <f ca="1">BF462*(AP462/100)</f>
        <v>12000</v>
      </c>
      <c r="BH462" s="57">
        <f>SUMIF(Invoice!A:A,F462,Invoice!B:B)</f>
        <v>15000</v>
      </c>
      <c r="BI462" s="57">
        <f ca="1">SUMIF(AS:AS,AS462,BG:BG)</f>
        <v>12000</v>
      </c>
      <c r="BJ462" s="57">
        <f ca="1">MIN((BI462-SUMIF($AS$5:AS461,AS462,$BJ$5:BJ461)),MAX(0,BH462-SUMIF($F$5:F461,F462,$BJ$5:BJ461)))</f>
        <v>12000</v>
      </c>
      <c r="BK462" s="57">
        <f ca="1">(-SUMIF(AS:AS,AS462,BG:BG)+SUMIF(AS:AS,AS462,BJ:BJ))*(AP462=100)*AR462</f>
        <v>0</v>
      </c>
      <c r="BL462" s="57">
        <f ca="1">MAX(0,SUMIF(Invoice!A:A,F462,Invoice!B:B)-SUMIF(F:F,F462,BJ:BJ))*(COUNTIF(F:F,F462)=COUNTIF($F$5:F462,F462))</f>
        <v>3000</v>
      </c>
    </row>
    <row r="463" spans="1:64" hidden="1">
      <c r="A463" s="43">
        <v>463</v>
      </c>
      <c r="B463" s="13" t="s">
        <v>147</v>
      </c>
      <c r="C463" s="13" t="s">
        <v>146</v>
      </c>
      <c r="D463" s="13">
        <v>2</v>
      </c>
      <c r="E463" s="13">
        <v>1640</v>
      </c>
      <c r="F463" s="71" t="s">
        <v>1135</v>
      </c>
      <c r="G463" s="71" t="s">
        <v>1136</v>
      </c>
      <c r="H463" s="13" t="s">
        <v>1134</v>
      </c>
      <c r="I463" s="13" t="s">
        <v>55</v>
      </c>
      <c r="J463" s="28">
        <v>0</v>
      </c>
      <c r="K463" s="13" t="s">
        <v>489</v>
      </c>
      <c r="L463" s="13" t="s">
        <v>53</v>
      </c>
      <c r="M463" s="13">
        <v>12</v>
      </c>
      <c r="O463" s="13">
        <v>1</v>
      </c>
      <c r="P463" s="13">
        <v>2</v>
      </c>
      <c r="Q463" s="13">
        <v>3</v>
      </c>
      <c r="R463" s="13" t="s">
        <v>122</v>
      </c>
      <c r="S463" s="13" t="s">
        <v>122</v>
      </c>
      <c r="T463" s="13">
        <v>44901</v>
      </c>
      <c r="U463" s="13">
        <v>2958465</v>
      </c>
      <c r="V463" s="13" t="s">
        <v>282</v>
      </c>
      <c r="W463" s="13" t="s">
        <v>145</v>
      </c>
      <c r="Y463" s="13" t="s">
        <v>143</v>
      </c>
      <c r="Z463" s="13">
        <v>7589154</v>
      </c>
      <c r="AA463" s="13">
        <v>816</v>
      </c>
      <c r="AB463" s="13">
        <v>408</v>
      </c>
      <c r="AE463" s="51">
        <f>M463/O463</f>
        <v>12</v>
      </c>
      <c r="AG463" s="6" t="str">
        <f>C463</f>
        <v>90MB1BJ0-C1BAY0</v>
      </c>
      <c r="AH463" s="6" t="str">
        <f>IF($D463&lt;=AH$4,"",IF(AND($D462=AH$4,$D463&gt;AH$4),$F462,AH462))</f>
        <v>59MB1BJB-MB0A02S</v>
      </c>
      <c r="AI463" s="6" t="str">
        <f>IF($D463&lt;=AI$4,"",IF(AND($D462=AI$4,$D463&gt;AI$4),$F462,AI462))</f>
        <v/>
      </c>
      <c r="AJ463" s="6" t="str">
        <f>IF($D463&lt;=AJ$4,"",IF(AND($D462=AJ$4,$D463&gt;AJ$4),$F462,AJ462))</f>
        <v/>
      </c>
      <c r="AK463" s="6" t="str">
        <f>IF($D463&lt;=AK$4,"",IF(AND($D462=AK$4,$D463&gt;AK$4),$F462,AK462))</f>
        <v/>
      </c>
      <c r="AL463" s="6" t="str">
        <f>IF($D463&lt;=AL$4,"",IF(AND($D462=AL$4,$D463&gt;AL$4),$F462,AL462))</f>
        <v/>
      </c>
      <c r="AM463" s="6" t="str">
        <f>IF($D463&lt;=AM$4,"",IF(AND($D462=AM$4,$D463&gt;AM$4),$F462,AM462))</f>
        <v/>
      </c>
      <c r="AN463" s="6" t="str">
        <f>IF($D463&lt;=AN$4,"",IF(AND($D462=AN$4,$D463&gt;AN$4),$F462,AN462))</f>
        <v/>
      </c>
      <c r="AO463" s="6" t="str">
        <f>CONCATENATE(AG463," | ",AH463," | ",AI463," | ",AJ463," | ",AK463," | ",AL463," | ",AM463," | ",AN463)</f>
        <v xml:space="preserve">90MB1BJ0-C1BAY0 | 59MB1BJB-MB0A02S |  |  |  |  |  | </v>
      </c>
      <c r="AP463" s="6">
        <f>IF(TRIM(H463)="",100,J463)</f>
        <v>0</v>
      </c>
      <c r="AQ463" s="4"/>
      <c r="AR463" s="6" t="b">
        <f>NOT(TRIM(W463)&lt;&gt;"F")</f>
        <v>1</v>
      </c>
      <c r="AS463" s="6" t="str">
        <f>$B463&amp;" | "&amp;$AO463&amp;" | "&amp;IF(TRIM(H463)="","uniq"&amp;ROW(),TRIM(H463))</f>
        <v>461E | 90MB1BJ0-C1BAY0 | 59MB1BJB-MB0A02S |  |  |  |  |  |  | G4</v>
      </c>
      <c r="AT463" s="63">
        <f>IF(NOT(AR463),IF(TRIM($H463)="","Assembly","Phantom Alt"),VLOOKUP(F463,ZPCS04!B:G,6,0))</f>
        <v>708</v>
      </c>
      <c r="AU463" s="7"/>
      <c r="AV463" s="38">
        <f ca="1">IF(TRIM($W463)="F",OFFSET($A$5,MATCH($AS463,$AS$5:$AS463,0)-1,0),$A463)</f>
        <v>462</v>
      </c>
      <c r="AW463" s="38">
        <f ca="1">IFERROR(OFFSET(ZPCS04!$A$1,MATCH(F463,ZPCS04!B:B,0)-1,0),100)</f>
        <v>2</v>
      </c>
      <c r="AX463" s="7"/>
      <c r="AY463" s="6" t="b">
        <f>SUMIF(AS:AS,AS463,AP:AP)=100</f>
        <v>1</v>
      </c>
      <c r="AZ463" s="6" t="b">
        <f>SUMIF(AS:AS,AS463,AE:AE)/COUNTIF(AS:AS,AS463)=AE463</f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>C463&amp;" | "&amp;F463</f>
        <v>90MB1BJ0-C1BAY0 | 10G213100113020</v>
      </c>
      <c r="BE463" s="55" t="str">
        <f ca="1">C463&amp;" | "&amp;OFFSET($AF463,0,8-COUNTBLANK($AG463:$AN463))</f>
        <v>90MB1BJ0-C1BAY0 | 59MB1BJB-MB0A02S</v>
      </c>
      <c r="BF463" s="57">
        <f ca="1">IFERROR(VLOOKUP($BE463,$BD$5:$BF462,3,0)*$AE463,VLOOKUP($C463,Demanda!$A:$B,2,0)*$AE463)*IF(AT463="Phantom Alt",$BC463,TRUE)</f>
        <v>12000</v>
      </c>
      <c r="BG463" s="57">
        <f ca="1">BF463*(AP463/100)</f>
        <v>0</v>
      </c>
      <c r="BH463" s="57">
        <f>SUMIF(Invoice!A:A,F463,Invoice!B:B)</f>
        <v>0</v>
      </c>
      <c r="BI463" s="57">
        <f ca="1">SUMIF(AS:AS,AS463,BG:BG)</f>
        <v>12000</v>
      </c>
      <c r="BJ463" s="57">
        <f ca="1">MIN((BI463-SUMIF($AS$5:AS462,AS463,$BJ$5:BJ462)),MAX(0,BH463-SUMIF($F$5:F462,F463,$BJ$5:BJ462)))</f>
        <v>0</v>
      </c>
      <c r="BK463" s="57">
        <f ca="1">(-SUMIF(AS:AS,AS463,BG:BG)+SUMIF(AS:AS,AS463,BJ:BJ))*(AP463=100)*AR463</f>
        <v>0</v>
      </c>
      <c r="BL463" s="57">
        <f ca="1">MAX(0,SUMIF(Invoice!A:A,F463,Invoice!B:B)-SUMIF(F:F,F463,BJ:BJ))*(COUNTIF(F:F,F463)=COUNTIF($F$5:F463,F463))</f>
        <v>0</v>
      </c>
    </row>
    <row r="464" spans="1:64" hidden="1">
      <c r="A464" s="43">
        <v>464</v>
      </c>
      <c r="B464" s="13" t="s">
        <v>147</v>
      </c>
      <c r="C464" s="13" t="s">
        <v>146</v>
      </c>
      <c r="D464" s="13">
        <v>2</v>
      </c>
      <c r="E464" s="13">
        <v>1640</v>
      </c>
      <c r="F464" s="71" t="s">
        <v>1137</v>
      </c>
      <c r="G464" s="71" t="s">
        <v>1138</v>
      </c>
      <c r="H464" s="13" t="s">
        <v>1134</v>
      </c>
      <c r="I464" s="13" t="s">
        <v>55</v>
      </c>
      <c r="J464" s="28">
        <v>0</v>
      </c>
      <c r="K464" s="13" t="s">
        <v>150</v>
      </c>
      <c r="L464" s="13" t="s">
        <v>53</v>
      </c>
      <c r="M464" s="13">
        <v>12</v>
      </c>
      <c r="O464" s="13">
        <v>1</v>
      </c>
      <c r="P464" s="13">
        <v>2</v>
      </c>
      <c r="Q464" s="13">
        <v>2</v>
      </c>
      <c r="R464" s="13" t="s">
        <v>73</v>
      </c>
      <c r="S464" s="13" t="s">
        <v>73</v>
      </c>
      <c r="T464" s="13">
        <v>44901</v>
      </c>
      <c r="U464" s="13">
        <v>2958465</v>
      </c>
      <c r="V464" s="13" t="s">
        <v>282</v>
      </c>
      <c r="W464" s="13" t="s">
        <v>145</v>
      </c>
      <c r="Y464" s="13" t="s">
        <v>143</v>
      </c>
      <c r="Z464" s="13">
        <v>7589154</v>
      </c>
      <c r="AA464" s="13">
        <v>814</v>
      </c>
      <c r="AB464" s="13">
        <v>407</v>
      </c>
      <c r="AE464" s="51">
        <f>M464/O464</f>
        <v>12</v>
      </c>
      <c r="AG464" s="6" t="str">
        <f>C464</f>
        <v>90MB1BJ0-C1BAY0</v>
      </c>
      <c r="AH464" s="6" t="str">
        <f>IF($D464&lt;=AH$4,"",IF(AND($D463=AH$4,$D464&gt;AH$4),$F463,AH463))</f>
        <v>59MB1BJB-MB0A02S</v>
      </c>
      <c r="AI464" s="6" t="str">
        <f>IF($D464&lt;=AI$4,"",IF(AND($D463=AI$4,$D464&gt;AI$4),$F463,AI463))</f>
        <v/>
      </c>
      <c r="AJ464" s="6" t="str">
        <f>IF($D464&lt;=AJ$4,"",IF(AND($D463=AJ$4,$D464&gt;AJ$4),$F463,AJ463))</f>
        <v/>
      </c>
      <c r="AK464" s="6" t="str">
        <f>IF($D464&lt;=AK$4,"",IF(AND($D463=AK$4,$D464&gt;AK$4),$F463,AK463))</f>
        <v/>
      </c>
      <c r="AL464" s="6" t="str">
        <f>IF($D464&lt;=AL$4,"",IF(AND($D463=AL$4,$D464&gt;AL$4),$F463,AL463))</f>
        <v/>
      </c>
      <c r="AM464" s="6" t="str">
        <f>IF($D464&lt;=AM$4,"",IF(AND($D463=AM$4,$D464&gt;AM$4),$F463,AM463))</f>
        <v/>
      </c>
      <c r="AN464" s="6" t="str">
        <f>IF($D464&lt;=AN$4,"",IF(AND($D463=AN$4,$D464&gt;AN$4),$F463,AN463))</f>
        <v/>
      </c>
      <c r="AO464" s="6" t="str">
        <f>CONCATENATE(AG464," | ",AH464," | ",AI464," | ",AJ464," | ",AK464," | ",AL464," | ",AM464," | ",AN464)</f>
        <v xml:space="preserve">90MB1BJ0-C1BAY0 | 59MB1BJB-MB0A02S |  |  |  |  |  | </v>
      </c>
      <c r="AP464" s="6">
        <f>IF(TRIM(H464)="",100,J464)</f>
        <v>0</v>
      </c>
      <c r="AQ464" s="4"/>
      <c r="AR464" s="6" t="b">
        <f>NOT(TRIM(W464)&lt;&gt;"F")</f>
        <v>1</v>
      </c>
      <c r="AS464" s="6" t="str">
        <f>$B464&amp;" | "&amp;$AO464&amp;" | "&amp;IF(TRIM(H464)="","uniq"&amp;ROW(),TRIM(H464))</f>
        <v>461E | 90MB1BJ0-C1BAY0 | 59MB1BJB-MB0A02S |  |  |  |  |  |  | G4</v>
      </c>
      <c r="AT464" s="63">
        <f>IF(NOT(AR464),IF(TRIM($H464)="","Assembly","Phantom Alt"),VLOOKUP(F464,ZPCS04!B:G,6,0))</f>
        <v>708</v>
      </c>
      <c r="AU464" s="7"/>
      <c r="AV464" s="38">
        <f ca="1">IF(TRIM($W464)="F",OFFSET($A$5,MATCH($AS464,$AS$5:$AS464,0)-1,0),$A464)</f>
        <v>462</v>
      </c>
      <c r="AW464" s="38">
        <f ca="1">IFERROR(OFFSET(ZPCS04!$A$1,MATCH(F464,ZPCS04!B:B,0)-1,0),100)</f>
        <v>2</v>
      </c>
      <c r="AX464" s="7"/>
      <c r="AY464" s="6" t="b">
        <f>SUMIF(AS:AS,AS464,AP:AP)=100</f>
        <v>1</v>
      </c>
      <c r="AZ464" s="6" t="b">
        <f>SUMIF(AS:AS,AS464,AE:AE)/COUNTIF(AS:AS,AS464)=AE464</f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>C464&amp;" | "&amp;F464</f>
        <v>90MB1BJ0-C1BAY0 | 10G213100113050</v>
      </c>
      <c r="BE464" s="55" t="str">
        <f ca="1">C464&amp;" | "&amp;OFFSET($AF464,0,8-COUNTBLANK($AG464:$AN464))</f>
        <v>90MB1BJ0-C1BAY0 | 59MB1BJB-MB0A02S</v>
      </c>
      <c r="BF464" s="57">
        <f ca="1">IFERROR(VLOOKUP($BE464,$BD$5:$BF463,3,0)*$AE464,VLOOKUP($C464,Demanda!$A:$B,2,0)*$AE464)*IF(AT464="Phantom Alt",$BC464,TRUE)</f>
        <v>12000</v>
      </c>
      <c r="BG464" s="57">
        <f ca="1">BF464*(AP464/100)</f>
        <v>0</v>
      </c>
      <c r="BH464" s="57">
        <f>SUMIF(Invoice!A:A,F464,Invoice!B:B)</f>
        <v>0</v>
      </c>
      <c r="BI464" s="57">
        <f ca="1">SUMIF(AS:AS,AS464,BG:BG)</f>
        <v>12000</v>
      </c>
      <c r="BJ464" s="57">
        <f ca="1">MIN((BI464-SUMIF($AS$5:AS463,AS464,$BJ$5:BJ463)),MAX(0,BH464-SUMIF($F$5:F463,F464,$BJ$5:BJ463)))</f>
        <v>0</v>
      </c>
      <c r="BK464" s="57">
        <f ca="1">(-SUMIF(AS:AS,AS464,BG:BG)+SUMIF(AS:AS,AS464,BJ:BJ))*(AP464=100)*AR464</f>
        <v>0</v>
      </c>
      <c r="BL464" s="57">
        <f ca="1">MAX(0,SUMIF(Invoice!A:A,F464,Invoice!B:B)-SUMIF(F:F,F464,BJ:BJ))*(COUNTIF(F:F,F464)=COUNTIF($F$5:F464,F464))</f>
        <v>0</v>
      </c>
    </row>
    <row r="465" spans="1:64" hidden="1">
      <c r="A465" s="43">
        <v>465</v>
      </c>
      <c r="B465" s="13" t="s">
        <v>147</v>
      </c>
      <c r="C465" s="13" t="s">
        <v>146</v>
      </c>
      <c r="D465" s="13">
        <v>2</v>
      </c>
      <c r="E465" s="13">
        <v>1650</v>
      </c>
      <c r="F465" s="71" t="s">
        <v>1139</v>
      </c>
      <c r="G465" s="71" t="s">
        <v>1140</v>
      </c>
      <c r="H465" s="13" t="s">
        <v>1141</v>
      </c>
      <c r="I465" s="13" t="s">
        <v>54</v>
      </c>
      <c r="J465" s="28">
        <v>100</v>
      </c>
      <c r="K465" s="13" t="s">
        <v>150</v>
      </c>
      <c r="L465" s="13" t="s">
        <v>53</v>
      </c>
      <c r="M465" s="13">
        <v>8</v>
      </c>
      <c r="N465" s="13">
        <v>8</v>
      </c>
      <c r="O465" s="13">
        <v>1</v>
      </c>
      <c r="P465" s="13">
        <v>2</v>
      </c>
      <c r="Q465" s="13">
        <v>1</v>
      </c>
      <c r="R465" s="13" t="s">
        <v>73</v>
      </c>
      <c r="S465" s="13" t="s">
        <v>73</v>
      </c>
      <c r="T465" s="13">
        <v>44901</v>
      </c>
      <c r="U465" s="13">
        <v>2958465</v>
      </c>
      <c r="V465" s="13" t="s">
        <v>282</v>
      </c>
      <c r="W465" s="13" t="s">
        <v>145</v>
      </c>
      <c r="Y465" s="13" t="s">
        <v>143</v>
      </c>
      <c r="Z465" s="13">
        <v>7589154</v>
      </c>
      <c r="AA465" s="13">
        <v>818</v>
      </c>
      <c r="AB465" s="13">
        <v>409</v>
      </c>
      <c r="AE465" s="51">
        <f>M465/O465</f>
        <v>8</v>
      </c>
      <c r="AG465" s="6" t="str">
        <f>C465</f>
        <v>90MB1BJ0-C1BAY0</v>
      </c>
      <c r="AH465" s="6" t="str">
        <f>IF($D465&lt;=AH$4,"",IF(AND($D464=AH$4,$D465&gt;AH$4),$F464,AH464))</f>
        <v>59MB1BJB-MB0A02S</v>
      </c>
      <c r="AI465" s="6" t="str">
        <f>IF($D465&lt;=AI$4,"",IF(AND($D464=AI$4,$D465&gt;AI$4),$F464,AI464))</f>
        <v/>
      </c>
      <c r="AJ465" s="6" t="str">
        <f>IF($D465&lt;=AJ$4,"",IF(AND($D464=AJ$4,$D465&gt;AJ$4),$F464,AJ464))</f>
        <v/>
      </c>
      <c r="AK465" s="6" t="str">
        <f>IF($D465&lt;=AK$4,"",IF(AND($D464=AK$4,$D465&gt;AK$4),$F464,AK464))</f>
        <v/>
      </c>
      <c r="AL465" s="6" t="str">
        <f>IF($D465&lt;=AL$4,"",IF(AND($D464=AL$4,$D465&gt;AL$4),$F464,AL464))</f>
        <v/>
      </c>
      <c r="AM465" s="6" t="str">
        <f>IF($D465&lt;=AM$4,"",IF(AND($D464=AM$4,$D465&gt;AM$4),$F464,AM464))</f>
        <v/>
      </c>
      <c r="AN465" s="6" t="str">
        <f>IF($D465&lt;=AN$4,"",IF(AND($D464=AN$4,$D465&gt;AN$4),$F464,AN464))</f>
        <v/>
      </c>
      <c r="AO465" s="6" t="str">
        <f>CONCATENATE(AG465," | ",AH465," | ",AI465," | ",AJ465," | ",AK465," | ",AL465," | ",AM465," | ",AN465)</f>
        <v xml:space="preserve">90MB1BJ0-C1BAY0 | 59MB1BJB-MB0A02S |  |  |  |  |  | </v>
      </c>
      <c r="AP465" s="6">
        <f>IF(TRIM(H465)="",100,J465)</f>
        <v>100</v>
      </c>
      <c r="AQ465" s="4"/>
      <c r="AR465" s="6" t="b">
        <f>NOT(TRIM(W465)&lt;&gt;"F")</f>
        <v>1</v>
      </c>
      <c r="AS465" s="6" t="str">
        <f>$B465&amp;" | "&amp;$AO465&amp;" | "&amp;IF(TRIM(H465)="","uniq"&amp;ROW(),TRIM(H465))</f>
        <v>461E | 90MB1BJ0-C1BAY0 | 59MB1BJB-MB0A02S |  |  |  |  |  |  | G5</v>
      </c>
      <c r="AT465" s="63">
        <f>IF(NOT(AR465),IF(TRIM($H465)="","Assembly","Phantom Alt"),VLOOKUP(F465,ZPCS04!B:G,6,0))</f>
        <v>709</v>
      </c>
      <c r="AU465" s="7"/>
      <c r="AV465" s="38">
        <f ca="1">IF(TRIM($W465)="F",OFFSET($A$5,MATCH($AS465,$AS$5:$AS465,0)-1,0),$A465)</f>
        <v>465</v>
      </c>
      <c r="AW465" s="38">
        <f ca="1">IFERROR(OFFSET(ZPCS04!$A$1,MATCH(F465,ZPCS04!B:B,0)-1,0),100)</f>
        <v>1.9999999000000002</v>
      </c>
      <c r="AX465" s="7"/>
      <c r="AY465" s="6" t="b">
        <f>SUMIF(AS:AS,AS465,AP:AP)=100</f>
        <v>1</v>
      </c>
      <c r="AZ465" s="6" t="b">
        <f>SUMIF(AS:AS,AS465,AE:AE)/COUNTIF(AS:AS,AS465)=AE465</f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>C465&amp;" | "&amp;F465</f>
        <v>90MB1BJ0-C1BAY0 | 10G213100213010</v>
      </c>
      <c r="BE465" s="55" t="str">
        <f ca="1">C465&amp;" | "&amp;OFFSET($AF465,0,8-COUNTBLANK($AG465:$AN465))</f>
        <v>90MB1BJ0-C1BAY0 | 59MB1BJB-MB0A02S</v>
      </c>
      <c r="BF465" s="57">
        <f ca="1">IFERROR(VLOOKUP($BE465,$BD$5:$BF464,3,0)*$AE465,VLOOKUP($C465,Demanda!$A:$B,2,0)*$AE465)*IF(AT465="Phantom Alt",$BC465,TRUE)</f>
        <v>8000</v>
      </c>
      <c r="BG465" s="57">
        <f ca="1">BF465*(AP465/100)</f>
        <v>8000</v>
      </c>
      <c r="BH465" s="57">
        <f>SUMIF(Invoice!A:A,F465,Invoice!B:B)</f>
        <v>10000</v>
      </c>
      <c r="BI465" s="57">
        <f ca="1">SUMIF(AS:AS,AS465,BG:BG)</f>
        <v>8000</v>
      </c>
      <c r="BJ465" s="57">
        <f ca="1">MIN((BI465-SUMIF($AS$5:AS464,AS465,$BJ$5:BJ464)),MAX(0,BH465-SUMIF($F$5:F464,F465,$BJ$5:BJ464)))</f>
        <v>8000</v>
      </c>
      <c r="BK465" s="57">
        <f ca="1">(-SUMIF(AS:AS,AS465,BG:BG)+SUMIF(AS:AS,AS465,BJ:BJ))*(AP465=100)*AR465</f>
        <v>0</v>
      </c>
      <c r="BL465" s="57">
        <f ca="1">MAX(0,SUMIF(Invoice!A:A,F465,Invoice!B:B)-SUMIF(F:F,F465,BJ:BJ))*(COUNTIF(F:F,F465)=COUNTIF($F$5:F465,F465))</f>
        <v>2000</v>
      </c>
    </row>
    <row r="466" spans="1:64" hidden="1">
      <c r="A466" s="43">
        <v>466</v>
      </c>
      <c r="B466" s="13" t="s">
        <v>147</v>
      </c>
      <c r="C466" s="13" t="s">
        <v>146</v>
      </c>
      <c r="D466" s="13">
        <v>2</v>
      </c>
      <c r="E466" s="13">
        <v>1650</v>
      </c>
      <c r="F466" s="71" t="s">
        <v>1142</v>
      </c>
      <c r="G466" s="71" t="s">
        <v>1143</v>
      </c>
      <c r="H466" s="13" t="s">
        <v>1141</v>
      </c>
      <c r="I466" s="13" t="s">
        <v>55</v>
      </c>
      <c r="J466" s="28">
        <v>0</v>
      </c>
      <c r="K466" s="13" t="s">
        <v>150</v>
      </c>
      <c r="L466" s="13" t="s">
        <v>53</v>
      </c>
      <c r="M466" s="13">
        <v>8</v>
      </c>
      <c r="O466" s="13">
        <v>1</v>
      </c>
      <c r="P466" s="13">
        <v>2</v>
      </c>
      <c r="Q466" s="13">
        <v>3</v>
      </c>
      <c r="R466" s="13" t="s">
        <v>73</v>
      </c>
      <c r="S466" s="13" t="s">
        <v>73</v>
      </c>
      <c r="T466" s="13">
        <v>44901</v>
      </c>
      <c r="U466" s="13">
        <v>2958465</v>
      </c>
      <c r="V466" s="13" t="s">
        <v>282</v>
      </c>
      <c r="W466" s="13" t="s">
        <v>145</v>
      </c>
      <c r="Y466" s="13" t="s">
        <v>143</v>
      </c>
      <c r="Z466" s="13">
        <v>7589154</v>
      </c>
      <c r="AA466" s="13">
        <v>822</v>
      </c>
      <c r="AB466" s="13">
        <v>411</v>
      </c>
      <c r="AE466" s="51">
        <f>M466/O466</f>
        <v>8</v>
      </c>
      <c r="AG466" s="6" t="str">
        <f>C466</f>
        <v>90MB1BJ0-C1BAY0</v>
      </c>
      <c r="AH466" s="6" t="str">
        <f>IF($D466&lt;=AH$4,"",IF(AND($D465=AH$4,$D466&gt;AH$4),$F465,AH465))</f>
        <v>59MB1BJB-MB0A02S</v>
      </c>
      <c r="AI466" s="6" t="str">
        <f>IF($D466&lt;=AI$4,"",IF(AND($D465=AI$4,$D466&gt;AI$4),$F465,AI465))</f>
        <v/>
      </c>
      <c r="AJ466" s="6" t="str">
        <f>IF($D466&lt;=AJ$4,"",IF(AND($D465=AJ$4,$D466&gt;AJ$4),$F465,AJ465))</f>
        <v/>
      </c>
      <c r="AK466" s="6" t="str">
        <f>IF($D466&lt;=AK$4,"",IF(AND($D465=AK$4,$D466&gt;AK$4),$F465,AK465))</f>
        <v/>
      </c>
      <c r="AL466" s="6" t="str">
        <f>IF($D466&lt;=AL$4,"",IF(AND($D465=AL$4,$D466&gt;AL$4),$F465,AL465))</f>
        <v/>
      </c>
      <c r="AM466" s="6" t="str">
        <f>IF($D466&lt;=AM$4,"",IF(AND($D465=AM$4,$D466&gt;AM$4),$F465,AM465))</f>
        <v/>
      </c>
      <c r="AN466" s="6" t="str">
        <f>IF($D466&lt;=AN$4,"",IF(AND($D465=AN$4,$D466&gt;AN$4),$F465,AN465))</f>
        <v/>
      </c>
      <c r="AO466" s="6" t="str">
        <f>CONCATENATE(AG466," | ",AH466," | ",AI466," | ",AJ466," | ",AK466," | ",AL466," | ",AM466," | ",AN466)</f>
        <v xml:space="preserve">90MB1BJ0-C1BAY0 | 59MB1BJB-MB0A02S |  |  |  |  |  | </v>
      </c>
      <c r="AP466" s="6">
        <f>IF(TRIM(H466)="",100,J466)</f>
        <v>0</v>
      </c>
      <c r="AQ466" s="4"/>
      <c r="AR466" s="6" t="b">
        <f>NOT(TRIM(W466)&lt;&gt;"F")</f>
        <v>1</v>
      </c>
      <c r="AS466" s="6" t="str">
        <f>$B466&amp;" | "&amp;$AO466&amp;" | "&amp;IF(TRIM(H466)="","uniq"&amp;ROW(),TRIM(H466))</f>
        <v>461E | 90MB1BJ0-C1BAY0 | 59MB1BJB-MB0A02S |  |  |  |  |  |  | G5</v>
      </c>
      <c r="AT466" s="63">
        <f>IF(NOT(AR466),IF(TRIM($H466)="","Assembly","Phantom Alt"),VLOOKUP(F466,ZPCS04!B:G,6,0))</f>
        <v>709</v>
      </c>
      <c r="AU466" s="7"/>
      <c r="AV466" s="38">
        <f ca="1">IF(TRIM($W466)="F",OFFSET($A$5,MATCH($AS466,$AS$5:$AS466,0)-1,0),$A466)</f>
        <v>465</v>
      </c>
      <c r="AW466" s="38">
        <f ca="1">IFERROR(OFFSET(ZPCS04!$A$1,MATCH(F466,ZPCS04!B:B,0)-1,0),100)</f>
        <v>2</v>
      </c>
      <c r="AX466" s="7"/>
      <c r="AY466" s="6" t="b">
        <f>SUMIF(AS:AS,AS466,AP:AP)=100</f>
        <v>1</v>
      </c>
      <c r="AZ466" s="6" t="b">
        <f>SUMIF(AS:AS,AS466,AE:AE)/COUNTIF(AS:AS,AS466)=AE466</f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>C466&amp;" | "&amp;F466</f>
        <v>90MB1BJ0-C1BAY0 | 10G213100213020</v>
      </c>
      <c r="BE466" s="55" t="str">
        <f ca="1">C466&amp;" | "&amp;OFFSET($AF466,0,8-COUNTBLANK($AG466:$AN466))</f>
        <v>90MB1BJ0-C1BAY0 | 59MB1BJB-MB0A02S</v>
      </c>
      <c r="BF466" s="57">
        <f ca="1">IFERROR(VLOOKUP($BE466,$BD$5:$BF465,3,0)*$AE466,VLOOKUP($C466,Demanda!$A:$B,2,0)*$AE466)*IF(AT466="Phantom Alt",$BC466,TRUE)</f>
        <v>8000</v>
      </c>
      <c r="BG466" s="57">
        <f ca="1">BF466*(AP466/100)</f>
        <v>0</v>
      </c>
      <c r="BH466" s="57">
        <f>SUMIF(Invoice!A:A,F466,Invoice!B:B)</f>
        <v>0</v>
      </c>
      <c r="BI466" s="57">
        <f ca="1">SUMIF(AS:AS,AS466,BG:BG)</f>
        <v>8000</v>
      </c>
      <c r="BJ466" s="57">
        <f ca="1">MIN((BI466-SUMIF($AS$5:AS465,AS466,$BJ$5:BJ465)),MAX(0,BH466-SUMIF($F$5:F465,F466,$BJ$5:BJ465)))</f>
        <v>0</v>
      </c>
      <c r="BK466" s="57">
        <f ca="1">(-SUMIF(AS:AS,AS466,BG:BG)+SUMIF(AS:AS,AS466,BJ:BJ))*(AP466=100)*AR466</f>
        <v>0</v>
      </c>
      <c r="BL466" s="57">
        <f ca="1">MAX(0,SUMIF(Invoice!A:A,F466,Invoice!B:B)-SUMIF(F:F,F466,BJ:BJ))*(COUNTIF(F:F,F466)=COUNTIF($F$5:F466,F466))</f>
        <v>0</v>
      </c>
    </row>
    <row r="467" spans="1:64" hidden="1">
      <c r="A467" s="43">
        <v>467</v>
      </c>
      <c r="B467" s="13" t="s">
        <v>147</v>
      </c>
      <c r="C467" s="13" t="s">
        <v>146</v>
      </c>
      <c r="D467" s="13">
        <v>2</v>
      </c>
      <c r="E467" s="13">
        <v>1650</v>
      </c>
      <c r="F467" s="71" t="s">
        <v>1144</v>
      </c>
      <c r="G467" s="71" t="s">
        <v>1145</v>
      </c>
      <c r="H467" s="13" t="s">
        <v>1141</v>
      </c>
      <c r="I467" s="13" t="s">
        <v>55</v>
      </c>
      <c r="J467" s="28">
        <v>0</v>
      </c>
      <c r="K467" s="13" t="s">
        <v>150</v>
      </c>
      <c r="L467" s="13" t="s">
        <v>53</v>
      </c>
      <c r="M467" s="13">
        <v>8</v>
      </c>
      <c r="O467" s="13">
        <v>1</v>
      </c>
      <c r="P467" s="13">
        <v>2</v>
      </c>
      <c r="Q467" s="13">
        <v>2</v>
      </c>
      <c r="R467" s="13" t="s">
        <v>73</v>
      </c>
      <c r="S467" s="13" t="s">
        <v>73</v>
      </c>
      <c r="T467" s="13">
        <v>44901</v>
      </c>
      <c r="U467" s="13">
        <v>2958465</v>
      </c>
      <c r="V467" s="13" t="s">
        <v>282</v>
      </c>
      <c r="W467" s="13" t="s">
        <v>145</v>
      </c>
      <c r="Y467" s="13" t="s">
        <v>143</v>
      </c>
      <c r="Z467" s="13">
        <v>7589154</v>
      </c>
      <c r="AA467" s="13">
        <v>820</v>
      </c>
      <c r="AB467" s="13">
        <v>410</v>
      </c>
      <c r="AE467" s="51">
        <f>M467/O467</f>
        <v>8</v>
      </c>
      <c r="AG467" s="6" t="str">
        <f>C467</f>
        <v>90MB1BJ0-C1BAY0</v>
      </c>
      <c r="AH467" s="6" t="str">
        <f>IF($D467&lt;=AH$4,"",IF(AND($D466=AH$4,$D467&gt;AH$4),$F466,AH466))</f>
        <v>59MB1BJB-MB0A02S</v>
      </c>
      <c r="AI467" s="6" t="str">
        <f>IF($D467&lt;=AI$4,"",IF(AND($D466=AI$4,$D467&gt;AI$4),$F466,AI466))</f>
        <v/>
      </c>
      <c r="AJ467" s="6" t="str">
        <f>IF($D467&lt;=AJ$4,"",IF(AND($D466=AJ$4,$D467&gt;AJ$4),$F466,AJ466))</f>
        <v/>
      </c>
      <c r="AK467" s="6" t="str">
        <f>IF($D467&lt;=AK$4,"",IF(AND($D466=AK$4,$D467&gt;AK$4),$F466,AK466))</f>
        <v/>
      </c>
      <c r="AL467" s="6" t="str">
        <f>IF($D467&lt;=AL$4,"",IF(AND($D466=AL$4,$D467&gt;AL$4),$F466,AL466))</f>
        <v/>
      </c>
      <c r="AM467" s="6" t="str">
        <f>IF($D467&lt;=AM$4,"",IF(AND($D466=AM$4,$D467&gt;AM$4),$F466,AM466))</f>
        <v/>
      </c>
      <c r="AN467" s="6" t="str">
        <f>IF($D467&lt;=AN$4,"",IF(AND($D466=AN$4,$D467&gt;AN$4),$F466,AN466))</f>
        <v/>
      </c>
      <c r="AO467" s="6" t="str">
        <f>CONCATENATE(AG467," | ",AH467," | ",AI467," | ",AJ467," | ",AK467," | ",AL467," | ",AM467," | ",AN467)</f>
        <v xml:space="preserve">90MB1BJ0-C1BAY0 | 59MB1BJB-MB0A02S |  |  |  |  |  | </v>
      </c>
      <c r="AP467" s="6">
        <f>IF(TRIM(H467)="",100,J467)</f>
        <v>0</v>
      </c>
      <c r="AQ467" s="4"/>
      <c r="AR467" s="6" t="b">
        <f>NOT(TRIM(W467)&lt;&gt;"F")</f>
        <v>1</v>
      </c>
      <c r="AS467" s="6" t="str">
        <f>$B467&amp;" | "&amp;$AO467&amp;" | "&amp;IF(TRIM(H467)="","uniq"&amp;ROW(),TRIM(H467))</f>
        <v>461E | 90MB1BJ0-C1BAY0 | 59MB1BJB-MB0A02S |  |  |  |  |  |  | G5</v>
      </c>
      <c r="AT467" s="63">
        <f>IF(NOT(AR467),IF(TRIM($H467)="","Assembly","Phantom Alt"),VLOOKUP(F467,ZPCS04!B:G,6,0))</f>
        <v>709</v>
      </c>
      <c r="AU467" s="7"/>
      <c r="AV467" s="38">
        <f ca="1">IF(TRIM($W467)="F",OFFSET($A$5,MATCH($AS467,$AS$5:$AS467,0)-1,0),$A467)</f>
        <v>465</v>
      </c>
      <c r="AW467" s="38">
        <f ca="1">IFERROR(OFFSET(ZPCS04!$A$1,MATCH(F467,ZPCS04!B:B,0)-1,0),100)</f>
        <v>2</v>
      </c>
      <c r="AX467" s="7"/>
      <c r="AY467" s="6" t="b">
        <f>SUMIF(AS:AS,AS467,AP:AP)=100</f>
        <v>1</v>
      </c>
      <c r="AZ467" s="6" t="b">
        <f>SUMIF(AS:AS,AS467,AE:AE)/COUNTIF(AS:AS,AS467)=AE467</f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>C467&amp;" | "&amp;F467</f>
        <v>90MB1BJ0-C1BAY0 | 10G213100213050</v>
      </c>
      <c r="BE467" s="55" t="str">
        <f ca="1">C467&amp;" | "&amp;OFFSET($AF467,0,8-COUNTBLANK($AG467:$AN467))</f>
        <v>90MB1BJ0-C1BAY0 | 59MB1BJB-MB0A02S</v>
      </c>
      <c r="BF467" s="57">
        <f ca="1">IFERROR(VLOOKUP($BE467,$BD$5:$BF466,3,0)*$AE467,VLOOKUP($C467,Demanda!$A:$B,2,0)*$AE467)*IF(AT467="Phantom Alt",$BC467,TRUE)</f>
        <v>8000</v>
      </c>
      <c r="BG467" s="57">
        <f ca="1">BF467*(AP467/100)</f>
        <v>0</v>
      </c>
      <c r="BH467" s="57">
        <f>SUMIF(Invoice!A:A,F467,Invoice!B:B)</f>
        <v>0</v>
      </c>
      <c r="BI467" s="57">
        <f ca="1">SUMIF(AS:AS,AS467,BG:BG)</f>
        <v>8000</v>
      </c>
      <c r="BJ467" s="57">
        <f ca="1">MIN((BI467-SUMIF($AS$5:AS466,AS467,$BJ$5:BJ466)),MAX(0,BH467-SUMIF($F$5:F466,F467,$BJ$5:BJ466)))</f>
        <v>0</v>
      </c>
      <c r="BK467" s="57">
        <f ca="1">(-SUMIF(AS:AS,AS467,BG:BG)+SUMIF(AS:AS,AS467,BJ:BJ))*(AP467=100)*AR467</f>
        <v>0</v>
      </c>
      <c r="BL467" s="57">
        <f ca="1">MAX(0,SUMIF(Invoice!A:A,F467,Invoice!B:B)-SUMIF(F:F,F467,BJ:BJ))*(COUNTIF(F:F,F467)=COUNTIF($F$5:F467,F467))</f>
        <v>0</v>
      </c>
    </row>
    <row r="468" spans="1:64" hidden="1">
      <c r="A468" s="43">
        <v>468</v>
      </c>
      <c r="B468" s="13" t="s">
        <v>147</v>
      </c>
      <c r="C468" s="13" t="s">
        <v>146</v>
      </c>
      <c r="D468" s="13">
        <v>2</v>
      </c>
      <c r="E468" s="13">
        <v>1660</v>
      </c>
      <c r="F468" s="71" t="s">
        <v>1146</v>
      </c>
      <c r="G468" s="71" t="s">
        <v>1147</v>
      </c>
      <c r="H468" s="13" t="s">
        <v>1148</v>
      </c>
      <c r="I468" s="13" t="s">
        <v>54</v>
      </c>
      <c r="J468" s="28">
        <v>100</v>
      </c>
      <c r="K468" s="13" t="s">
        <v>150</v>
      </c>
      <c r="L468" s="13" t="s">
        <v>53</v>
      </c>
      <c r="M468" s="13">
        <v>11</v>
      </c>
      <c r="N468" s="13">
        <v>11</v>
      </c>
      <c r="O468" s="13">
        <v>1</v>
      </c>
      <c r="P468" s="13">
        <v>2</v>
      </c>
      <c r="Q468" s="13">
        <v>1</v>
      </c>
      <c r="R468" s="13" t="s">
        <v>73</v>
      </c>
      <c r="S468" s="13" t="s">
        <v>73</v>
      </c>
      <c r="T468" s="13">
        <v>44901</v>
      </c>
      <c r="U468" s="13">
        <v>2958465</v>
      </c>
      <c r="V468" s="13" t="s">
        <v>282</v>
      </c>
      <c r="W468" s="13" t="s">
        <v>145</v>
      </c>
      <c r="Y468" s="13" t="s">
        <v>143</v>
      </c>
      <c r="Z468" s="13">
        <v>7589154</v>
      </c>
      <c r="AA468" s="13">
        <v>824</v>
      </c>
      <c r="AB468" s="13">
        <v>412</v>
      </c>
      <c r="AE468" s="51">
        <f>M468/O468</f>
        <v>11</v>
      </c>
      <c r="AG468" s="6" t="str">
        <f>C468</f>
        <v>90MB1BJ0-C1BAY0</v>
      </c>
      <c r="AH468" s="6" t="str">
        <f>IF($D468&lt;=AH$4,"",IF(AND($D467=AH$4,$D468&gt;AH$4),$F467,AH467))</f>
        <v>59MB1BJB-MB0A02S</v>
      </c>
      <c r="AI468" s="6" t="str">
        <f>IF($D468&lt;=AI$4,"",IF(AND($D467=AI$4,$D468&gt;AI$4),$F467,AI467))</f>
        <v/>
      </c>
      <c r="AJ468" s="6" t="str">
        <f>IF($D468&lt;=AJ$4,"",IF(AND($D467=AJ$4,$D468&gt;AJ$4),$F467,AJ467))</f>
        <v/>
      </c>
      <c r="AK468" s="6" t="str">
        <f>IF($D468&lt;=AK$4,"",IF(AND($D467=AK$4,$D468&gt;AK$4),$F467,AK467))</f>
        <v/>
      </c>
      <c r="AL468" s="6" t="str">
        <f>IF($D468&lt;=AL$4,"",IF(AND($D467=AL$4,$D468&gt;AL$4),$F467,AL467))</f>
        <v/>
      </c>
      <c r="AM468" s="6" t="str">
        <f>IF($D468&lt;=AM$4,"",IF(AND($D467=AM$4,$D468&gt;AM$4),$F467,AM467))</f>
        <v/>
      </c>
      <c r="AN468" s="6" t="str">
        <f>IF($D468&lt;=AN$4,"",IF(AND($D467=AN$4,$D468&gt;AN$4),$F467,AN467))</f>
        <v/>
      </c>
      <c r="AO468" s="6" t="str">
        <f>CONCATENATE(AG468," | ",AH468," | ",AI468," | ",AJ468," | ",AK468," | ",AL468," | ",AM468," | ",AN468)</f>
        <v xml:space="preserve">90MB1BJ0-C1BAY0 | 59MB1BJB-MB0A02S |  |  |  |  |  | </v>
      </c>
      <c r="AP468" s="6">
        <f>IF(TRIM(H468)="",100,J468)</f>
        <v>100</v>
      </c>
      <c r="AQ468" s="4"/>
      <c r="AR468" s="6" t="b">
        <f>NOT(TRIM(W468)&lt;&gt;"F")</f>
        <v>1</v>
      </c>
      <c r="AS468" s="6" t="str">
        <f>$B468&amp;" | "&amp;$AO468&amp;" | "&amp;IF(TRIM(H468)="","uniq"&amp;ROW(),TRIM(H468))</f>
        <v>461E | 90MB1BJ0-C1BAY0 | 59MB1BJB-MB0A02S |  |  |  |  |  |  | G6</v>
      </c>
      <c r="AT468" s="63">
        <f>IF(NOT(AR468),IF(TRIM($H468)="","Assembly","Phantom Alt"),VLOOKUP(F468,ZPCS04!B:G,6,0))</f>
        <v>710</v>
      </c>
      <c r="AU468" s="7"/>
      <c r="AV468" s="38">
        <f ca="1">IF(TRIM($W468)="F",OFFSET($A$5,MATCH($AS468,$AS$5:$AS468,0)-1,0),$A468)</f>
        <v>468</v>
      </c>
      <c r="AW468" s="38">
        <f ca="1">IFERROR(OFFSET(ZPCS04!$A$1,MATCH(F468,ZPCS04!B:B,0)-1,0),100)</f>
        <v>1.99999985</v>
      </c>
      <c r="AX468" s="7"/>
      <c r="AY468" s="6" t="b">
        <f>SUMIF(AS:AS,AS468,AP:AP)=100</f>
        <v>1</v>
      </c>
      <c r="AZ468" s="6" t="b">
        <f>SUMIF(AS:AS,AS468,AE:AE)/COUNTIF(AS:AS,AS468)=AE468</f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>C468&amp;" | "&amp;F468</f>
        <v>90MB1BJ0-C1BAY0 | 10G213100313010</v>
      </c>
      <c r="BE468" s="55" t="str">
        <f ca="1">C468&amp;" | "&amp;OFFSET($AF468,0,8-COUNTBLANK($AG468:$AN468))</f>
        <v>90MB1BJ0-C1BAY0 | 59MB1BJB-MB0A02S</v>
      </c>
      <c r="BF468" s="57">
        <f ca="1">IFERROR(VLOOKUP($BE468,$BD$5:$BF467,3,0)*$AE468,VLOOKUP($C468,Demanda!$A:$B,2,0)*$AE468)*IF(AT468="Phantom Alt",$BC468,TRUE)</f>
        <v>11000</v>
      </c>
      <c r="BG468" s="57">
        <f ca="1">BF468*(AP468/100)</f>
        <v>11000</v>
      </c>
      <c r="BH468" s="57">
        <f>SUMIF(Invoice!A:A,F468,Invoice!B:B)</f>
        <v>15000</v>
      </c>
      <c r="BI468" s="57">
        <f ca="1">SUMIF(AS:AS,AS468,BG:BG)</f>
        <v>11000</v>
      </c>
      <c r="BJ468" s="57">
        <f ca="1">MIN((BI468-SUMIF($AS$5:AS467,AS468,$BJ$5:BJ467)),MAX(0,BH468-SUMIF($F$5:F467,F468,$BJ$5:BJ467)))</f>
        <v>11000</v>
      </c>
      <c r="BK468" s="57">
        <f ca="1">(-SUMIF(AS:AS,AS468,BG:BG)+SUMIF(AS:AS,AS468,BJ:BJ))*(AP468=100)*AR468</f>
        <v>0</v>
      </c>
      <c r="BL468" s="57">
        <f ca="1">MAX(0,SUMIF(Invoice!A:A,F468,Invoice!B:B)-SUMIF(F:F,F468,BJ:BJ))*(COUNTIF(F:F,F468)=COUNTIF($F$5:F468,F468))</f>
        <v>4000</v>
      </c>
    </row>
    <row r="469" spans="1:64" hidden="1">
      <c r="A469" s="43">
        <v>469</v>
      </c>
      <c r="B469" s="13" t="s">
        <v>147</v>
      </c>
      <c r="C469" s="13" t="s">
        <v>146</v>
      </c>
      <c r="D469" s="13">
        <v>2</v>
      </c>
      <c r="E469" s="13">
        <v>1660</v>
      </c>
      <c r="F469" s="71" t="s">
        <v>1149</v>
      </c>
      <c r="G469" s="71" t="s">
        <v>1150</v>
      </c>
      <c r="H469" s="13" t="s">
        <v>1148</v>
      </c>
      <c r="I469" s="13" t="s">
        <v>55</v>
      </c>
      <c r="J469" s="28">
        <v>0</v>
      </c>
      <c r="K469" s="13" t="s">
        <v>150</v>
      </c>
      <c r="L469" s="13" t="s">
        <v>53</v>
      </c>
      <c r="M469" s="13">
        <v>11</v>
      </c>
      <c r="O469" s="13">
        <v>1</v>
      </c>
      <c r="P469" s="13">
        <v>2</v>
      </c>
      <c r="Q469" s="13">
        <v>3</v>
      </c>
      <c r="R469" s="13" t="s">
        <v>73</v>
      </c>
      <c r="S469" s="13" t="s">
        <v>73</v>
      </c>
      <c r="T469" s="13">
        <v>44901</v>
      </c>
      <c r="U469" s="13">
        <v>2958465</v>
      </c>
      <c r="V469" s="13" t="s">
        <v>282</v>
      </c>
      <c r="W469" s="13" t="s">
        <v>145</v>
      </c>
      <c r="Y469" s="13" t="s">
        <v>143</v>
      </c>
      <c r="Z469" s="13">
        <v>7589154</v>
      </c>
      <c r="AA469" s="13">
        <v>828</v>
      </c>
      <c r="AB469" s="13">
        <v>414</v>
      </c>
      <c r="AE469" s="51">
        <f>M469/O469</f>
        <v>11</v>
      </c>
      <c r="AG469" s="6" t="str">
        <f>C469</f>
        <v>90MB1BJ0-C1BAY0</v>
      </c>
      <c r="AH469" s="6" t="str">
        <f>IF($D469&lt;=AH$4,"",IF(AND($D468=AH$4,$D469&gt;AH$4),$F468,AH468))</f>
        <v>59MB1BJB-MB0A02S</v>
      </c>
      <c r="AI469" s="6" t="str">
        <f>IF($D469&lt;=AI$4,"",IF(AND($D468=AI$4,$D469&gt;AI$4),$F468,AI468))</f>
        <v/>
      </c>
      <c r="AJ469" s="6" t="str">
        <f>IF($D469&lt;=AJ$4,"",IF(AND($D468=AJ$4,$D469&gt;AJ$4),$F468,AJ468))</f>
        <v/>
      </c>
      <c r="AK469" s="6" t="str">
        <f>IF($D469&lt;=AK$4,"",IF(AND($D468=AK$4,$D469&gt;AK$4),$F468,AK468))</f>
        <v/>
      </c>
      <c r="AL469" s="6" t="str">
        <f>IF($D469&lt;=AL$4,"",IF(AND($D468=AL$4,$D469&gt;AL$4),$F468,AL468))</f>
        <v/>
      </c>
      <c r="AM469" s="6" t="str">
        <f>IF($D469&lt;=AM$4,"",IF(AND($D468=AM$4,$D469&gt;AM$4),$F468,AM468))</f>
        <v/>
      </c>
      <c r="AN469" s="6" t="str">
        <f>IF($D469&lt;=AN$4,"",IF(AND($D468=AN$4,$D469&gt;AN$4),$F468,AN468))</f>
        <v/>
      </c>
      <c r="AO469" s="6" t="str">
        <f>CONCATENATE(AG469," | ",AH469," | ",AI469," | ",AJ469," | ",AK469," | ",AL469," | ",AM469," | ",AN469)</f>
        <v xml:space="preserve">90MB1BJ0-C1BAY0 | 59MB1BJB-MB0A02S |  |  |  |  |  | </v>
      </c>
      <c r="AP469" s="6">
        <f>IF(TRIM(H469)="",100,J469)</f>
        <v>0</v>
      </c>
      <c r="AQ469" s="4"/>
      <c r="AR469" s="6" t="b">
        <f>NOT(TRIM(W469)&lt;&gt;"F")</f>
        <v>1</v>
      </c>
      <c r="AS469" s="6" t="str">
        <f>$B469&amp;" | "&amp;$AO469&amp;" | "&amp;IF(TRIM(H469)="","uniq"&amp;ROW(),TRIM(H469))</f>
        <v>461E | 90MB1BJ0-C1BAY0 | 59MB1BJB-MB0A02S |  |  |  |  |  |  | G6</v>
      </c>
      <c r="AT469" s="63">
        <f>IF(NOT(AR469),IF(TRIM($H469)="","Assembly","Phantom Alt"),VLOOKUP(F469,ZPCS04!B:G,6,0))</f>
        <v>710</v>
      </c>
      <c r="AU469" s="7"/>
      <c r="AV469" s="38">
        <f ca="1">IF(TRIM($W469)="F",OFFSET($A$5,MATCH($AS469,$AS$5:$AS469,0)-1,0),$A469)</f>
        <v>468</v>
      </c>
      <c r="AW469" s="38">
        <f ca="1">IFERROR(OFFSET(ZPCS04!$A$1,MATCH(F469,ZPCS04!B:B,0)-1,0),100)</f>
        <v>2</v>
      </c>
      <c r="AX469" s="7"/>
      <c r="AY469" s="6" t="b">
        <f>SUMIF(AS:AS,AS469,AP:AP)=100</f>
        <v>1</v>
      </c>
      <c r="AZ469" s="6" t="b">
        <f>SUMIF(AS:AS,AS469,AE:AE)/COUNTIF(AS:AS,AS469)=AE469</f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>C469&amp;" | "&amp;F469</f>
        <v>90MB1BJ0-C1BAY0 | 10G213100313020</v>
      </c>
      <c r="BE469" s="55" t="str">
        <f ca="1">C469&amp;" | "&amp;OFFSET($AF469,0,8-COUNTBLANK($AG469:$AN469))</f>
        <v>90MB1BJ0-C1BAY0 | 59MB1BJB-MB0A02S</v>
      </c>
      <c r="BF469" s="57">
        <f ca="1">IFERROR(VLOOKUP($BE469,$BD$5:$BF468,3,0)*$AE469,VLOOKUP($C469,Demanda!$A:$B,2,0)*$AE469)*IF(AT469="Phantom Alt",$BC469,TRUE)</f>
        <v>11000</v>
      </c>
      <c r="BG469" s="57">
        <f ca="1">BF469*(AP469/100)</f>
        <v>0</v>
      </c>
      <c r="BH469" s="57">
        <f>SUMIF(Invoice!A:A,F469,Invoice!B:B)</f>
        <v>0</v>
      </c>
      <c r="BI469" s="57">
        <f ca="1">SUMIF(AS:AS,AS469,BG:BG)</f>
        <v>11000</v>
      </c>
      <c r="BJ469" s="57">
        <f ca="1">MIN((BI469-SUMIF($AS$5:AS468,AS469,$BJ$5:BJ468)),MAX(0,BH469-SUMIF($F$5:F468,F469,$BJ$5:BJ468)))</f>
        <v>0</v>
      </c>
      <c r="BK469" s="57">
        <f ca="1">(-SUMIF(AS:AS,AS469,BG:BG)+SUMIF(AS:AS,AS469,BJ:BJ))*(AP469=100)*AR469</f>
        <v>0</v>
      </c>
      <c r="BL469" s="57">
        <f ca="1">MAX(0,SUMIF(Invoice!A:A,F469,Invoice!B:B)-SUMIF(F:F,F469,BJ:BJ))*(COUNTIF(F:F,F469)=COUNTIF($F$5:F469,F469))</f>
        <v>0</v>
      </c>
    </row>
    <row r="470" spans="1:64" hidden="1">
      <c r="A470" s="43">
        <v>470</v>
      </c>
      <c r="B470" s="13" t="s">
        <v>147</v>
      </c>
      <c r="C470" s="13" t="s">
        <v>146</v>
      </c>
      <c r="D470" s="13">
        <v>2</v>
      </c>
      <c r="E470" s="13">
        <v>1660</v>
      </c>
      <c r="F470" s="71" t="s">
        <v>1151</v>
      </c>
      <c r="G470" s="71" t="s">
        <v>1152</v>
      </c>
      <c r="H470" s="13" t="s">
        <v>1148</v>
      </c>
      <c r="I470" s="13" t="s">
        <v>55</v>
      </c>
      <c r="J470" s="28">
        <v>0</v>
      </c>
      <c r="K470" s="13" t="s">
        <v>150</v>
      </c>
      <c r="L470" s="13" t="s">
        <v>53</v>
      </c>
      <c r="M470" s="13">
        <v>11</v>
      </c>
      <c r="O470" s="13">
        <v>1</v>
      </c>
      <c r="P470" s="13">
        <v>2</v>
      </c>
      <c r="Q470" s="13">
        <v>2</v>
      </c>
      <c r="R470" s="13" t="s">
        <v>73</v>
      </c>
      <c r="S470" s="13" t="s">
        <v>73</v>
      </c>
      <c r="T470" s="13">
        <v>44901</v>
      </c>
      <c r="U470" s="13">
        <v>2958465</v>
      </c>
      <c r="V470" s="13" t="s">
        <v>282</v>
      </c>
      <c r="W470" s="13" t="s">
        <v>145</v>
      </c>
      <c r="Y470" s="13" t="s">
        <v>143</v>
      </c>
      <c r="Z470" s="13">
        <v>7589154</v>
      </c>
      <c r="AA470" s="13">
        <v>826</v>
      </c>
      <c r="AB470" s="13">
        <v>413</v>
      </c>
      <c r="AE470" s="51">
        <f>M470/O470</f>
        <v>11</v>
      </c>
      <c r="AG470" s="6" t="str">
        <f>C470</f>
        <v>90MB1BJ0-C1BAY0</v>
      </c>
      <c r="AH470" s="6" t="str">
        <f>IF($D470&lt;=AH$4,"",IF(AND($D469=AH$4,$D470&gt;AH$4),$F469,AH469))</f>
        <v>59MB1BJB-MB0A02S</v>
      </c>
      <c r="AI470" s="6" t="str">
        <f>IF($D470&lt;=AI$4,"",IF(AND($D469=AI$4,$D470&gt;AI$4),$F469,AI469))</f>
        <v/>
      </c>
      <c r="AJ470" s="6" t="str">
        <f>IF($D470&lt;=AJ$4,"",IF(AND($D469=AJ$4,$D470&gt;AJ$4),$F469,AJ469))</f>
        <v/>
      </c>
      <c r="AK470" s="6" t="str">
        <f>IF($D470&lt;=AK$4,"",IF(AND($D469=AK$4,$D470&gt;AK$4),$F469,AK469))</f>
        <v/>
      </c>
      <c r="AL470" s="6" t="str">
        <f>IF($D470&lt;=AL$4,"",IF(AND($D469=AL$4,$D470&gt;AL$4),$F469,AL469))</f>
        <v/>
      </c>
      <c r="AM470" s="6" t="str">
        <f>IF($D470&lt;=AM$4,"",IF(AND($D469=AM$4,$D470&gt;AM$4),$F469,AM469))</f>
        <v/>
      </c>
      <c r="AN470" s="6" t="str">
        <f>IF($D470&lt;=AN$4,"",IF(AND($D469=AN$4,$D470&gt;AN$4),$F469,AN469))</f>
        <v/>
      </c>
      <c r="AO470" s="6" t="str">
        <f>CONCATENATE(AG470," | ",AH470," | ",AI470," | ",AJ470," | ",AK470," | ",AL470," | ",AM470," | ",AN470)</f>
        <v xml:space="preserve">90MB1BJ0-C1BAY0 | 59MB1BJB-MB0A02S |  |  |  |  |  | </v>
      </c>
      <c r="AP470" s="6">
        <f>IF(TRIM(H470)="",100,J470)</f>
        <v>0</v>
      </c>
      <c r="AQ470" s="4"/>
      <c r="AR470" s="6" t="b">
        <f>NOT(TRIM(W470)&lt;&gt;"F")</f>
        <v>1</v>
      </c>
      <c r="AS470" s="6" t="str">
        <f>$B470&amp;" | "&amp;$AO470&amp;" | "&amp;IF(TRIM(H470)="","uniq"&amp;ROW(),TRIM(H470))</f>
        <v>461E | 90MB1BJ0-C1BAY0 | 59MB1BJB-MB0A02S |  |  |  |  |  |  | G6</v>
      </c>
      <c r="AT470" s="63">
        <f>IF(NOT(AR470),IF(TRIM($H470)="","Assembly","Phantom Alt"),VLOOKUP(F470,ZPCS04!B:G,6,0))</f>
        <v>710</v>
      </c>
      <c r="AU470" s="7"/>
      <c r="AV470" s="38">
        <f ca="1">IF(TRIM($W470)="F",OFFSET($A$5,MATCH($AS470,$AS$5:$AS470,0)-1,0),$A470)</f>
        <v>468</v>
      </c>
      <c r="AW470" s="38">
        <f ca="1">IFERROR(OFFSET(ZPCS04!$A$1,MATCH(F470,ZPCS04!B:B,0)-1,0),100)</f>
        <v>2</v>
      </c>
      <c r="AX470" s="7"/>
      <c r="AY470" s="6" t="b">
        <f>SUMIF(AS:AS,AS470,AP:AP)=100</f>
        <v>1</v>
      </c>
      <c r="AZ470" s="6" t="b">
        <f>SUMIF(AS:AS,AS470,AE:AE)/COUNTIF(AS:AS,AS470)=AE470</f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>C470&amp;" | "&amp;F470</f>
        <v>90MB1BJ0-C1BAY0 | 10G213100313050</v>
      </c>
      <c r="BE470" s="55" t="str">
        <f ca="1">C470&amp;" | "&amp;OFFSET($AF470,0,8-COUNTBLANK($AG470:$AN470))</f>
        <v>90MB1BJ0-C1BAY0 | 59MB1BJB-MB0A02S</v>
      </c>
      <c r="BF470" s="57">
        <f ca="1">IFERROR(VLOOKUP($BE470,$BD$5:$BF469,3,0)*$AE470,VLOOKUP($C470,Demanda!$A:$B,2,0)*$AE470)*IF(AT470="Phantom Alt",$BC470,TRUE)</f>
        <v>11000</v>
      </c>
      <c r="BG470" s="57">
        <f ca="1">BF470*(AP470/100)</f>
        <v>0</v>
      </c>
      <c r="BH470" s="57">
        <f>SUMIF(Invoice!A:A,F470,Invoice!B:B)</f>
        <v>0</v>
      </c>
      <c r="BI470" s="57">
        <f ca="1">SUMIF(AS:AS,AS470,BG:BG)</f>
        <v>11000</v>
      </c>
      <c r="BJ470" s="57">
        <f ca="1">MIN((BI470-SUMIF($AS$5:AS469,AS470,$BJ$5:BJ469)),MAX(0,BH470-SUMIF($F$5:F469,F470,$BJ$5:BJ469)))</f>
        <v>0</v>
      </c>
      <c r="BK470" s="57">
        <f ca="1">(-SUMIF(AS:AS,AS470,BG:BG)+SUMIF(AS:AS,AS470,BJ:BJ))*(AP470=100)*AR470</f>
        <v>0</v>
      </c>
      <c r="BL470" s="57">
        <f ca="1">MAX(0,SUMIF(Invoice!A:A,F470,Invoice!B:B)-SUMIF(F:F,F470,BJ:BJ))*(COUNTIF(F:F,F470)=COUNTIF($F$5:F470,F470))</f>
        <v>0</v>
      </c>
    </row>
    <row r="471" spans="1:64" hidden="1">
      <c r="A471" s="43">
        <v>471</v>
      </c>
      <c r="B471" s="13" t="s">
        <v>147</v>
      </c>
      <c r="C471" s="13" t="s">
        <v>146</v>
      </c>
      <c r="D471" s="13">
        <v>2</v>
      </c>
      <c r="E471" s="13">
        <v>1670</v>
      </c>
      <c r="F471" s="71" t="s">
        <v>1153</v>
      </c>
      <c r="G471" s="71" t="s">
        <v>1154</v>
      </c>
      <c r="H471" s="13" t="s">
        <v>1155</v>
      </c>
      <c r="I471" s="13" t="s">
        <v>55</v>
      </c>
      <c r="J471" s="28">
        <v>0</v>
      </c>
      <c r="K471" s="13" t="s">
        <v>150</v>
      </c>
      <c r="L471" s="13" t="s">
        <v>53</v>
      </c>
      <c r="M471" s="13">
        <v>4</v>
      </c>
      <c r="O471" s="13">
        <v>1</v>
      </c>
      <c r="P471" s="13">
        <v>2</v>
      </c>
      <c r="Q471" s="13">
        <v>2</v>
      </c>
      <c r="R471" s="13" t="s">
        <v>73</v>
      </c>
      <c r="S471" s="13" t="s">
        <v>73</v>
      </c>
      <c r="T471" s="13">
        <v>44901</v>
      </c>
      <c r="U471" s="13">
        <v>2958465</v>
      </c>
      <c r="V471" s="13" t="s">
        <v>282</v>
      </c>
      <c r="W471" s="13" t="s">
        <v>145</v>
      </c>
      <c r="Y471" s="13" t="s">
        <v>143</v>
      </c>
      <c r="Z471" s="13">
        <v>7589154</v>
      </c>
      <c r="AA471" s="13">
        <v>832</v>
      </c>
      <c r="AB471" s="13">
        <v>416</v>
      </c>
      <c r="AE471" s="51">
        <f>M471/O471</f>
        <v>4</v>
      </c>
      <c r="AG471" s="6" t="str">
        <f>C471</f>
        <v>90MB1BJ0-C1BAY0</v>
      </c>
      <c r="AH471" s="6" t="str">
        <f>IF($D471&lt;=AH$4,"",IF(AND($D470=AH$4,$D471&gt;AH$4),$F470,AH470))</f>
        <v>59MB1BJB-MB0A02S</v>
      </c>
      <c r="AI471" s="6" t="str">
        <f>IF($D471&lt;=AI$4,"",IF(AND($D470=AI$4,$D471&gt;AI$4),$F470,AI470))</f>
        <v/>
      </c>
      <c r="AJ471" s="6" t="str">
        <f>IF($D471&lt;=AJ$4,"",IF(AND($D470=AJ$4,$D471&gt;AJ$4),$F470,AJ470))</f>
        <v/>
      </c>
      <c r="AK471" s="6" t="str">
        <f>IF($D471&lt;=AK$4,"",IF(AND($D470=AK$4,$D471&gt;AK$4),$F470,AK470))</f>
        <v/>
      </c>
      <c r="AL471" s="6" t="str">
        <f>IF($D471&lt;=AL$4,"",IF(AND($D470=AL$4,$D471&gt;AL$4),$F470,AL470))</f>
        <v/>
      </c>
      <c r="AM471" s="6" t="str">
        <f>IF($D471&lt;=AM$4,"",IF(AND($D470=AM$4,$D471&gt;AM$4),$F470,AM470))</f>
        <v/>
      </c>
      <c r="AN471" s="6" t="str">
        <f>IF($D471&lt;=AN$4,"",IF(AND($D470=AN$4,$D471&gt;AN$4),$F470,AN470))</f>
        <v/>
      </c>
      <c r="AO471" s="6" t="str">
        <f>CONCATENATE(AG471," | ",AH471," | ",AI471," | ",AJ471," | ",AK471," | ",AL471," | ",AM471," | ",AN471)</f>
        <v xml:space="preserve">90MB1BJ0-C1BAY0 | 59MB1BJB-MB0A02S |  |  |  |  |  | </v>
      </c>
      <c r="AP471" s="6">
        <f>IF(TRIM(H471)="",100,J471)</f>
        <v>0</v>
      </c>
      <c r="AQ471" s="4"/>
      <c r="AR471" s="6" t="b">
        <f>NOT(TRIM(W471)&lt;&gt;"F")</f>
        <v>1</v>
      </c>
      <c r="AS471" s="6" t="str">
        <f>$B471&amp;" | "&amp;$AO471&amp;" | "&amp;IF(TRIM(H471)="","uniq"&amp;ROW(),TRIM(H471))</f>
        <v>461E | 90MB1BJ0-C1BAY0 | 59MB1BJB-MB0A02S |  |  |  |  |  |  | G7</v>
      </c>
      <c r="AT471" s="63">
        <f>IF(NOT(AR471),IF(TRIM($H471)="","Assembly","Phantom Alt"),VLOOKUP(F471,ZPCS04!B:G,6,0))</f>
        <v>1219</v>
      </c>
      <c r="AU471" s="7"/>
      <c r="AV471" s="38">
        <f ca="1">IF(TRIM($W471)="F",OFFSET($A$5,MATCH($AS471,$AS$5:$AS471,0)-1,0),$A471)</f>
        <v>471</v>
      </c>
      <c r="AW471" s="38">
        <f ca="1">IFERROR(OFFSET(ZPCS04!$A$1,MATCH(F471,ZPCS04!B:B,0)-1,0),100)</f>
        <v>1.9999999499999999</v>
      </c>
      <c r="AX471" s="7"/>
      <c r="AY471" s="6" t="b">
        <f>SUMIF(AS:AS,AS471,AP:AP)=100</f>
        <v>1</v>
      </c>
      <c r="AZ471" s="6" t="b">
        <f>SUMIF(AS:AS,AS471,AE:AE)/COUNTIF(AS:AS,AS471)=AE471</f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>C471&amp;" | "&amp;F471</f>
        <v>90MB1BJ0-C1BAY0 | 10G213140013010</v>
      </c>
      <c r="BE471" s="55" t="str">
        <f ca="1">C471&amp;" | "&amp;OFFSET($AF471,0,8-COUNTBLANK($AG471:$AN471))</f>
        <v>90MB1BJ0-C1BAY0 | 59MB1BJB-MB0A02S</v>
      </c>
      <c r="BF471" s="57">
        <f ca="1">IFERROR(VLOOKUP($BE471,$BD$5:$BF470,3,0)*$AE471,VLOOKUP($C471,Demanda!$A:$B,2,0)*$AE471)*IF(AT471="Phantom Alt",$BC471,TRUE)</f>
        <v>4000</v>
      </c>
      <c r="BG471" s="57">
        <f ca="1">BF471*(AP471/100)</f>
        <v>0</v>
      </c>
      <c r="BH471" s="57">
        <f>SUMIF(Invoice!A:A,F471,Invoice!B:B)</f>
        <v>5000</v>
      </c>
      <c r="BI471" s="57">
        <f ca="1">SUMIF(AS:AS,AS471,BG:BG)</f>
        <v>4000</v>
      </c>
      <c r="BJ471" s="57">
        <f ca="1">MIN((BI471-SUMIF($AS$5:AS470,AS471,$BJ$5:BJ470)),MAX(0,BH471-SUMIF($F$5:F470,F471,$BJ$5:BJ470)))</f>
        <v>4000</v>
      </c>
      <c r="BK471" s="57">
        <f ca="1">(-SUMIF(AS:AS,AS471,BG:BG)+SUMIF(AS:AS,AS471,BJ:BJ))*(AP471=100)*AR471</f>
        <v>0</v>
      </c>
      <c r="BL471" s="57">
        <f ca="1">MAX(0,SUMIF(Invoice!A:A,F471,Invoice!B:B)-SUMIF(F:F,F471,BJ:BJ))*(COUNTIF(F:F,F471)=COUNTIF($F$5:F471,F471))</f>
        <v>1000</v>
      </c>
    </row>
    <row r="472" spans="1:64" hidden="1">
      <c r="A472" s="43">
        <v>472</v>
      </c>
      <c r="B472" s="13" t="s">
        <v>147</v>
      </c>
      <c r="C472" s="13" t="s">
        <v>146</v>
      </c>
      <c r="D472" s="13">
        <v>2</v>
      </c>
      <c r="E472" s="13">
        <v>1670</v>
      </c>
      <c r="F472" s="71" t="s">
        <v>1156</v>
      </c>
      <c r="G472" s="71" t="s">
        <v>1157</v>
      </c>
      <c r="H472" s="13" t="s">
        <v>1155</v>
      </c>
      <c r="I472" s="13" t="s">
        <v>54</v>
      </c>
      <c r="J472" s="28">
        <v>100</v>
      </c>
      <c r="K472" s="13" t="s">
        <v>150</v>
      </c>
      <c r="L472" s="13" t="s">
        <v>53</v>
      </c>
      <c r="M472" s="13">
        <v>4</v>
      </c>
      <c r="N472" s="13">
        <v>4</v>
      </c>
      <c r="O472" s="13">
        <v>1</v>
      </c>
      <c r="P472" s="13">
        <v>2</v>
      </c>
      <c r="Q472" s="13">
        <v>1</v>
      </c>
      <c r="R472" s="13" t="s">
        <v>73</v>
      </c>
      <c r="S472" s="13" t="s">
        <v>73</v>
      </c>
      <c r="T472" s="13">
        <v>44901</v>
      </c>
      <c r="U472" s="13">
        <v>2958465</v>
      </c>
      <c r="V472" s="13" t="s">
        <v>282</v>
      </c>
      <c r="W472" s="13" t="s">
        <v>145</v>
      </c>
      <c r="Y472" s="13" t="s">
        <v>143</v>
      </c>
      <c r="Z472" s="13">
        <v>7589154</v>
      </c>
      <c r="AA472" s="13">
        <v>830</v>
      </c>
      <c r="AB472" s="13">
        <v>415</v>
      </c>
      <c r="AE472" s="51">
        <f>M472/O472</f>
        <v>4</v>
      </c>
      <c r="AG472" s="6" t="str">
        <f>C472</f>
        <v>90MB1BJ0-C1BAY0</v>
      </c>
      <c r="AH472" s="6" t="str">
        <f>IF($D472&lt;=AH$4,"",IF(AND($D471=AH$4,$D472&gt;AH$4),$F471,AH471))</f>
        <v>59MB1BJB-MB0A02S</v>
      </c>
      <c r="AI472" s="6" t="str">
        <f>IF($D472&lt;=AI$4,"",IF(AND($D471=AI$4,$D472&gt;AI$4),$F471,AI471))</f>
        <v/>
      </c>
      <c r="AJ472" s="6" t="str">
        <f>IF($D472&lt;=AJ$4,"",IF(AND($D471=AJ$4,$D472&gt;AJ$4),$F471,AJ471))</f>
        <v/>
      </c>
      <c r="AK472" s="6" t="str">
        <f>IF($D472&lt;=AK$4,"",IF(AND($D471=AK$4,$D472&gt;AK$4),$F471,AK471))</f>
        <v/>
      </c>
      <c r="AL472" s="6" t="str">
        <f>IF($D472&lt;=AL$4,"",IF(AND($D471=AL$4,$D472&gt;AL$4),$F471,AL471))</f>
        <v/>
      </c>
      <c r="AM472" s="6" t="str">
        <f>IF($D472&lt;=AM$4,"",IF(AND($D471=AM$4,$D472&gt;AM$4),$F471,AM471))</f>
        <v/>
      </c>
      <c r="AN472" s="6" t="str">
        <f>IF($D472&lt;=AN$4,"",IF(AND($D471=AN$4,$D472&gt;AN$4),$F471,AN471))</f>
        <v/>
      </c>
      <c r="AO472" s="6" t="str">
        <f>CONCATENATE(AG472," | ",AH472," | ",AI472," | ",AJ472," | ",AK472," | ",AL472," | ",AM472," | ",AN472)</f>
        <v xml:space="preserve">90MB1BJ0-C1BAY0 | 59MB1BJB-MB0A02S |  |  |  |  |  | </v>
      </c>
      <c r="AP472" s="6">
        <f>IF(TRIM(H472)="",100,J472)</f>
        <v>100</v>
      </c>
      <c r="AQ472" s="4"/>
      <c r="AR472" s="6" t="b">
        <f>NOT(TRIM(W472)&lt;&gt;"F")</f>
        <v>1</v>
      </c>
      <c r="AS472" s="6" t="str">
        <f>$B472&amp;" | "&amp;$AO472&amp;" | "&amp;IF(TRIM(H472)="","uniq"&amp;ROW(),TRIM(H472))</f>
        <v>461E | 90MB1BJ0-C1BAY0 | 59MB1BJB-MB0A02S |  |  |  |  |  |  | G7</v>
      </c>
      <c r="AT472" s="63">
        <f>IF(NOT(AR472),IF(TRIM($H472)="","Assembly","Phantom Alt"),VLOOKUP(F472,ZPCS04!B:G,6,0))</f>
        <v>1219</v>
      </c>
      <c r="AU472" s="7"/>
      <c r="AV472" s="38">
        <f ca="1">IF(TRIM($W472)="F",OFFSET($A$5,MATCH($AS472,$AS$5:$AS472,0)-1,0),$A472)</f>
        <v>471</v>
      </c>
      <c r="AW472" s="38">
        <f ca="1">IFERROR(OFFSET(ZPCS04!$A$1,MATCH(F472,ZPCS04!B:B,0)-1,0),100)</f>
        <v>2</v>
      </c>
      <c r="AX472" s="7"/>
      <c r="AY472" s="6" t="b">
        <f>SUMIF(AS:AS,AS472,AP:AP)=100</f>
        <v>1</v>
      </c>
      <c r="AZ472" s="6" t="b">
        <f>SUMIF(AS:AS,AS472,AE:AE)/COUNTIF(AS:AS,AS472)=AE472</f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>C472&amp;" | "&amp;F472</f>
        <v>90MB1BJ0-C1BAY0 | 10G213140013020</v>
      </c>
      <c r="BE472" s="55" t="str">
        <f ca="1">C472&amp;" | "&amp;OFFSET($AF472,0,8-COUNTBLANK($AG472:$AN472))</f>
        <v>90MB1BJ0-C1BAY0 | 59MB1BJB-MB0A02S</v>
      </c>
      <c r="BF472" s="57">
        <f ca="1">IFERROR(VLOOKUP($BE472,$BD$5:$BF471,3,0)*$AE472,VLOOKUP($C472,Demanda!$A:$B,2,0)*$AE472)*IF(AT472="Phantom Alt",$BC472,TRUE)</f>
        <v>4000</v>
      </c>
      <c r="BG472" s="57">
        <f ca="1">BF472*(AP472/100)</f>
        <v>4000</v>
      </c>
      <c r="BH472" s="57">
        <f>SUMIF(Invoice!A:A,F472,Invoice!B:B)</f>
        <v>0</v>
      </c>
      <c r="BI472" s="57">
        <f ca="1">SUMIF(AS:AS,AS472,BG:BG)</f>
        <v>4000</v>
      </c>
      <c r="BJ472" s="57">
        <f ca="1">MIN((BI472-SUMIF($AS$5:AS471,AS472,$BJ$5:BJ471)),MAX(0,BH472-SUMIF($F$5:F471,F472,$BJ$5:BJ471)))</f>
        <v>0</v>
      </c>
      <c r="BK472" s="57">
        <f ca="1">(-SUMIF(AS:AS,AS472,BG:BG)+SUMIF(AS:AS,AS472,BJ:BJ))*(AP472=100)*AR472</f>
        <v>0</v>
      </c>
      <c r="BL472" s="57">
        <f ca="1">MAX(0,SUMIF(Invoice!A:A,F472,Invoice!B:B)-SUMIF(F:F,F472,BJ:BJ))*(COUNTIF(F:F,F472)=COUNTIF($F$5:F472,F472))</f>
        <v>0</v>
      </c>
    </row>
    <row r="473" spans="1:64" hidden="1">
      <c r="A473" s="43">
        <v>473</v>
      </c>
      <c r="B473" s="13" t="s">
        <v>147</v>
      </c>
      <c r="C473" s="13" t="s">
        <v>146</v>
      </c>
      <c r="D473" s="13">
        <v>2</v>
      </c>
      <c r="E473" s="13">
        <v>1670</v>
      </c>
      <c r="F473" s="71" t="s">
        <v>1158</v>
      </c>
      <c r="G473" s="71" t="s">
        <v>1159</v>
      </c>
      <c r="H473" s="13" t="s">
        <v>1155</v>
      </c>
      <c r="I473" s="13" t="s">
        <v>55</v>
      </c>
      <c r="J473" s="28">
        <v>0</v>
      </c>
      <c r="K473" s="13" t="s">
        <v>150</v>
      </c>
      <c r="L473" s="13" t="s">
        <v>53</v>
      </c>
      <c r="M473" s="13">
        <v>4</v>
      </c>
      <c r="O473" s="13">
        <v>1</v>
      </c>
      <c r="P473" s="13">
        <v>2</v>
      </c>
      <c r="Q473" s="13">
        <v>3</v>
      </c>
      <c r="R473" s="13" t="s">
        <v>73</v>
      </c>
      <c r="S473" s="13" t="s">
        <v>73</v>
      </c>
      <c r="T473" s="13">
        <v>44901</v>
      </c>
      <c r="U473" s="13">
        <v>2958465</v>
      </c>
      <c r="V473" s="13" t="s">
        <v>282</v>
      </c>
      <c r="W473" s="13" t="s">
        <v>145</v>
      </c>
      <c r="Y473" s="13" t="s">
        <v>143</v>
      </c>
      <c r="Z473" s="13">
        <v>7589154</v>
      </c>
      <c r="AA473" s="13">
        <v>834</v>
      </c>
      <c r="AB473" s="13">
        <v>417</v>
      </c>
      <c r="AE473" s="51">
        <f>M473/O473</f>
        <v>4</v>
      </c>
      <c r="AG473" s="6" t="str">
        <f>C473</f>
        <v>90MB1BJ0-C1BAY0</v>
      </c>
      <c r="AH473" s="6" t="str">
        <f>IF($D473&lt;=AH$4,"",IF(AND($D472=AH$4,$D473&gt;AH$4),$F472,AH472))</f>
        <v>59MB1BJB-MB0A02S</v>
      </c>
      <c r="AI473" s="6" t="str">
        <f>IF($D473&lt;=AI$4,"",IF(AND($D472=AI$4,$D473&gt;AI$4),$F472,AI472))</f>
        <v/>
      </c>
      <c r="AJ473" s="6" t="str">
        <f>IF($D473&lt;=AJ$4,"",IF(AND($D472=AJ$4,$D473&gt;AJ$4),$F472,AJ472))</f>
        <v/>
      </c>
      <c r="AK473" s="6" t="str">
        <f>IF($D473&lt;=AK$4,"",IF(AND($D472=AK$4,$D473&gt;AK$4),$F472,AK472))</f>
        <v/>
      </c>
      <c r="AL473" s="6" t="str">
        <f>IF($D473&lt;=AL$4,"",IF(AND($D472=AL$4,$D473&gt;AL$4),$F472,AL472))</f>
        <v/>
      </c>
      <c r="AM473" s="6" t="str">
        <f>IF($D473&lt;=AM$4,"",IF(AND($D472=AM$4,$D473&gt;AM$4),$F472,AM472))</f>
        <v/>
      </c>
      <c r="AN473" s="6" t="str">
        <f>IF($D473&lt;=AN$4,"",IF(AND($D472=AN$4,$D473&gt;AN$4),$F472,AN472))</f>
        <v/>
      </c>
      <c r="AO473" s="6" t="str">
        <f>CONCATENATE(AG473," | ",AH473," | ",AI473," | ",AJ473," | ",AK473," | ",AL473," | ",AM473," | ",AN473)</f>
        <v xml:space="preserve">90MB1BJ0-C1BAY0 | 59MB1BJB-MB0A02S |  |  |  |  |  | </v>
      </c>
      <c r="AP473" s="6">
        <f>IF(TRIM(H473)="",100,J473)</f>
        <v>0</v>
      </c>
      <c r="AQ473" s="4"/>
      <c r="AR473" s="6" t="b">
        <f>NOT(TRIM(W473)&lt;&gt;"F")</f>
        <v>1</v>
      </c>
      <c r="AS473" s="6" t="str">
        <f>$B473&amp;" | "&amp;$AO473&amp;" | "&amp;IF(TRIM(H473)="","uniq"&amp;ROW(),TRIM(H473))</f>
        <v>461E | 90MB1BJ0-C1BAY0 | 59MB1BJB-MB0A02S |  |  |  |  |  |  | G7</v>
      </c>
      <c r="AT473" s="63">
        <f>IF(NOT(AR473),IF(TRIM($H473)="","Assembly","Phantom Alt"),VLOOKUP(F473,ZPCS04!B:G,6,0))</f>
        <v>1219</v>
      </c>
      <c r="AU473" s="7"/>
      <c r="AV473" s="38">
        <f ca="1">IF(TRIM($W473)="F",OFFSET($A$5,MATCH($AS473,$AS$5:$AS473,0)-1,0),$A473)</f>
        <v>471</v>
      </c>
      <c r="AW473" s="38">
        <f ca="1">IFERROR(OFFSET(ZPCS04!$A$1,MATCH(F473,ZPCS04!B:B,0)-1,0),100)</f>
        <v>2</v>
      </c>
      <c r="AX473" s="7"/>
      <c r="AY473" s="6" t="b">
        <f>SUMIF(AS:AS,AS473,AP:AP)=100</f>
        <v>1</v>
      </c>
      <c r="AZ473" s="6" t="b">
        <f>SUMIF(AS:AS,AS473,AE:AE)/COUNTIF(AS:AS,AS473)=AE473</f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>C473&amp;" | "&amp;F473</f>
        <v>90MB1BJ0-C1BAY0 | 10G213140013050</v>
      </c>
      <c r="BE473" s="55" t="str">
        <f ca="1">C473&amp;" | "&amp;OFFSET($AF473,0,8-COUNTBLANK($AG473:$AN473))</f>
        <v>90MB1BJ0-C1BAY0 | 59MB1BJB-MB0A02S</v>
      </c>
      <c r="BF473" s="57">
        <f ca="1">IFERROR(VLOOKUP($BE473,$BD$5:$BF472,3,0)*$AE473,VLOOKUP($C473,Demanda!$A:$B,2,0)*$AE473)*IF(AT473="Phantom Alt",$BC473,TRUE)</f>
        <v>4000</v>
      </c>
      <c r="BG473" s="57">
        <f ca="1">BF473*(AP473/100)</f>
        <v>0</v>
      </c>
      <c r="BH473" s="57">
        <f>SUMIF(Invoice!A:A,F473,Invoice!B:B)</f>
        <v>0</v>
      </c>
      <c r="BI473" s="57">
        <f ca="1">SUMIF(AS:AS,AS473,BG:BG)</f>
        <v>4000</v>
      </c>
      <c r="BJ473" s="57">
        <f ca="1">MIN((BI473-SUMIF($AS$5:AS472,AS473,$BJ$5:BJ472)),MAX(0,BH473-SUMIF($F$5:F472,F473,$BJ$5:BJ472)))</f>
        <v>0</v>
      </c>
      <c r="BK473" s="57">
        <f ca="1">(-SUMIF(AS:AS,AS473,BG:BG)+SUMIF(AS:AS,AS473,BJ:BJ))*(AP473=100)*AR473</f>
        <v>0</v>
      </c>
      <c r="BL473" s="57">
        <f ca="1">MAX(0,SUMIF(Invoice!A:A,F473,Invoice!B:B)-SUMIF(F:F,F473,BJ:BJ))*(COUNTIF(F:F,F473)=COUNTIF($F$5:F473,F473))</f>
        <v>0</v>
      </c>
    </row>
    <row r="474" spans="1:64" hidden="1">
      <c r="A474" s="43">
        <v>474</v>
      </c>
      <c r="B474" s="13" t="s">
        <v>147</v>
      </c>
      <c r="C474" s="13" t="s">
        <v>146</v>
      </c>
      <c r="D474" s="13">
        <v>2</v>
      </c>
      <c r="E474" s="13">
        <v>1680</v>
      </c>
      <c r="F474" s="71" t="s">
        <v>1160</v>
      </c>
      <c r="G474" s="71" t="s">
        <v>1161</v>
      </c>
      <c r="H474" s="13" t="s">
        <v>1162</v>
      </c>
      <c r="I474" s="13" t="s">
        <v>54</v>
      </c>
      <c r="J474" s="28">
        <v>100</v>
      </c>
      <c r="K474" s="13" t="s">
        <v>150</v>
      </c>
      <c r="L474" s="13" t="s">
        <v>53</v>
      </c>
      <c r="M474" s="13">
        <v>1</v>
      </c>
      <c r="N474" s="13">
        <v>1</v>
      </c>
      <c r="O474" s="13">
        <v>1</v>
      </c>
      <c r="P474" s="13">
        <v>2</v>
      </c>
      <c r="Q474" s="13">
        <v>1</v>
      </c>
      <c r="R474" s="13" t="s">
        <v>73</v>
      </c>
      <c r="S474" s="13" t="s">
        <v>73</v>
      </c>
      <c r="T474" s="13">
        <v>44901</v>
      </c>
      <c r="U474" s="13">
        <v>2958465</v>
      </c>
      <c r="V474" s="13" t="s">
        <v>282</v>
      </c>
      <c r="W474" s="13" t="s">
        <v>145</v>
      </c>
      <c r="Y474" s="13" t="s">
        <v>143</v>
      </c>
      <c r="Z474" s="13">
        <v>7589154</v>
      </c>
      <c r="AA474" s="13">
        <v>836</v>
      </c>
      <c r="AB474" s="13">
        <v>418</v>
      </c>
      <c r="AE474" s="51">
        <f>M474/O474</f>
        <v>1</v>
      </c>
      <c r="AG474" s="6" t="str">
        <f>C474</f>
        <v>90MB1BJ0-C1BAY0</v>
      </c>
      <c r="AH474" s="6" t="str">
        <f>IF($D474&lt;=AH$4,"",IF(AND($D473=AH$4,$D474&gt;AH$4),$F473,AH473))</f>
        <v>59MB1BJB-MB0A02S</v>
      </c>
      <c r="AI474" s="6" t="str">
        <f>IF($D474&lt;=AI$4,"",IF(AND($D473=AI$4,$D474&gt;AI$4),$F473,AI473))</f>
        <v/>
      </c>
      <c r="AJ474" s="6" t="str">
        <f>IF($D474&lt;=AJ$4,"",IF(AND($D473=AJ$4,$D474&gt;AJ$4),$F473,AJ473))</f>
        <v/>
      </c>
      <c r="AK474" s="6" t="str">
        <f>IF($D474&lt;=AK$4,"",IF(AND($D473=AK$4,$D474&gt;AK$4),$F473,AK473))</f>
        <v/>
      </c>
      <c r="AL474" s="6" t="str">
        <f>IF($D474&lt;=AL$4,"",IF(AND($D473=AL$4,$D474&gt;AL$4),$F473,AL473))</f>
        <v/>
      </c>
      <c r="AM474" s="6" t="str">
        <f>IF($D474&lt;=AM$4,"",IF(AND($D473=AM$4,$D474&gt;AM$4),$F473,AM473))</f>
        <v/>
      </c>
      <c r="AN474" s="6" t="str">
        <f>IF($D474&lt;=AN$4,"",IF(AND($D473=AN$4,$D474&gt;AN$4),$F473,AN473))</f>
        <v/>
      </c>
      <c r="AO474" s="6" t="str">
        <f>CONCATENATE(AG474," | ",AH474," | ",AI474," | ",AJ474," | ",AK474," | ",AL474," | ",AM474," | ",AN474)</f>
        <v xml:space="preserve">90MB1BJ0-C1BAY0 | 59MB1BJB-MB0A02S |  |  |  |  |  | </v>
      </c>
      <c r="AP474" s="6">
        <f>IF(TRIM(H474)="",100,J474)</f>
        <v>100</v>
      </c>
      <c r="AQ474" s="4"/>
      <c r="AR474" s="6" t="b">
        <f>NOT(TRIM(W474)&lt;&gt;"F")</f>
        <v>1</v>
      </c>
      <c r="AS474" s="6" t="str">
        <f>$B474&amp;" | "&amp;$AO474&amp;" | "&amp;IF(TRIM(H474)="","uniq"&amp;ROW(),TRIM(H474))</f>
        <v>461E | 90MB1BJ0-C1BAY0 | 59MB1BJB-MB0A02S |  |  |  |  |  |  | G8</v>
      </c>
      <c r="AT474" s="63">
        <f>IF(NOT(AR474),IF(TRIM($H474)="","Assembly","Phantom Alt"),VLOOKUP(F474,ZPCS04!B:G,6,0))</f>
        <v>711</v>
      </c>
      <c r="AU474" s="7"/>
      <c r="AV474" s="38">
        <f ca="1">IF(TRIM($W474)="F",OFFSET($A$5,MATCH($AS474,$AS$5:$AS474,0)-1,0),$A474)</f>
        <v>474</v>
      </c>
      <c r="AW474" s="38">
        <f ca="1">IFERROR(OFFSET(ZPCS04!$A$1,MATCH(F474,ZPCS04!B:B,0)-1,0),100)</f>
        <v>1.9999999499999999</v>
      </c>
      <c r="AX474" s="7"/>
      <c r="AY474" s="6" t="b">
        <f>SUMIF(AS:AS,AS474,AP:AP)=100</f>
        <v>1</v>
      </c>
      <c r="AZ474" s="6" t="b">
        <f>SUMIF(AS:AS,AS474,AE:AE)/COUNTIF(AS:AS,AS474)=AE474</f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>C474&amp;" | "&amp;F474</f>
        <v>90MB1BJ0-C1BAY0 | 10G213150213010</v>
      </c>
      <c r="BE474" s="55" t="str">
        <f ca="1">C474&amp;" | "&amp;OFFSET($AF474,0,8-COUNTBLANK($AG474:$AN474))</f>
        <v>90MB1BJ0-C1BAY0 | 59MB1BJB-MB0A02S</v>
      </c>
      <c r="BF474" s="57">
        <f ca="1">IFERROR(VLOOKUP($BE474,$BD$5:$BF473,3,0)*$AE474,VLOOKUP($C474,Demanda!$A:$B,2,0)*$AE474)*IF(AT474="Phantom Alt",$BC474,TRUE)</f>
        <v>1000</v>
      </c>
      <c r="BG474" s="57">
        <f ca="1">BF474*(AP474/100)</f>
        <v>1000</v>
      </c>
      <c r="BH474" s="57">
        <f>SUMIF(Invoice!A:A,F474,Invoice!B:B)</f>
        <v>5000</v>
      </c>
      <c r="BI474" s="57">
        <f ca="1">SUMIF(AS:AS,AS474,BG:BG)</f>
        <v>1000</v>
      </c>
      <c r="BJ474" s="57">
        <f ca="1">MIN((BI474-SUMIF($AS$5:AS473,AS474,$BJ$5:BJ473)),MAX(0,BH474-SUMIF($F$5:F473,F474,$BJ$5:BJ473)))</f>
        <v>1000</v>
      </c>
      <c r="BK474" s="57">
        <f ca="1">(-SUMIF(AS:AS,AS474,BG:BG)+SUMIF(AS:AS,AS474,BJ:BJ))*(AP474=100)*AR474</f>
        <v>0</v>
      </c>
      <c r="BL474" s="57">
        <f ca="1">MAX(0,SUMIF(Invoice!A:A,F474,Invoice!B:B)-SUMIF(F:F,F474,BJ:BJ))*(COUNTIF(F:F,F474)=COUNTIF($F$5:F474,F474))</f>
        <v>4000</v>
      </c>
    </row>
    <row r="475" spans="1:64" hidden="1">
      <c r="A475" s="43">
        <v>475</v>
      </c>
      <c r="B475" s="13" t="s">
        <v>147</v>
      </c>
      <c r="C475" s="13" t="s">
        <v>146</v>
      </c>
      <c r="D475" s="13">
        <v>2</v>
      </c>
      <c r="E475" s="13">
        <v>1680</v>
      </c>
      <c r="F475" s="71" t="s">
        <v>1163</v>
      </c>
      <c r="G475" s="71" t="s">
        <v>1164</v>
      </c>
      <c r="H475" s="13" t="s">
        <v>1162</v>
      </c>
      <c r="I475" s="13" t="s">
        <v>55</v>
      </c>
      <c r="J475" s="28">
        <v>0</v>
      </c>
      <c r="K475" s="13" t="s">
        <v>150</v>
      </c>
      <c r="L475" s="13" t="s">
        <v>53</v>
      </c>
      <c r="M475" s="13">
        <v>1</v>
      </c>
      <c r="O475" s="13">
        <v>1</v>
      </c>
      <c r="P475" s="13">
        <v>2</v>
      </c>
      <c r="Q475" s="13">
        <v>3</v>
      </c>
      <c r="R475" s="13" t="s">
        <v>73</v>
      </c>
      <c r="S475" s="13" t="s">
        <v>73</v>
      </c>
      <c r="T475" s="13">
        <v>44901</v>
      </c>
      <c r="U475" s="13">
        <v>2958465</v>
      </c>
      <c r="V475" s="13" t="s">
        <v>282</v>
      </c>
      <c r="W475" s="13" t="s">
        <v>145</v>
      </c>
      <c r="Y475" s="13" t="s">
        <v>143</v>
      </c>
      <c r="Z475" s="13">
        <v>7589154</v>
      </c>
      <c r="AA475" s="13">
        <v>840</v>
      </c>
      <c r="AB475" s="13">
        <v>420</v>
      </c>
      <c r="AE475" s="51">
        <f>M475/O475</f>
        <v>1</v>
      </c>
      <c r="AG475" s="6" t="str">
        <f>C475</f>
        <v>90MB1BJ0-C1BAY0</v>
      </c>
      <c r="AH475" s="6" t="str">
        <f>IF($D475&lt;=AH$4,"",IF(AND($D474=AH$4,$D475&gt;AH$4),$F474,AH474))</f>
        <v>59MB1BJB-MB0A02S</v>
      </c>
      <c r="AI475" s="6" t="str">
        <f>IF($D475&lt;=AI$4,"",IF(AND($D474=AI$4,$D475&gt;AI$4),$F474,AI474))</f>
        <v/>
      </c>
      <c r="AJ475" s="6" t="str">
        <f>IF($D475&lt;=AJ$4,"",IF(AND($D474=AJ$4,$D475&gt;AJ$4),$F474,AJ474))</f>
        <v/>
      </c>
      <c r="AK475" s="6" t="str">
        <f>IF($D475&lt;=AK$4,"",IF(AND($D474=AK$4,$D475&gt;AK$4),$F474,AK474))</f>
        <v/>
      </c>
      <c r="AL475" s="6" t="str">
        <f>IF($D475&lt;=AL$4,"",IF(AND($D474=AL$4,$D475&gt;AL$4),$F474,AL474))</f>
        <v/>
      </c>
      <c r="AM475" s="6" t="str">
        <f>IF($D475&lt;=AM$4,"",IF(AND($D474=AM$4,$D475&gt;AM$4),$F474,AM474))</f>
        <v/>
      </c>
      <c r="AN475" s="6" t="str">
        <f>IF($D475&lt;=AN$4,"",IF(AND($D474=AN$4,$D475&gt;AN$4),$F474,AN474))</f>
        <v/>
      </c>
      <c r="AO475" s="6" t="str">
        <f>CONCATENATE(AG475," | ",AH475," | ",AI475," | ",AJ475," | ",AK475," | ",AL475," | ",AM475," | ",AN475)</f>
        <v xml:space="preserve">90MB1BJ0-C1BAY0 | 59MB1BJB-MB0A02S |  |  |  |  |  | </v>
      </c>
      <c r="AP475" s="6">
        <f>IF(TRIM(H475)="",100,J475)</f>
        <v>0</v>
      </c>
      <c r="AQ475" s="4"/>
      <c r="AR475" s="6" t="b">
        <f>NOT(TRIM(W475)&lt;&gt;"F")</f>
        <v>1</v>
      </c>
      <c r="AS475" s="6" t="str">
        <f>$B475&amp;" | "&amp;$AO475&amp;" | "&amp;IF(TRIM(H475)="","uniq"&amp;ROW(),TRIM(H475))</f>
        <v>461E | 90MB1BJ0-C1BAY0 | 59MB1BJB-MB0A02S |  |  |  |  |  |  | G8</v>
      </c>
      <c r="AT475" s="63">
        <f>IF(NOT(AR475),IF(TRIM($H475)="","Assembly","Phantom Alt"),VLOOKUP(F475,ZPCS04!B:G,6,0))</f>
        <v>711</v>
      </c>
      <c r="AU475" s="7"/>
      <c r="AV475" s="38">
        <f ca="1">IF(TRIM($W475)="F",OFFSET($A$5,MATCH($AS475,$AS$5:$AS475,0)-1,0),$A475)</f>
        <v>474</v>
      </c>
      <c r="AW475" s="38">
        <f ca="1">IFERROR(OFFSET(ZPCS04!$A$1,MATCH(F475,ZPCS04!B:B,0)-1,0),100)</f>
        <v>2</v>
      </c>
      <c r="AX475" s="7"/>
      <c r="AY475" s="6" t="b">
        <f>SUMIF(AS:AS,AS475,AP:AP)=100</f>
        <v>1</v>
      </c>
      <c r="AZ475" s="6" t="b">
        <f>SUMIF(AS:AS,AS475,AE:AE)/COUNTIF(AS:AS,AS475)=AE475</f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>C475&amp;" | "&amp;F475</f>
        <v>90MB1BJ0-C1BAY0 | 10G213150213020</v>
      </c>
      <c r="BE475" s="55" t="str">
        <f ca="1">C475&amp;" | "&amp;OFFSET($AF475,0,8-COUNTBLANK($AG475:$AN475))</f>
        <v>90MB1BJ0-C1BAY0 | 59MB1BJB-MB0A02S</v>
      </c>
      <c r="BF475" s="57">
        <f ca="1">IFERROR(VLOOKUP($BE475,$BD$5:$BF474,3,0)*$AE475,VLOOKUP($C475,Demanda!$A:$B,2,0)*$AE475)*IF(AT475="Phantom Alt",$BC475,TRUE)</f>
        <v>1000</v>
      </c>
      <c r="BG475" s="57">
        <f ca="1">BF475*(AP475/100)</f>
        <v>0</v>
      </c>
      <c r="BH475" s="57">
        <f>SUMIF(Invoice!A:A,F475,Invoice!B:B)</f>
        <v>0</v>
      </c>
      <c r="BI475" s="57">
        <f ca="1">SUMIF(AS:AS,AS475,BG:BG)</f>
        <v>1000</v>
      </c>
      <c r="BJ475" s="57">
        <f ca="1">MIN((BI475-SUMIF($AS$5:AS474,AS475,$BJ$5:BJ474)),MAX(0,BH475-SUMIF($F$5:F474,F475,$BJ$5:BJ474)))</f>
        <v>0</v>
      </c>
      <c r="BK475" s="57">
        <f ca="1">(-SUMIF(AS:AS,AS475,BG:BG)+SUMIF(AS:AS,AS475,BJ:BJ))*(AP475=100)*AR475</f>
        <v>0</v>
      </c>
      <c r="BL475" s="57">
        <f ca="1">MAX(0,SUMIF(Invoice!A:A,F475,Invoice!B:B)-SUMIF(F:F,F475,BJ:BJ))*(COUNTIF(F:F,F475)=COUNTIF($F$5:F475,F475))</f>
        <v>0</v>
      </c>
    </row>
    <row r="476" spans="1:64" hidden="1">
      <c r="A476" s="43">
        <v>476</v>
      </c>
      <c r="B476" s="13" t="s">
        <v>147</v>
      </c>
      <c r="C476" s="13" t="s">
        <v>146</v>
      </c>
      <c r="D476" s="13">
        <v>2</v>
      </c>
      <c r="E476" s="13">
        <v>1680</v>
      </c>
      <c r="F476" s="71" t="s">
        <v>1165</v>
      </c>
      <c r="G476" s="71" t="s">
        <v>1166</v>
      </c>
      <c r="H476" s="13" t="s">
        <v>1162</v>
      </c>
      <c r="I476" s="13" t="s">
        <v>55</v>
      </c>
      <c r="J476" s="28">
        <v>0</v>
      </c>
      <c r="K476" s="13" t="s">
        <v>150</v>
      </c>
      <c r="L476" s="13" t="s">
        <v>53</v>
      </c>
      <c r="M476" s="13">
        <v>1</v>
      </c>
      <c r="O476" s="13">
        <v>1</v>
      </c>
      <c r="P476" s="13">
        <v>2</v>
      </c>
      <c r="Q476" s="13">
        <v>2</v>
      </c>
      <c r="R476" s="13" t="s">
        <v>73</v>
      </c>
      <c r="S476" s="13" t="s">
        <v>73</v>
      </c>
      <c r="T476" s="13">
        <v>44901</v>
      </c>
      <c r="U476" s="13">
        <v>2958465</v>
      </c>
      <c r="V476" s="13" t="s">
        <v>282</v>
      </c>
      <c r="W476" s="13" t="s">
        <v>145</v>
      </c>
      <c r="Y476" s="13" t="s">
        <v>143</v>
      </c>
      <c r="Z476" s="13">
        <v>7589154</v>
      </c>
      <c r="AA476" s="13">
        <v>838</v>
      </c>
      <c r="AB476" s="13">
        <v>419</v>
      </c>
      <c r="AE476" s="51">
        <f>M476/O476</f>
        <v>1</v>
      </c>
      <c r="AG476" s="6" t="str">
        <f>C476</f>
        <v>90MB1BJ0-C1BAY0</v>
      </c>
      <c r="AH476" s="6" t="str">
        <f>IF($D476&lt;=AH$4,"",IF(AND($D475=AH$4,$D476&gt;AH$4),$F475,AH475))</f>
        <v>59MB1BJB-MB0A02S</v>
      </c>
      <c r="AI476" s="6" t="str">
        <f>IF($D476&lt;=AI$4,"",IF(AND($D475=AI$4,$D476&gt;AI$4),$F475,AI475))</f>
        <v/>
      </c>
      <c r="AJ476" s="6" t="str">
        <f>IF($D476&lt;=AJ$4,"",IF(AND($D475=AJ$4,$D476&gt;AJ$4),$F475,AJ475))</f>
        <v/>
      </c>
      <c r="AK476" s="6" t="str">
        <f>IF($D476&lt;=AK$4,"",IF(AND($D475=AK$4,$D476&gt;AK$4),$F475,AK475))</f>
        <v/>
      </c>
      <c r="AL476" s="6" t="str">
        <f>IF($D476&lt;=AL$4,"",IF(AND($D475=AL$4,$D476&gt;AL$4),$F475,AL475))</f>
        <v/>
      </c>
      <c r="AM476" s="6" t="str">
        <f>IF($D476&lt;=AM$4,"",IF(AND($D475=AM$4,$D476&gt;AM$4),$F475,AM475))</f>
        <v/>
      </c>
      <c r="AN476" s="6" t="str">
        <f>IF($D476&lt;=AN$4,"",IF(AND($D475=AN$4,$D476&gt;AN$4),$F475,AN475))</f>
        <v/>
      </c>
      <c r="AO476" s="6" t="str">
        <f>CONCATENATE(AG476," | ",AH476," | ",AI476," | ",AJ476," | ",AK476," | ",AL476," | ",AM476," | ",AN476)</f>
        <v xml:space="preserve">90MB1BJ0-C1BAY0 | 59MB1BJB-MB0A02S |  |  |  |  |  | </v>
      </c>
      <c r="AP476" s="6">
        <f>IF(TRIM(H476)="",100,J476)</f>
        <v>0</v>
      </c>
      <c r="AQ476" s="4"/>
      <c r="AR476" s="6" t="b">
        <f>NOT(TRIM(W476)&lt;&gt;"F")</f>
        <v>1</v>
      </c>
      <c r="AS476" s="6" t="str">
        <f>$B476&amp;" | "&amp;$AO476&amp;" | "&amp;IF(TRIM(H476)="","uniq"&amp;ROW(),TRIM(H476))</f>
        <v>461E | 90MB1BJ0-C1BAY0 | 59MB1BJB-MB0A02S |  |  |  |  |  |  | G8</v>
      </c>
      <c r="AT476" s="63">
        <f>IF(NOT(AR476),IF(TRIM($H476)="","Assembly","Phantom Alt"),VLOOKUP(F476,ZPCS04!B:G,6,0))</f>
        <v>711</v>
      </c>
      <c r="AU476" s="7"/>
      <c r="AV476" s="38">
        <f ca="1">IF(TRIM($W476)="F",OFFSET($A$5,MATCH($AS476,$AS$5:$AS476,0)-1,0),$A476)</f>
        <v>474</v>
      </c>
      <c r="AW476" s="38">
        <f ca="1">IFERROR(OFFSET(ZPCS04!$A$1,MATCH(F476,ZPCS04!B:B,0)-1,0),100)</f>
        <v>2</v>
      </c>
      <c r="AX476" s="7"/>
      <c r="AY476" s="6" t="b">
        <f>SUMIF(AS:AS,AS476,AP:AP)=100</f>
        <v>1</v>
      </c>
      <c r="AZ476" s="6" t="b">
        <f>SUMIF(AS:AS,AS476,AE:AE)/COUNTIF(AS:AS,AS476)=AE476</f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>C476&amp;" | "&amp;F476</f>
        <v>90MB1BJ0-C1BAY0 | 10G213150213050</v>
      </c>
      <c r="BE476" s="55" t="str">
        <f ca="1">C476&amp;" | "&amp;OFFSET($AF476,0,8-COUNTBLANK($AG476:$AN476))</f>
        <v>90MB1BJ0-C1BAY0 | 59MB1BJB-MB0A02S</v>
      </c>
      <c r="BF476" s="57">
        <f ca="1">IFERROR(VLOOKUP($BE476,$BD$5:$BF475,3,0)*$AE476,VLOOKUP($C476,Demanda!$A:$B,2,0)*$AE476)*IF(AT476="Phantom Alt",$BC476,TRUE)</f>
        <v>1000</v>
      </c>
      <c r="BG476" s="57">
        <f ca="1">BF476*(AP476/100)</f>
        <v>0</v>
      </c>
      <c r="BH476" s="57">
        <f>SUMIF(Invoice!A:A,F476,Invoice!B:B)</f>
        <v>0</v>
      </c>
      <c r="BI476" s="57">
        <f ca="1">SUMIF(AS:AS,AS476,BG:BG)</f>
        <v>1000</v>
      </c>
      <c r="BJ476" s="57">
        <f ca="1">MIN((BI476-SUMIF($AS$5:AS475,AS476,$BJ$5:BJ475)),MAX(0,BH476-SUMIF($F$5:F475,F476,$BJ$5:BJ475)))</f>
        <v>0</v>
      </c>
      <c r="BK476" s="57">
        <f ca="1">(-SUMIF(AS:AS,AS476,BG:BG)+SUMIF(AS:AS,AS476,BJ:BJ))*(AP476=100)*AR476</f>
        <v>0</v>
      </c>
      <c r="BL476" s="57">
        <f ca="1">MAX(0,SUMIF(Invoice!A:A,F476,Invoice!B:B)-SUMIF(F:F,F476,BJ:BJ))*(COUNTIF(F:F,F476)=COUNTIF($F$5:F476,F476))</f>
        <v>0</v>
      </c>
    </row>
    <row r="477" spans="1:64" hidden="1">
      <c r="A477" s="43">
        <v>479</v>
      </c>
      <c r="B477" s="13" t="s">
        <v>147</v>
      </c>
      <c r="C477" s="13" t="s">
        <v>146</v>
      </c>
      <c r="D477" s="13">
        <v>2</v>
      </c>
      <c r="E477" s="13">
        <v>1690</v>
      </c>
      <c r="F477" s="71" t="s">
        <v>1172</v>
      </c>
      <c r="G477" s="71" t="s">
        <v>1173</v>
      </c>
      <c r="H477" s="13" t="s">
        <v>1169</v>
      </c>
      <c r="I477" s="13" t="s">
        <v>54</v>
      </c>
      <c r="J477" s="28">
        <v>100</v>
      </c>
      <c r="K477" s="13" t="s">
        <v>150</v>
      </c>
      <c r="L477" s="13" t="s">
        <v>53</v>
      </c>
      <c r="M477" s="13">
        <v>1</v>
      </c>
      <c r="N477" s="13">
        <v>1</v>
      </c>
      <c r="O477" s="13">
        <v>1</v>
      </c>
      <c r="P477" s="13">
        <v>2</v>
      </c>
      <c r="Q477" s="13">
        <v>1</v>
      </c>
      <c r="R477" s="13" t="s">
        <v>73</v>
      </c>
      <c r="S477" s="13" t="s">
        <v>73</v>
      </c>
      <c r="T477" s="13">
        <v>44901</v>
      </c>
      <c r="U477" s="13">
        <v>2958465</v>
      </c>
      <c r="V477" s="13" t="s">
        <v>282</v>
      </c>
      <c r="W477" s="13" t="s">
        <v>145</v>
      </c>
      <c r="Y477" s="13" t="s">
        <v>143</v>
      </c>
      <c r="Z477" s="13">
        <v>7589154</v>
      </c>
      <c r="AA477" s="13">
        <v>842</v>
      </c>
      <c r="AB477" s="13">
        <v>421</v>
      </c>
      <c r="AE477" s="51">
        <f>M477/O477</f>
        <v>1</v>
      </c>
      <c r="AG477" s="6" t="str">
        <f>C477</f>
        <v>90MB1BJ0-C1BAY0</v>
      </c>
      <c r="AH477" s="6" t="str">
        <f>IF($D477&lt;=AH$4,"",IF(AND($D476=AH$4,$D477&gt;AH$4),$F476,AH476))</f>
        <v>59MB1BJB-MB0A02S</v>
      </c>
      <c r="AI477" s="6" t="str">
        <f>IF($D477&lt;=AI$4,"",IF(AND($D476=AI$4,$D477&gt;AI$4),$F476,AI476))</f>
        <v/>
      </c>
      <c r="AJ477" s="6" t="str">
        <f>IF($D477&lt;=AJ$4,"",IF(AND($D476=AJ$4,$D477&gt;AJ$4),$F476,AJ476))</f>
        <v/>
      </c>
      <c r="AK477" s="6" t="str">
        <f>IF($D477&lt;=AK$4,"",IF(AND($D476=AK$4,$D477&gt;AK$4),$F476,AK476))</f>
        <v/>
      </c>
      <c r="AL477" s="6" t="str">
        <f>IF($D477&lt;=AL$4,"",IF(AND($D476=AL$4,$D477&gt;AL$4),$F476,AL476))</f>
        <v/>
      </c>
      <c r="AM477" s="6" t="str">
        <f>IF($D477&lt;=AM$4,"",IF(AND($D476=AM$4,$D477&gt;AM$4),$F476,AM476))</f>
        <v/>
      </c>
      <c r="AN477" s="6" t="str">
        <f>IF($D477&lt;=AN$4,"",IF(AND($D476=AN$4,$D477&gt;AN$4),$F476,AN476))</f>
        <v/>
      </c>
      <c r="AO477" s="6" t="str">
        <f>CONCATENATE(AG477," | ",AH477," | ",AI477," | ",AJ477," | ",AK477," | ",AL477," | ",AM477," | ",AN477)</f>
        <v xml:space="preserve">90MB1BJ0-C1BAY0 | 59MB1BJB-MB0A02S |  |  |  |  |  | </v>
      </c>
      <c r="AP477" s="6">
        <f>IF(TRIM(H477)="",100,J477)</f>
        <v>100</v>
      </c>
      <c r="AQ477" s="4"/>
      <c r="AR477" s="6" t="b">
        <f>NOT(TRIM(W477)&lt;&gt;"F")</f>
        <v>1</v>
      </c>
      <c r="AS477" s="6" t="str">
        <f>$B477&amp;" | "&amp;$AO477&amp;" | "&amp;IF(TRIM(H477)="","uniq"&amp;ROW(),TRIM(H477))</f>
        <v>461E | 90MB1BJ0-C1BAY0 | 59MB1BJB-MB0A02S |  |  |  |  |  |  | G9</v>
      </c>
      <c r="AT477" s="63">
        <f>IF(NOT(AR477),IF(TRIM($H477)="","Assembly","Phantom Alt"),VLOOKUP(F477,ZPCS04!B:G,6,0))</f>
        <v>1274</v>
      </c>
      <c r="AU477" s="7"/>
      <c r="AV477" s="38">
        <f ca="1">IF(TRIM($W477)="F",OFFSET($A$5,MATCH($AS477,$AS$5:$AS477,0)-1,0),$A477)</f>
        <v>479</v>
      </c>
      <c r="AW477" s="38">
        <f ca="1">IFERROR(OFFSET(ZPCS04!$A$1,MATCH(F477,ZPCS04!B:B,0)-1,0),100)</f>
        <v>1.9999999499999999</v>
      </c>
      <c r="AX477" s="7"/>
      <c r="AY477" s="6" t="b">
        <f>SUMIF(AS:AS,AS477,AP:AP)=100</f>
        <v>1</v>
      </c>
      <c r="AZ477" s="6" t="b">
        <f>SUMIF(AS:AS,AS477,AE:AE)/COUNTIF(AS:AS,AS477)=AE477</f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>C477&amp;" | "&amp;F477</f>
        <v>90MB1BJ0-C1BAY0 | 10G213180213050</v>
      </c>
      <c r="BE477" s="55" t="str">
        <f ca="1">C477&amp;" | "&amp;OFFSET($AF477,0,8-COUNTBLANK($AG477:$AN477))</f>
        <v>90MB1BJ0-C1BAY0 | 59MB1BJB-MB0A02S</v>
      </c>
      <c r="BF477" s="57">
        <f ca="1">IFERROR(VLOOKUP($BE477,$BD$5:$BF476,3,0)*$AE477,VLOOKUP($C477,Demanda!$A:$B,2,0)*$AE477)*IF(AT477="Phantom Alt",$BC477,TRUE)</f>
        <v>1000</v>
      </c>
      <c r="BG477" s="57">
        <f ca="1">BF477*(AP477/100)</f>
        <v>1000</v>
      </c>
      <c r="BH477" s="57">
        <f>SUMIF(Invoice!A:A,F477,Invoice!B:B)</f>
        <v>5000</v>
      </c>
      <c r="BI477" s="57">
        <f ca="1">SUMIF(AS:AS,AS477,BG:BG)</f>
        <v>1000</v>
      </c>
      <c r="BJ477" s="57">
        <f ca="1">MIN((BI477-SUMIF($AS$5:AS476,AS477,$BJ$5:BJ476)),MAX(0,BH477-SUMIF($F$5:F476,F477,$BJ$5:BJ476)))</f>
        <v>1000</v>
      </c>
      <c r="BK477" s="57">
        <f ca="1">(-SUMIF(AS:AS,AS477,BG:BG)+SUMIF(AS:AS,AS477,BJ:BJ))*(AP477=100)*AR477</f>
        <v>0</v>
      </c>
      <c r="BL477" s="57">
        <f ca="1">MAX(0,SUMIF(Invoice!A:A,F477,Invoice!B:B)-SUMIF(F:F,F477,BJ:BJ))*(COUNTIF(F:F,F477)=COUNTIF($F$5:F477,F477))</f>
        <v>4000</v>
      </c>
    </row>
    <row r="478" spans="1:64" hidden="1">
      <c r="A478" s="43">
        <v>477</v>
      </c>
      <c r="B478" s="13" t="s">
        <v>147</v>
      </c>
      <c r="C478" s="13" t="s">
        <v>146</v>
      </c>
      <c r="D478" s="13">
        <v>2</v>
      </c>
      <c r="E478" s="13">
        <v>1690</v>
      </c>
      <c r="F478" s="71" t="s">
        <v>1167</v>
      </c>
      <c r="G478" s="71" t="s">
        <v>1168</v>
      </c>
      <c r="H478" s="13" t="s">
        <v>1169</v>
      </c>
      <c r="I478" s="13" t="s">
        <v>55</v>
      </c>
      <c r="J478" s="28">
        <v>0</v>
      </c>
      <c r="K478" s="13" t="s">
        <v>150</v>
      </c>
      <c r="L478" s="13" t="s">
        <v>53</v>
      </c>
      <c r="M478" s="13">
        <v>1</v>
      </c>
      <c r="O478" s="13">
        <v>1</v>
      </c>
      <c r="P478" s="13">
        <v>2</v>
      </c>
      <c r="Q478" s="13">
        <v>2</v>
      </c>
      <c r="R478" s="13" t="s">
        <v>73</v>
      </c>
      <c r="S478" s="13" t="s">
        <v>73</v>
      </c>
      <c r="T478" s="13">
        <v>44901</v>
      </c>
      <c r="U478" s="13">
        <v>2958465</v>
      </c>
      <c r="V478" s="13" t="s">
        <v>282</v>
      </c>
      <c r="W478" s="13" t="s">
        <v>145</v>
      </c>
      <c r="Y478" s="13" t="s">
        <v>143</v>
      </c>
      <c r="Z478" s="13">
        <v>7589154</v>
      </c>
      <c r="AA478" s="13">
        <v>844</v>
      </c>
      <c r="AB478" s="13">
        <v>422</v>
      </c>
      <c r="AE478" s="51">
        <f>M478/O478</f>
        <v>1</v>
      </c>
      <c r="AG478" s="6" t="str">
        <f>C478</f>
        <v>90MB1BJ0-C1BAY0</v>
      </c>
      <c r="AH478" s="6" t="str">
        <f>IF($D478&lt;=AH$4,"",IF(AND($D477=AH$4,$D478&gt;AH$4),$F477,AH477))</f>
        <v>59MB1BJB-MB0A02S</v>
      </c>
      <c r="AI478" s="6" t="str">
        <f>IF($D478&lt;=AI$4,"",IF(AND($D477=AI$4,$D478&gt;AI$4),$F477,AI477))</f>
        <v/>
      </c>
      <c r="AJ478" s="6" t="str">
        <f>IF($D478&lt;=AJ$4,"",IF(AND($D477=AJ$4,$D478&gt;AJ$4),$F477,AJ477))</f>
        <v/>
      </c>
      <c r="AK478" s="6" t="str">
        <f>IF($D478&lt;=AK$4,"",IF(AND($D477=AK$4,$D478&gt;AK$4),$F477,AK477))</f>
        <v/>
      </c>
      <c r="AL478" s="6" t="str">
        <f>IF($D478&lt;=AL$4,"",IF(AND($D477=AL$4,$D478&gt;AL$4),$F477,AL477))</f>
        <v/>
      </c>
      <c r="AM478" s="6" t="str">
        <f>IF($D478&lt;=AM$4,"",IF(AND($D477=AM$4,$D478&gt;AM$4),$F477,AM477))</f>
        <v/>
      </c>
      <c r="AN478" s="6" t="str">
        <f>IF($D478&lt;=AN$4,"",IF(AND($D477=AN$4,$D478&gt;AN$4),$F477,AN477))</f>
        <v/>
      </c>
      <c r="AO478" s="6" t="str">
        <f>CONCATENATE(AG478," | ",AH478," | ",AI478," | ",AJ478," | ",AK478," | ",AL478," | ",AM478," | ",AN478)</f>
        <v xml:space="preserve">90MB1BJ0-C1BAY0 | 59MB1BJB-MB0A02S |  |  |  |  |  | </v>
      </c>
      <c r="AP478" s="6">
        <f>IF(TRIM(H478)="",100,J478)</f>
        <v>0</v>
      </c>
      <c r="AQ478" s="4"/>
      <c r="AR478" s="6" t="b">
        <f>NOT(TRIM(W478)&lt;&gt;"F")</f>
        <v>1</v>
      </c>
      <c r="AS478" s="6" t="str">
        <f>$B478&amp;" | "&amp;$AO478&amp;" | "&amp;IF(TRIM(H478)="","uniq"&amp;ROW(),TRIM(H478))</f>
        <v>461E | 90MB1BJ0-C1BAY0 | 59MB1BJB-MB0A02S |  |  |  |  |  |  | G9</v>
      </c>
      <c r="AT478" s="63">
        <f>IF(NOT(AR478),IF(TRIM($H478)="","Assembly","Phantom Alt"),VLOOKUP(F478,ZPCS04!B:G,6,0))</f>
        <v>1274</v>
      </c>
      <c r="AU478" s="7"/>
      <c r="AV478" s="38">
        <f ca="1">IF(TRIM($W478)="F",OFFSET($A$5,MATCH($AS478,$AS$5:$AS478,0)-1,0),$A478)</f>
        <v>479</v>
      </c>
      <c r="AW478" s="38">
        <f ca="1">IFERROR(OFFSET(ZPCS04!$A$1,MATCH(F478,ZPCS04!B:B,0)-1,0),100)</f>
        <v>2</v>
      </c>
      <c r="AX478" s="7"/>
      <c r="AY478" s="6" t="b">
        <f>SUMIF(AS:AS,AS478,AP:AP)=100</f>
        <v>1</v>
      </c>
      <c r="AZ478" s="6" t="b">
        <f>SUMIF(AS:AS,AS478,AE:AE)/COUNTIF(AS:AS,AS478)=AE478</f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>C478&amp;" | "&amp;F478</f>
        <v>90MB1BJ0-C1BAY0 | 10G213180213010</v>
      </c>
      <c r="BE478" s="55" t="str">
        <f ca="1">C478&amp;" | "&amp;OFFSET($AF478,0,8-COUNTBLANK($AG478:$AN478))</f>
        <v>90MB1BJ0-C1BAY0 | 59MB1BJB-MB0A02S</v>
      </c>
      <c r="BF478" s="57">
        <f ca="1">IFERROR(VLOOKUP($BE478,$BD$5:$BF477,3,0)*$AE478,VLOOKUP($C478,Demanda!$A:$B,2,0)*$AE478)*IF(AT478="Phantom Alt",$BC478,TRUE)</f>
        <v>1000</v>
      </c>
      <c r="BG478" s="57">
        <f ca="1">BF478*(AP478/100)</f>
        <v>0</v>
      </c>
      <c r="BH478" s="57">
        <f>SUMIF(Invoice!A:A,F478,Invoice!B:B)</f>
        <v>0</v>
      </c>
      <c r="BI478" s="57">
        <f ca="1">SUMIF(AS:AS,AS478,BG:BG)</f>
        <v>1000</v>
      </c>
      <c r="BJ478" s="57">
        <f ca="1">MIN((BI478-SUMIF($AS$5:AS477,AS478,$BJ$5:BJ477)),MAX(0,BH478-SUMIF($F$5:F477,F478,$BJ$5:BJ477)))</f>
        <v>0</v>
      </c>
      <c r="BK478" s="57">
        <f ca="1">(-SUMIF(AS:AS,AS478,BG:BG)+SUMIF(AS:AS,AS478,BJ:BJ))*(AP478=100)*AR478</f>
        <v>0</v>
      </c>
      <c r="BL478" s="57">
        <f ca="1">MAX(0,SUMIF(Invoice!A:A,F478,Invoice!B:B)-SUMIF(F:F,F478,BJ:BJ))*(COUNTIF(F:F,F478)=COUNTIF($F$5:F478,F478))</f>
        <v>0</v>
      </c>
    </row>
    <row r="479" spans="1:64" hidden="1">
      <c r="A479" s="43">
        <v>478</v>
      </c>
      <c r="B479" s="13" t="s">
        <v>147</v>
      </c>
      <c r="C479" s="13" t="s">
        <v>146</v>
      </c>
      <c r="D479" s="13">
        <v>2</v>
      </c>
      <c r="E479" s="13">
        <v>1690</v>
      </c>
      <c r="F479" s="71" t="s">
        <v>1170</v>
      </c>
      <c r="G479" s="71" t="s">
        <v>1171</v>
      </c>
      <c r="H479" s="13" t="s">
        <v>1169</v>
      </c>
      <c r="I479" s="13" t="s">
        <v>55</v>
      </c>
      <c r="J479" s="28">
        <v>0</v>
      </c>
      <c r="K479" s="13" t="s">
        <v>150</v>
      </c>
      <c r="L479" s="13" t="s">
        <v>53</v>
      </c>
      <c r="M479" s="13">
        <v>1</v>
      </c>
      <c r="O479" s="13">
        <v>1</v>
      </c>
      <c r="P479" s="13">
        <v>2</v>
      </c>
      <c r="Q479" s="13">
        <v>3</v>
      </c>
      <c r="R479" s="13" t="s">
        <v>73</v>
      </c>
      <c r="S479" s="13" t="s">
        <v>73</v>
      </c>
      <c r="T479" s="13">
        <v>44901</v>
      </c>
      <c r="U479" s="13">
        <v>2958465</v>
      </c>
      <c r="V479" s="13" t="s">
        <v>282</v>
      </c>
      <c r="W479" s="13" t="s">
        <v>145</v>
      </c>
      <c r="Y479" s="13" t="s">
        <v>143</v>
      </c>
      <c r="Z479" s="13">
        <v>7589154</v>
      </c>
      <c r="AA479" s="13">
        <v>846</v>
      </c>
      <c r="AB479" s="13">
        <v>423</v>
      </c>
      <c r="AE479" s="51">
        <f>M479/O479</f>
        <v>1</v>
      </c>
      <c r="AG479" s="6" t="str">
        <f>C479</f>
        <v>90MB1BJ0-C1BAY0</v>
      </c>
      <c r="AH479" s="6" t="str">
        <f>IF($D479&lt;=AH$4,"",IF(AND($D478=AH$4,$D479&gt;AH$4),$F478,AH478))</f>
        <v>59MB1BJB-MB0A02S</v>
      </c>
      <c r="AI479" s="6" t="str">
        <f>IF($D479&lt;=AI$4,"",IF(AND($D478=AI$4,$D479&gt;AI$4),$F478,AI478))</f>
        <v/>
      </c>
      <c r="AJ479" s="6" t="str">
        <f>IF($D479&lt;=AJ$4,"",IF(AND($D478=AJ$4,$D479&gt;AJ$4),$F478,AJ478))</f>
        <v/>
      </c>
      <c r="AK479" s="6" t="str">
        <f>IF($D479&lt;=AK$4,"",IF(AND($D478=AK$4,$D479&gt;AK$4),$F478,AK478))</f>
        <v/>
      </c>
      <c r="AL479" s="6" t="str">
        <f>IF($D479&lt;=AL$4,"",IF(AND($D478=AL$4,$D479&gt;AL$4),$F478,AL478))</f>
        <v/>
      </c>
      <c r="AM479" s="6" t="str">
        <f>IF($D479&lt;=AM$4,"",IF(AND($D478=AM$4,$D479&gt;AM$4),$F478,AM478))</f>
        <v/>
      </c>
      <c r="AN479" s="6" t="str">
        <f>IF($D479&lt;=AN$4,"",IF(AND($D478=AN$4,$D479&gt;AN$4),$F478,AN478))</f>
        <v/>
      </c>
      <c r="AO479" s="6" t="str">
        <f>CONCATENATE(AG479," | ",AH479," | ",AI479," | ",AJ479," | ",AK479," | ",AL479," | ",AM479," | ",AN479)</f>
        <v xml:space="preserve">90MB1BJ0-C1BAY0 | 59MB1BJB-MB0A02S |  |  |  |  |  | </v>
      </c>
      <c r="AP479" s="6">
        <f>IF(TRIM(H479)="",100,J479)</f>
        <v>0</v>
      </c>
      <c r="AQ479" s="4"/>
      <c r="AR479" s="6" t="b">
        <f>NOT(TRIM(W479)&lt;&gt;"F")</f>
        <v>1</v>
      </c>
      <c r="AS479" s="6" t="str">
        <f>$B479&amp;" | "&amp;$AO479&amp;" | "&amp;IF(TRIM(H479)="","uniq"&amp;ROW(),TRIM(H479))</f>
        <v>461E | 90MB1BJ0-C1BAY0 | 59MB1BJB-MB0A02S |  |  |  |  |  |  | G9</v>
      </c>
      <c r="AT479" s="63">
        <f>IF(NOT(AR479),IF(TRIM($H479)="","Assembly","Phantom Alt"),VLOOKUP(F479,ZPCS04!B:G,6,0))</f>
        <v>1274</v>
      </c>
      <c r="AU479" s="7"/>
      <c r="AV479" s="38">
        <f ca="1">IF(TRIM($W479)="F",OFFSET($A$5,MATCH($AS479,$AS$5:$AS479,0)-1,0),$A479)</f>
        <v>479</v>
      </c>
      <c r="AW479" s="38">
        <f ca="1">IFERROR(OFFSET(ZPCS04!$A$1,MATCH(F479,ZPCS04!B:B,0)-1,0),100)</f>
        <v>2</v>
      </c>
      <c r="AX479" s="7"/>
      <c r="AY479" s="6" t="b">
        <f>SUMIF(AS:AS,AS479,AP:AP)=100</f>
        <v>1</v>
      </c>
      <c r="AZ479" s="6" t="b">
        <f>SUMIF(AS:AS,AS479,AE:AE)/COUNTIF(AS:AS,AS479)=AE479</f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>C479&amp;" | "&amp;F479</f>
        <v>90MB1BJ0-C1BAY0 | 10G213180213020</v>
      </c>
      <c r="BE479" s="55" t="str">
        <f ca="1">C479&amp;" | "&amp;OFFSET($AF479,0,8-COUNTBLANK($AG479:$AN479))</f>
        <v>90MB1BJ0-C1BAY0 | 59MB1BJB-MB0A02S</v>
      </c>
      <c r="BF479" s="57">
        <f ca="1">IFERROR(VLOOKUP($BE479,$BD$5:$BF478,3,0)*$AE479,VLOOKUP($C479,Demanda!$A:$B,2,0)*$AE479)*IF(AT479="Phantom Alt",$BC479,TRUE)</f>
        <v>1000</v>
      </c>
      <c r="BG479" s="57">
        <f ca="1">BF479*(AP479/100)</f>
        <v>0</v>
      </c>
      <c r="BH479" s="57">
        <f>SUMIF(Invoice!A:A,F479,Invoice!B:B)</f>
        <v>0</v>
      </c>
      <c r="BI479" s="57">
        <f ca="1">SUMIF(AS:AS,AS479,BG:BG)</f>
        <v>1000</v>
      </c>
      <c r="BJ479" s="57">
        <f ca="1">MIN((BI479-SUMIF($AS$5:AS478,AS479,$BJ$5:BJ478)),MAX(0,BH479-SUMIF($F$5:F478,F479,$BJ$5:BJ478)))</f>
        <v>0</v>
      </c>
      <c r="BK479" s="57">
        <f ca="1">(-SUMIF(AS:AS,AS479,BG:BG)+SUMIF(AS:AS,AS479,BJ:BJ))*(AP479=100)*AR479</f>
        <v>0</v>
      </c>
      <c r="BL479" s="57">
        <f ca="1">MAX(0,SUMIF(Invoice!A:A,F479,Invoice!B:B)-SUMIF(F:F,F479,BJ:BJ))*(COUNTIF(F:F,F479)=COUNTIF($F$5:F479,F479))</f>
        <v>0</v>
      </c>
    </row>
    <row r="480" spans="1:64" hidden="1">
      <c r="A480" s="43">
        <v>481</v>
      </c>
      <c r="B480" s="13" t="s">
        <v>147</v>
      </c>
      <c r="C480" s="13" t="s">
        <v>146</v>
      </c>
      <c r="D480" s="13">
        <v>2</v>
      </c>
      <c r="E480" s="13">
        <v>1700</v>
      </c>
      <c r="F480" s="71" t="s">
        <v>1177</v>
      </c>
      <c r="G480" s="71" t="s">
        <v>1178</v>
      </c>
      <c r="H480" s="13" t="s">
        <v>1176</v>
      </c>
      <c r="I480" s="13" t="s">
        <v>55</v>
      </c>
      <c r="J480" s="28">
        <v>0</v>
      </c>
      <c r="K480" s="13" t="s">
        <v>489</v>
      </c>
      <c r="L480" s="13" t="s">
        <v>53</v>
      </c>
      <c r="M480" s="13">
        <v>16</v>
      </c>
      <c r="O480" s="13">
        <v>1</v>
      </c>
      <c r="P480" s="13">
        <v>2</v>
      </c>
      <c r="Q480" s="13">
        <v>2</v>
      </c>
      <c r="R480" s="13" t="s">
        <v>122</v>
      </c>
      <c r="S480" s="13" t="s">
        <v>122</v>
      </c>
      <c r="T480" s="13">
        <v>44901</v>
      </c>
      <c r="U480" s="13">
        <v>2958465</v>
      </c>
      <c r="V480" s="13" t="s">
        <v>282</v>
      </c>
      <c r="W480" s="13" t="s">
        <v>145</v>
      </c>
      <c r="Y480" s="13" t="s">
        <v>143</v>
      </c>
      <c r="Z480" s="13">
        <v>7589154</v>
      </c>
      <c r="AA480" s="13">
        <v>850</v>
      </c>
      <c r="AB480" s="13">
        <v>425</v>
      </c>
      <c r="AE480" s="51">
        <f>M480/O480</f>
        <v>16</v>
      </c>
      <c r="AG480" s="6" t="str">
        <f>C480</f>
        <v>90MB1BJ0-C1BAY0</v>
      </c>
      <c r="AH480" s="6" t="str">
        <f>IF($D480&lt;=AH$4,"",IF(AND($D479=AH$4,$D480&gt;AH$4),$F479,AH479))</f>
        <v>59MB1BJB-MB0A02S</v>
      </c>
      <c r="AI480" s="6" t="str">
        <f>IF($D480&lt;=AI$4,"",IF(AND($D479=AI$4,$D480&gt;AI$4),$F479,AI479))</f>
        <v/>
      </c>
      <c r="AJ480" s="6" t="str">
        <f>IF($D480&lt;=AJ$4,"",IF(AND($D479=AJ$4,$D480&gt;AJ$4),$F479,AJ479))</f>
        <v/>
      </c>
      <c r="AK480" s="6" t="str">
        <f>IF($D480&lt;=AK$4,"",IF(AND($D479=AK$4,$D480&gt;AK$4),$F479,AK479))</f>
        <v/>
      </c>
      <c r="AL480" s="6" t="str">
        <f>IF($D480&lt;=AL$4,"",IF(AND($D479=AL$4,$D480&gt;AL$4),$F479,AL479))</f>
        <v/>
      </c>
      <c r="AM480" s="6" t="str">
        <f>IF($D480&lt;=AM$4,"",IF(AND($D479=AM$4,$D480&gt;AM$4),$F479,AM479))</f>
        <v/>
      </c>
      <c r="AN480" s="6" t="str">
        <f>IF($D480&lt;=AN$4,"",IF(AND($D479=AN$4,$D480&gt;AN$4),$F479,AN479))</f>
        <v/>
      </c>
      <c r="AO480" s="6" t="str">
        <f>CONCATENATE(AG480," | ",AH480," | ",AI480," | ",AJ480," | ",AK480," | ",AL480," | ",AM480," | ",AN480)</f>
        <v xml:space="preserve">90MB1BJ0-C1BAY0 | 59MB1BJB-MB0A02S |  |  |  |  |  | </v>
      </c>
      <c r="AP480" s="6">
        <f>IF(TRIM(H480)="",100,J480)</f>
        <v>0</v>
      </c>
      <c r="AQ480" s="4"/>
      <c r="AR480" s="6" t="b">
        <f>NOT(TRIM(W480)&lt;&gt;"F")</f>
        <v>1</v>
      </c>
      <c r="AS480" s="6" t="str">
        <f>$B480&amp;" | "&amp;$AO480&amp;" | "&amp;IF(TRIM(H480)="","uniq"&amp;ROW(),TRIM(H480))</f>
        <v>461E | 90MB1BJ0-C1BAY0 | 59MB1BJB-MB0A02S |  |  |  |  |  |  | H0</v>
      </c>
      <c r="AT480" s="63">
        <f>IF(NOT(AR480),IF(TRIM($H480)="","Assembly","Phantom Alt"),VLOOKUP(F480,ZPCS04!B:G,6,0))</f>
        <v>713</v>
      </c>
      <c r="AU480" s="7"/>
      <c r="AV480" s="38">
        <f ca="1">IF(TRIM($W480)="F",OFFSET($A$5,MATCH($AS480,$AS$5:$AS480,0)-1,0),$A480)</f>
        <v>481</v>
      </c>
      <c r="AW480" s="38">
        <f ca="1">IFERROR(OFFSET(ZPCS04!$A$1,MATCH(F480,ZPCS04!B:B,0)-1,0),100)</f>
        <v>1.9999997999999999</v>
      </c>
      <c r="AX480" s="7"/>
      <c r="AY480" s="6" t="b">
        <f>SUMIF(AS:AS,AS480,AP:AP)=100</f>
        <v>1</v>
      </c>
      <c r="AZ480" s="6" t="b">
        <f>SUMIF(AS:AS,AS480,AE:AE)/COUNTIF(AS:AS,AS480)=AE480</f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>C480&amp;" | "&amp;F480</f>
        <v>90MB1BJ0-C1BAY0 | 10G2131R0003020</v>
      </c>
      <c r="BE480" s="55" t="str">
        <f ca="1">C480&amp;" | "&amp;OFFSET($AF480,0,8-COUNTBLANK($AG480:$AN480))</f>
        <v>90MB1BJ0-C1BAY0 | 59MB1BJB-MB0A02S</v>
      </c>
      <c r="BF480" s="57">
        <f ca="1">IFERROR(VLOOKUP($BE480,$BD$5:$BF479,3,0)*$AE480,VLOOKUP($C480,Demanda!$A:$B,2,0)*$AE480)*IF(AT480="Phantom Alt",$BC480,TRUE)</f>
        <v>16000</v>
      </c>
      <c r="BG480" s="57">
        <f ca="1">BF480*(AP480/100)</f>
        <v>0</v>
      </c>
      <c r="BH480" s="57">
        <f>SUMIF(Invoice!A:A,F480,Invoice!B:B)</f>
        <v>20000</v>
      </c>
      <c r="BI480" s="57">
        <f ca="1">SUMIF(AS:AS,AS480,BG:BG)</f>
        <v>16000</v>
      </c>
      <c r="BJ480" s="57">
        <f ca="1">MIN((BI480-SUMIF($AS$5:AS479,AS480,$BJ$5:BJ479)),MAX(0,BH480-SUMIF($F$5:F479,F480,$BJ$5:BJ479)))</f>
        <v>16000</v>
      </c>
      <c r="BK480" s="57">
        <f ca="1">(-SUMIF(AS:AS,AS480,BG:BG)+SUMIF(AS:AS,AS480,BJ:BJ))*(AP480=100)*AR480</f>
        <v>0</v>
      </c>
      <c r="BL480" s="57">
        <f ca="1">MAX(0,SUMIF(Invoice!A:A,F480,Invoice!B:B)-SUMIF(F:F,F480,BJ:BJ))*(COUNTIF(F:F,F480)=COUNTIF($F$5:F480,F480))</f>
        <v>4000</v>
      </c>
    </row>
    <row r="481" spans="1:64" hidden="1">
      <c r="A481" s="43">
        <v>480</v>
      </c>
      <c r="B481" s="13" t="s">
        <v>147</v>
      </c>
      <c r="C481" s="13" t="s">
        <v>146</v>
      </c>
      <c r="D481" s="13">
        <v>2</v>
      </c>
      <c r="E481" s="13">
        <v>1700</v>
      </c>
      <c r="F481" s="71" t="s">
        <v>1174</v>
      </c>
      <c r="G481" s="71" t="s">
        <v>1175</v>
      </c>
      <c r="H481" s="13" t="s">
        <v>1176</v>
      </c>
      <c r="I481" s="13" t="s">
        <v>54</v>
      </c>
      <c r="J481" s="28">
        <v>100</v>
      </c>
      <c r="K481" s="13" t="s">
        <v>489</v>
      </c>
      <c r="L481" s="13" t="s">
        <v>53</v>
      </c>
      <c r="M481" s="13">
        <v>16</v>
      </c>
      <c r="N481" s="13">
        <v>16</v>
      </c>
      <c r="O481" s="13">
        <v>1</v>
      </c>
      <c r="P481" s="13">
        <v>2</v>
      </c>
      <c r="Q481" s="13">
        <v>1</v>
      </c>
      <c r="R481" s="13" t="s">
        <v>122</v>
      </c>
      <c r="S481" s="13" t="s">
        <v>122</v>
      </c>
      <c r="T481" s="13">
        <v>44901</v>
      </c>
      <c r="U481" s="13">
        <v>2958465</v>
      </c>
      <c r="V481" s="13" t="s">
        <v>282</v>
      </c>
      <c r="W481" s="13" t="s">
        <v>145</v>
      </c>
      <c r="Y481" s="13" t="s">
        <v>143</v>
      </c>
      <c r="Z481" s="13">
        <v>7589154</v>
      </c>
      <c r="AA481" s="13">
        <v>848</v>
      </c>
      <c r="AB481" s="13">
        <v>424</v>
      </c>
      <c r="AE481" s="51">
        <f>M481/O481</f>
        <v>16</v>
      </c>
      <c r="AG481" s="6" t="str">
        <f>C481</f>
        <v>90MB1BJ0-C1BAY0</v>
      </c>
      <c r="AH481" s="6" t="str">
        <f>IF($D481&lt;=AH$4,"",IF(AND($D480=AH$4,$D481&gt;AH$4),$F480,AH480))</f>
        <v>59MB1BJB-MB0A02S</v>
      </c>
      <c r="AI481" s="6" t="str">
        <f>IF($D481&lt;=AI$4,"",IF(AND($D480=AI$4,$D481&gt;AI$4),$F480,AI480))</f>
        <v/>
      </c>
      <c r="AJ481" s="6" t="str">
        <f>IF($D481&lt;=AJ$4,"",IF(AND($D480=AJ$4,$D481&gt;AJ$4),$F480,AJ480))</f>
        <v/>
      </c>
      <c r="AK481" s="6" t="str">
        <f>IF($D481&lt;=AK$4,"",IF(AND($D480=AK$4,$D481&gt;AK$4),$F480,AK480))</f>
        <v/>
      </c>
      <c r="AL481" s="6" t="str">
        <f>IF($D481&lt;=AL$4,"",IF(AND($D480=AL$4,$D481&gt;AL$4),$F480,AL480))</f>
        <v/>
      </c>
      <c r="AM481" s="6" t="str">
        <f>IF($D481&lt;=AM$4,"",IF(AND($D480=AM$4,$D481&gt;AM$4),$F480,AM480))</f>
        <v/>
      </c>
      <c r="AN481" s="6" t="str">
        <f>IF($D481&lt;=AN$4,"",IF(AND($D480=AN$4,$D481&gt;AN$4),$F480,AN480))</f>
        <v/>
      </c>
      <c r="AO481" s="6" t="str">
        <f>CONCATENATE(AG481," | ",AH481," | ",AI481," | ",AJ481," | ",AK481," | ",AL481," | ",AM481," | ",AN481)</f>
        <v xml:space="preserve">90MB1BJ0-C1BAY0 | 59MB1BJB-MB0A02S |  |  |  |  |  | </v>
      </c>
      <c r="AP481" s="6">
        <f>IF(TRIM(H481)="",100,J481)</f>
        <v>100</v>
      </c>
      <c r="AQ481" s="4"/>
      <c r="AR481" s="6" t="b">
        <f>NOT(TRIM(W481)&lt;&gt;"F")</f>
        <v>1</v>
      </c>
      <c r="AS481" s="6" t="str">
        <f>$B481&amp;" | "&amp;$AO481&amp;" | "&amp;IF(TRIM(H481)="","uniq"&amp;ROW(),TRIM(H481))</f>
        <v>461E | 90MB1BJ0-C1BAY0 | 59MB1BJB-MB0A02S |  |  |  |  |  |  | H0</v>
      </c>
      <c r="AT481" s="63">
        <f>IF(NOT(AR481),IF(TRIM($H481)="","Assembly","Phantom Alt"),VLOOKUP(F481,ZPCS04!B:G,6,0))</f>
        <v>713</v>
      </c>
      <c r="AU481" s="7"/>
      <c r="AV481" s="38">
        <f ca="1">IF(TRIM($W481)="F",OFFSET($A$5,MATCH($AS481,$AS$5:$AS481,0)-1,0),$A481)</f>
        <v>481</v>
      </c>
      <c r="AW481" s="38">
        <f ca="1">IFERROR(OFFSET(ZPCS04!$A$1,MATCH(F481,ZPCS04!B:B,0)-1,0),100)</f>
        <v>2</v>
      </c>
      <c r="AX481" s="7"/>
      <c r="AY481" s="6" t="b">
        <f>SUMIF(AS:AS,AS481,AP:AP)=100</f>
        <v>1</v>
      </c>
      <c r="AZ481" s="6" t="b">
        <f>SUMIF(AS:AS,AS481,AE:AE)/COUNTIF(AS:AS,AS481)=AE481</f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>C481&amp;" | "&amp;F481</f>
        <v>90MB1BJ0-C1BAY0 | 10G2131R0003010</v>
      </c>
      <c r="BE481" s="55" t="str">
        <f ca="1">C481&amp;" | "&amp;OFFSET($AF481,0,8-COUNTBLANK($AG481:$AN481))</f>
        <v>90MB1BJ0-C1BAY0 | 59MB1BJB-MB0A02S</v>
      </c>
      <c r="BF481" s="57">
        <f ca="1">IFERROR(VLOOKUP($BE481,$BD$5:$BF480,3,0)*$AE481,VLOOKUP($C481,Demanda!$A:$B,2,0)*$AE481)*IF(AT481="Phantom Alt",$BC481,TRUE)</f>
        <v>16000</v>
      </c>
      <c r="BG481" s="57">
        <f ca="1">BF481*(AP481/100)</f>
        <v>16000</v>
      </c>
      <c r="BH481" s="57">
        <f>SUMIF(Invoice!A:A,F481,Invoice!B:B)</f>
        <v>0</v>
      </c>
      <c r="BI481" s="57">
        <f ca="1">SUMIF(AS:AS,AS481,BG:BG)</f>
        <v>16000</v>
      </c>
      <c r="BJ481" s="57">
        <f ca="1">MIN((BI481-SUMIF($AS$5:AS480,AS481,$BJ$5:BJ480)),MAX(0,BH481-SUMIF($F$5:F480,F481,$BJ$5:BJ480)))</f>
        <v>0</v>
      </c>
      <c r="BK481" s="57">
        <f ca="1">(-SUMIF(AS:AS,AS481,BG:BG)+SUMIF(AS:AS,AS481,BJ:BJ))*(AP481=100)*AR481</f>
        <v>0</v>
      </c>
      <c r="BL481" s="57">
        <f ca="1">MAX(0,SUMIF(Invoice!A:A,F481,Invoice!B:B)-SUMIF(F:F,F481,BJ:BJ))*(COUNTIF(F:F,F481)=COUNTIF($F$5:F481,F481))</f>
        <v>0</v>
      </c>
    </row>
    <row r="482" spans="1:64" hidden="1">
      <c r="A482" s="43">
        <v>482</v>
      </c>
      <c r="B482" s="13" t="s">
        <v>147</v>
      </c>
      <c r="C482" s="13" t="s">
        <v>146</v>
      </c>
      <c r="D482" s="13">
        <v>2</v>
      </c>
      <c r="E482" s="13">
        <v>1700</v>
      </c>
      <c r="F482" s="71" t="s">
        <v>1179</v>
      </c>
      <c r="G482" s="71" t="s">
        <v>1180</v>
      </c>
      <c r="H482" s="13" t="s">
        <v>1176</v>
      </c>
      <c r="I482" s="13" t="s">
        <v>55</v>
      </c>
      <c r="J482" s="28">
        <v>0</v>
      </c>
      <c r="K482" s="13" t="s">
        <v>150</v>
      </c>
      <c r="L482" s="13" t="s">
        <v>53</v>
      </c>
      <c r="M482" s="13">
        <v>16</v>
      </c>
      <c r="O482" s="13">
        <v>1</v>
      </c>
      <c r="P482" s="13">
        <v>2</v>
      </c>
      <c r="Q482" s="13">
        <v>3</v>
      </c>
      <c r="R482" s="13" t="s">
        <v>73</v>
      </c>
      <c r="S482" s="13" t="s">
        <v>73</v>
      </c>
      <c r="T482" s="13">
        <v>44901</v>
      </c>
      <c r="U482" s="13">
        <v>2958465</v>
      </c>
      <c r="V482" s="13" t="s">
        <v>282</v>
      </c>
      <c r="W482" s="13" t="s">
        <v>145</v>
      </c>
      <c r="Y482" s="13" t="s">
        <v>143</v>
      </c>
      <c r="Z482" s="13">
        <v>7589154</v>
      </c>
      <c r="AA482" s="13">
        <v>852</v>
      </c>
      <c r="AB482" s="13">
        <v>426</v>
      </c>
      <c r="AE482" s="51">
        <f>M482/O482</f>
        <v>16</v>
      </c>
      <c r="AG482" s="6" t="str">
        <f>C482</f>
        <v>90MB1BJ0-C1BAY0</v>
      </c>
      <c r="AH482" s="6" t="str">
        <f>IF($D482&lt;=AH$4,"",IF(AND($D481=AH$4,$D482&gt;AH$4),$F481,AH481))</f>
        <v>59MB1BJB-MB0A02S</v>
      </c>
      <c r="AI482" s="6" t="str">
        <f>IF($D482&lt;=AI$4,"",IF(AND($D481=AI$4,$D482&gt;AI$4),$F481,AI481))</f>
        <v/>
      </c>
      <c r="AJ482" s="6" t="str">
        <f>IF($D482&lt;=AJ$4,"",IF(AND($D481=AJ$4,$D482&gt;AJ$4),$F481,AJ481))</f>
        <v/>
      </c>
      <c r="AK482" s="6" t="str">
        <f>IF($D482&lt;=AK$4,"",IF(AND($D481=AK$4,$D482&gt;AK$4),$F481,AK481))</f>
        <v/>
      </c>
      <c r="AL482" s="6" t="str">
        <f>IF($D482&lt;=AL$4,"",IF(AND($D481=AL$4,$D482&gt;AL$4),$F481,AL481))</f>
        <v/>
      </c>
      <c r="AM482" s="6" t="str">
        <f>IF($D482&lt;=AM$4,"",IF(AND($D481=AM$4,$D482&gt;AM$4),$F481,AM481))</f>
        <v/>
      </c>
      <c r="AN482" s="6" t="str">
        <f>IF($D482&lt;=AN$4,"",IF(AND($D481=AN$4,$D482&gt;AN$4),$F481,AN481))</f>
        <v/>
      </c>
      <c r="AO482" s="6" t="str">
        <f>CONCATENATE(AG482," | ",AH482," | ",AI482," | ",AJ482," | ",AK482," | ",AL482," | ",AM482," | ",AN482)</f>
        <v xml:space="preserve">90MB1BJ0-C1BAY0 | 59MB1BJB-MB0A02S |  |  |  |  |  | </v>
      </c>
      <c r="AP482" s="6">
        <f>IF(TRIM(H482)="",100,J482)</f>
        <v>0</v>
      </c>
      <c r="AQ482" s="4"/>
      <c r="AR482" s="6" t="b">
        <f>NOT(TRIM(W482)&lt;&gt;"F")</f>
        <v>1</v>
      </c>
      <c r="AS482" s="6" t="str">
        <f>$B482&amp;" | "&amp;$AO482&amp;" | "&amp;IF(TRIM(H482)="","uniq"&amp;ROW(),TRIM(H482))</f>
        <v>461E | 90MB1BJ0-C1BAY0 | 59MB1BJB-MB0A02S |  |  |  |  |  |  | H0</v>
      </c>
      <c r="AT482" s="63">
        <f>IF(NOT(AR482),IF(TRIM($H482)="","Assembly","Phantom Alt"),VLOOKUP(F482,ZPCS04!B:G,6,0))</f>
        <v>713</v>
      </c>
      <c r="AU482" s="7"/>
      <c r="AV482" s="38">
        <f ca="1">IF(TRIM($W482)="F",OFFSET($A$5,MATCH($AS482,$AS$5:$AS482,0)-1,0),$A482)</f>
        <v>481</v>
      </c>
      <c r="AW482" s="38">
        <f ca="1">IFERROR(OFFSET(ZPCS04!$A$1,MATCH(F482,ZPCS04!B:B,0)-1,0),100)</f>
        <v>2</v>
      </c>
      <c r="AX482" s="7"/>
      <c r="AY482" s="6" t="b">
        <f>SUMIF(AS:AS,AS482,AP:AP)=100</f>
        <v>1</v>
      </c>
      <c r="AZ482" s="6" t="b">
        <f>SUMIF(AS:AS,AS482,AE:AE)/COUNTIF(AS:AS,AS482)=AE482</f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>C482&amp;" | "&amp;F482</f>
        <v>90MB1BJ0-C1BAY0 | 10G2131R0003050</v>
      </c>
      <c r="BE482" s="55" t="str">
        <f ca="1">C482&amp;" | "&amp;OFFSET($AF482,0,8-COUNTBLANK($AG482:$AN482))</f>
        <v>90MB1BJ0-C1BAY0 | 59MB1BJB-MB0A02S</v>
      </c>
      <c r="BF482" s="57">
        <f ca="1">IFERROR(VLOOKUP($BE482,$BD$5:$BF481,3,0)*$AE482,VLOOKUP($C482,Demanda!$A:$B,2,0)*$AE482)*IF(AT482="Phantom Alt",$BC482,TRUE)</f>
        <v>16000</v>
      </c>
      <c r="BG482" s="57">
        <f ca="1">BF482*(AP482/100)</f>
        <v>0</v>
      </c>
      <c r="BH482" s="57">
        <f>SUMIF(Invoice!A:A,F482,Invoice!B:B)</f>
        <v>0</v>
      </c>
      <c r="BI482" s="57">
        <f ca="1">SUMIF(AS:AS,AS482,BG:BG)</f>
        <v>16000</v>
      </c>
      <c r="BJ482" s="57">
        <f ca="1">MIN((BI482-SUMIF($AS$5:AS481,AS482,$BJ$5:BJ481)),MAX(0,BH482-SUMIF($F$5:F481,F482,$BJ$5:BJ481)))</f>
        <v>0</v>
      </c>
      <c r="BK482" s="57">
        <f ca="1">(-SUMIF(AS:AS,AS482,BG:BG)+SUMIF(AS:AS,AS482,BJ:BJ))*(AP482=100)*AR482</f>
        <v>0</v>
      </c>
      <c r="BL482" s="57">
        <f ca="1">MAX(0,SUMIF(Invoice!A:A,F482,Invoice!B:B)-SUMIF(F:F,F482,BJ:BJ))*(COUNTIF(F:F,F482)=COUNTIF($F$5:F482,F482))</f>
        <v>0</v>
      </c>
    </row>
    <row r="483" spans="1:64" hidden="1">
      <c r="A483" s="43">
        <v>485</v>
      </c>
      <c r="B483" s="13" t="s">
        <v>147</v>
      </c>
      <c r="C483" s="13" t="s">
        <v>146</v>
      </c>
      <c r="D483" s="13">
        <v>2</v>
      </c>
      <c r="E483" s="13">
        <v>1710</v>
      </c>
      <c r="F483" s="71" t="s">
        <v>1185</v>
      </c>
      <c r="G483" s="71" t="s">
        <v>1186</v>
      </c>
      <c r="H483" s="13" t="s">
        <v>1183</v>
      </c>
      <c r="I483" s="13" t="s">
        <v>55</v>
      </c>
      <c r="J483" s="28">
        <v>0</v>
      </c>
      <c r="K483" s="13" t="s">
        <v>150</v>
      </c>
      <c r="L483" s="13" t="s">
        <v>53</v>
      </c>
      <c r="M483" s="13">
        <v>2</v>
      </c>
      <c r="O483" s="13">
        <v>1</v>
      </c>
      <c r="P483" s="13">
        <v>2</v>
      </c>
      <c r="Q483" s="13">
        <v>3</v>
      </c>
      <c r="R483" s="13" t="s">
        <v>73</v>
      </c>
      <c r="S483" s="13" t="s">
        <v>73</v>
      </c>
      <c r="T483" s="13">
        <v>44901</v>
      </c>
      <c r="U483" s="13">
        <v>2958465</v>
      </c>
      <c r="V483" s="13" t="s">
        <v>282</v>
      </c>
      <c r="W483" s="13" t="s">
        <v>145</v>
      </c>
      <c r="Y483" s="13" t="s">
        <v>143</v>
      </c>
      <c r="Z483" s="13">
        <v>7589154</v>
      </c>
      <c r="AA483" s="13">
        <v>858</v>
      </c>
      <c r="AB483" s="13">
        <v>429</v>
      </c>
      <c r="AE483" s="51">
        <f>M483/O483</f>
        <v>2</v>
      </c>
      <c r="AG483" s="6" t="str">
        <f>C483</f>
        <v>90MB1BJ0-C1BAY0</v>
      </c>
      <c r="AH483" s="6" t="str">
        <f>IF($D483&lt;=AH$4,"",IF(AND($D482=AH$4,$D483&gt;AH$4),$F482,AH482))</f>
        <v>59MB1BJB-MB0A02S</v>
      </c>
      <c r="AI483" s="6" t="str">
        <f>IF($D483&lt;=AI$4,"",IF(AND($D482=AI$4,$D483&gt;AI$4),$F482,AI482))</f>
        <v/>
      </c>
      <c r="AJ483" s="6" t="str">
        <f>IF($D483&lt;=AJ$4,"",IF(AND($D482=AJ$4,$D483&gt;AJ$4),$F482,AJ482))</f>
        <v/>
      </c>
      <c r="AK483" s="6" t="str">
        <f>IF($D483&lt;=AK$4,"",IF(AND($D482=AK$4,$D483&gt;AK$4),$F482,AK482))</f>
        <v/>
      </c>
      <c r="AL483" s="6" t="str">
        <f>IF($D483&lt;=AL$4,"",IF(AND($D482=AL$4,$D483&gt;AL$4),$F482,AL482))</f>
        <v/>
      </c>
      <c r="AM483" s="6" t="str">
        <f>IF($D483&lt;=AM$4,"",IF(AND($D482=AM$4,$D483&gt;AM$4),$F482,AM482))</f>
        <v/>
      </c>
      <c r="AN483" s="6" t="str">
        <f>IF($D483&lt;=AN$4,"",IF(AND($D482=AN$4,$D483&gt;AN$4),$F482,AN482))</f>
        <v/>
      </c>
      <c r="AO483" s="6" t="str">
        <f>CONCATENATE(AG483," | ",AH483," | ",AI483," | ",AJ483," | ",AK483," | ",AL483," | ",AM483," | ",AN483)</f>
        <v xml:space="preserve">90MB1BJ0-C1BAY0 | 59MB1BJB-MB0A02S |  |  |  |  |  | </v>
      </c>
      <c r="AP483" s="6">
        <f>IF(TRIM(H483)="",100,J483)</f>
        <v>0</v>
      </c>
      <c r="AQ483" s="4"/>
      <c r="AR483" s="6" t="b">
        <f>NOT(TRIM(W483)&lt;&gt;"F")</f>
        <v>1</v>
      </c>
      <c r="AS483" s="6" t="str">
        <f>$B483&amp;" | "&amp;$AO483&amp;" | "&amp;IF(TRIM(H483)="","uniq"&amp;ROW(),TRIM(H483))</f>
        <v>461E | 90MB1BJ0-C1BAY0 | 59MB1BJB-MB0A02S |  |  |  |  |  |  | H1</v>
      </c>
      <c r="AT483" s="63">
        <f>IF(NOT(AR483),IF(TRIM($H483)="","Assembly","Phantom Alt"),VLOOKUP(F483,ZPCS04!B:G,6,0))</f>
        <v>714</v>
      </c>
      <c r="AU483" s="7"/>
      <c r="AV483" s="38">
        <f ca="1">IF(TRIM($W483)="F",OFFSET($A$5,MATCH($AS483,$AS$5:$AS483,0)-1,0),$A483)</f>
        <v>485</v>
      </c>
      <c r="AW483" s="38">
        <f ca="1">IFERROR(OFFSET(ZPCS04!$A$1,MATCH(F483,ZPCS04!B:B,0)-1,0),100)</f>
        <v>1.9999999499999999</v>
      </c>
      <c r="AX483" s="7"/>
      <c r="AY483" s="6" t="b">
        <f>SUMIF(AS:AS,AS483,AP:AP)=100</f>
        <v>1</v>
      </c>
      <c r="AZ483" s="6" t="b">
        <f>SUMIF(AS:AS,AS483,AE:AE)/COUNTIF(AS:AS,AS483)=AE483</f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>C483&amp;" | "&amp;F483</f>
        <v>90MB1BJ0-C1BAY0 | 10G2131R0013050</v>
      </c>
      <c r="BE483" s="55" t="str">
        <f ca="1">C483&amp;" | "&amp;OFFSET($AF483,0,8-COUNTBLANK($AG483:$AN483))</f>
        <v>90MB1BJ0-C1BAY0 | 59MB1BJB-MB0A02S</v>
      </c>
      <c r="BF483" s="57">
        <f ca="1">IFERROR(VLOOKUP($BE483,$BD$5:$BF482,3,0)*$AE483,VLOOKUP($C483,Demanda!$A:$B,2,0)*$AE483)*IF(AT483="Phantom Alt",$BC483,TRUE)</f>
        <v>2000</v>
      </c>
      <c r="BG483" s="57">
        <f ca="1">BF483*(AP483/100)</f>
        <v>0</v>
      </c>
      <c r="BH483" s="57">
        <f>SUMIF(Invoice!A:A,F483,Invoice!B:B)</f>
        <v>5000</v>
      </c>
      <c r="BI483" s="57">
        <f ca="1">SUMIF(AS:AS,AS483,BG:BG)</f>
        <v>2000</v>
      </c>
      <c r="BJ483" s="57">
        <f ca="1">MIN((BI483-SUMIF($AS$5:AS482,AS483,$BJ$5:BJ482)),MAX(0,BH483-SUMIF($F$5:F482,F483,$BJ$5:BJ482)))</f>
        <v>2000</v>
      </c>
      <c r="BK483" s="57">
        <f ca="1">(-SUMIF(AS:AS,AS483,BG:BG)+SUMIF(AS:AS,AS483,BJ:BJ))*(AP483=100)*AR483</f>
        <v>0</v>
      </c>
      <c r="BL483" s="57">
        <f ca="1">MAX(0,SUMIF(Invoice!A:A,F483,Invoice!B:B)-SUMIF(F:F,F483,BJ:BJ))*(COUNTIF(F:F,F483)=COUNTIF($F$5:F483,F483))</f>
        <v>3000</v>
      </c>
    </row>
    <row r="484" spans="1:64" hidden="1">
      <c r="A484" s="43">
        <v>483</v>
      </c>
      <c r="B484" s="13" t="s">
        <v>147</v>
      </c>
      <c r="C484" s="13" t="s">
        <v>146</v>
      </c>
      <c r="D484" s="13">
        <v>2</v>
      </c>
      <c r="E484" s="13">
        <v>1710</v>
      </c>
      <c r="F484" s="71" t="s">
        <v>1181</v>
      </c>
      <c r="G484" s="71" t="s">
        <v>1182</v>
      </c>
      <c r="H484" s="13" t="s">
        <v>1183</v>
      </c>
      <c r="I484" s="13" t="s">
        <v>54</v>
      </c>
      <c r="J484" s="28">
        <v>100</v>
      </c>
      <c r="K484" s="13" t="s">
        <v>150</v>
      </c>
      <c r="L484" s="13" t="s">
        <v>53</v>
      </c>
      <c r="M484" s="13">
        <v>2</v>
      </c>
      <c r="N484" s="13">
        <v>2</v>
      </c>
      <c r="O484" s="13">
        <v>1</v>
      </c>
      <c r="P484" s="13">
        <v>2</v>
      </c>
      <c r="Q484" s="13">
        <v>1</v>
      </c>
      <c r="R484" s="13" t="s">
        <v>73</v>
      </c>
      <c r="S484" s="13" t="s">
        <v>73</v>
      </c>
      <c r="T484" s="13">
        <v>44901</v>
      </c>
      <c r="U484" s="13">
        <v>2958465</v>
      </c>
      <c r="V484" s="13" t="s">
        <v>282</v>
      </c>
      <c r="W484" s="13" t="s">
        <v>145</v>
      </c>
      <c r="Y484" s="13" t="s">
        <v>143</v>
      </c>
      <c r="Z484" s="13">
        <v>7589154</v>
      </c>
      <c r="AA484" s="13">
        <v>854</v>
      </c>
      <c r="AB484" s="13">
        <v>427</v>
      </c>
      <c r="AE484" s="51">
        <f>M484/O484</f>
        <v>2</v>
      </c>
      <c r="AG484" s="6" t="str">
        <f>C484</f>
        <v>90MB1BJ0-C1BAY0</v>
      </c>
      <c r="AH484" s="6" t="str">
        <f>IF($D484&lt;=AH$4,"",IF(AND($D483=AH$4,$D484&gt;AH$4),$F483,AH483))</f>
        <v>59MB1BJB-MB0A02S</v>
      </c>
      <c r="AI484" s="6" t="str">
        <f>IF($D484&lt;=AI$4,"",IF(AND($D483=AI$4,$D484&gt;AI$4),$F483,AI483))</f>
        <v/>
      </c>
      <c r="AJ484" s="6" t="str">
        <f>IF($D484&lt;=AJ$4,"",IF(AND($D483=AJ$4,$D484&gt;AJ$4),$F483,AJ483))</f>
        <v/>
      </c>
      <c r="AK484" s="6" t="str">
        <f>IF($D484&lt;=AK$4,"",IF(AND($D483=AK$4,$D484&gt;AK$4),$F483,AK483))</f>
        <v/>
      </c>
      <c r="AL484" s="6" t="str">
        <f>IF($D484&lt;=AL$4,"",IF(AND($D483=AL$4,$D484&gt;AL$4),$F483,AL483))</f>
        <v/>
      </c>
      <c r="AM484" s="6" t="str">
        <f>IF($D484&lt;=AM$4,"",IF(AND($D483=AM$4,$D484&gt;AM$4),$F483,AM483))</f>
        <v/>
      </c>
      <c r="AN484" s="6" t="str">
        <f>IF($D484&lt;=AN$4,"",IF(AND($D483=AN$4,$D484&gt;AN$4),$F483,AN483))</f>
        <v/>
      </c>
      <c r="AO484" s="6" t="str">
        <f>CONCATENATE(AG484," | ",AH484," | ",AI484," | ",AJ484," | ",AK484," | ",AL484," | ",AM484," | ",AN484)</f>
        <v xml:space="preserve">90MB1BJ0-C1BAY0 | 59MB1BJB-MB0A02S |  |  |  |  |  | </v>
      </c>
      <c r="AP484" s="6">
        <f>IF(TRIM(H484)="",100,J484)</f>
        <v>100</v>
      </c>
      <c r="AQ484" s="4"/>
      <c r="AR484" s="6" t="b">
        <f>NOT(TRIM(W484)&lt;&gt;"F")</f>
        <v>1</v>
      </c>
      <c r="AS484" s="6" t="str">
        <f>$B484&amp;" | "&amp;$AO484&amp;" | "&amp;IF(TRIM(H484)="","uniq"&amp;ROW(),TRIM(H484))</f>
        <v>461E | 90MB1BJ0-C1BAY0 | 59MB1BJB-MB0A02S |  |  |  |  |  |  | H1</v>
      </c>
      <c r="AT484" s="63">
        <f>IF(NOT(AR484),IF(TRIM($H484)="","Assembly","Phantom Alt"),VLOOKUP(F484,ZPCS04!B:G,6,0))</f>
        <v>714</v>
      </c>
      <c r="AU484" s="7"/>
      <c r="AV484" s="38">
        <f ca="1">IF(TRIM($W484)="F",OFFSET($A$5,MATCH($AS484,$AS$5:$AS484,0)-1,0),$A484)</f>
        <v>485</v>
      </c>
      <c r="AW484" s="38">
        <f ca="1">IFERROR(OFFSET(ZPCS04!$A$1,MATCH(F484,ZPCS04!B:B,0)-1,0),100)</f>
        <v>2</v>
      </c>
      <c r="AX484" s="7"/>
      <c r="AY484" s="6" t="b">
        <f>SUMIF(AS:AS,AS484,AP:AP)=100</f>
        <v>1</v>
      </c>
      <c r="AZ484" s="6" t="b">
        <f>SUMIF(AS:AS,AS484,AE:AE)/COUNTIF(AS:AS,AS484)=AE484</f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>C484&amp;" | "&amp;F484</f>
        <v>90MB1BJ0-C1BAY0 | 10G2131R0013011</v>
      </c>
      <c r="BE484" s="55" t="str">
        <f ca="1">C484&amp;" | "&amp;OFFSET($AF484,0,8-COUNTBLANK($AG484:$AN484))</f>
        <v>90MB1BJ0-C1BAY0 | 59MB1BJB-MB0A02S</v>
      </c>
      <c r="BF484" s="57">
        <f ca="1">IFERROR(VLOOKUP($BE484,$BD$5:$BF483,3,0)*$AE484,VLOOKUP($C484,Demanda!$A:$B,2,0)*$AE484)*IF(AT484="Phantom Alt",$BC484,TRUE)</f>
        <v>2000</v>
      </c>
      <c r="BG484" s="57">
        <f ca="1">BF484*(AP484/100)</f>
        <v>2000</v>
      </c>
      <c r="BH484" s="57">
        <f>SUMIF(Invoice!A:A,F484,Invoice!B:B)</f>
        <v>0</v>
      </c>
      <c r="BI484" s="57">
        <f ca="1">SUMIF(AS:AS,AS484,BG:BG)</f>
        <v>2000</v>
      </c>
      <c r="BJ484" s="57">
        <f ca="1">MIN((BI484-SUMIF($AS$5:AS483,AS484,$BJ$5:BJ483)),MAX(0,BH484-SUMIF($F$5:F483,F484,$BJ$5:BJ483)))</f>
        <v>0</v>
      </c>
      <c r="BK484" s="57">
        <f ca="1">(-SUMIF(AS:AS,AS484,BG:BG)+SUMIF(AS:AS,AS484,BJ:BJ))*(AP484=100)*AR484</f>
        <v>0</v>
      </c>
      <c r="BL484" s="57">
        <f ca="1">MAX(0,SUMIF(Invoice!A:A,F484,Invoice!B:B)-SUMIF(F:F,F484,BJ:BJ))*(COUNTIF(F:F,F484)=COUNTIF($F$5:F484,F484))</f>
        <v>0</v>
      </c>
    </row>
    <row r="485" spans="1:64" hidden="1">
      <c r="A485" s="43">
        <v>484</v>
      </c>
      <c r="B485" s="13" t="s">
        <v>147</v>
      </c>
      <c r="C485" s="13" t="s">
        <v>146</v>
      </c>
      <c r="D485" s="13">
        <v>2</v>
      </c>
      <c r="E485" s="13">
        <v>1710</v>
      </c>
      <c r="F485" s="71" t="s">
        <v>1184</v>
      </c>
      <c r="G485" s="71" t="s">
        <v>1182</v>
      </c>
      <c r="H485" s="13" t="s">
        <v>1183</v>
      </c>
      <c r="I485" s="13" t="s">
        <v>55</v>
      </c>
      <c r="J485" s="28">
        <v>0</v>
      </c>
      <c r="K485" s="13" t="s">
        <v>150</v>
      </c>
      <c r="L485" s="13" t="s">
        <v>53</v>
      </c>
      <c r="M485" s="13">
        <v>2</v>
      </c>
      <c r="O485" s="13">
        <v>1</v>
      </c>
      <c r="P485" s="13">
        <v>2</v>
      </c>
      <c r="Q485" s="13">
        <v>2</v>
      </c>
      <c r="R485" s="13" t="s">
        <v>73</v>
      </c>
      <c r="S485" s="13" t="s">
        <v>73</v>
      </c>
      <c r="T485" s="13">
        <v>44901</v>
      </c>
      <c r="U485" s="13">
        <v>2958465</v>
      </c>
      <c r="V485" s="13" t="s">
        <v>282</v>
      </c>
      <c r="W485" s="13" t="s">
        <v>145</v>
      </c>
      <c r="Y485" s="13" t="s">
        <v>143</v>
      </c>
      <c r="Z485" s="13">
        <v>7589154</v>
      </c>
      <c r="AA485" s="13">
        <v>856</v>
      </c>
      <c r="AB485" s="13">
        <v>428</v>
      </c>
      <c r="AE485" s="51">
        <f>M485/O485</f>
        <v>2</v>
      </c>
      <c r="AG485" s="6" t="str">
        <f>C485</f>
        <v>90MB1BJ0-C1BAY0</v>
      </c>
      <c r="AH485" s="6" t="str">
        <f>IF($D485&lt;=AH$4,"",IF(AND($D484=AH$4,$D485&gt;AH$4),$F484,AH484))</f>
        <v>59MB1BJB-MB0A02S</v>
      </c>
      <c r="AI485" s="6" t="str">
        <f>IF($D485&lt;=AI$4,"",IF(AND($D484=AI$4,$D485&gt;AI$4),$F484,AI484))</f>
        <v/>
      </c>
      <c r="AJ485" s="6" t="str">
        <f>IF($D485&lt;=AJ$4,"",IF(AND($D484=AJ$4,$D485&gt;AJ$4),$F484,AJ484))</f>
        <v/>
      </c>
      <c r="AK485" s="6" t="str">
        <f>IF($D485&lt;=AK$4,"",IF(AND($D484=AK$4,$D485&gt;AK$4),$F484,AK484))</f>
        <v/>
      </c>
      <c r="AL485" s="6" t="str">
        <f>IF($D485&lt;=AL$4,"",IF(AND($D484=AL$4,$D485&gt;AL$4),$F484,AL484))</f>
        <v/>
      </c>
      <c r="AM485" s="6" t="str">
        <f>IF($D485&lt;=AM$4,"",IF(AND($D484=AM$4,$D485&gt;AM$4),$F484,AM484))</f>
        <v/>
      </c>
      <c r="AN485" s="6" t="str">
        <f>IF($D485&lt;=AN$4,"",IF(AND($D484=AN$4,$D485&gt;AN$4),$F484,AN484))</f>
        <v/>
      </c>
      <c r="AO485" s="6" t="str">
        <f>CONCATENATE(AG485," | ",AH485," | ",AI485," | ",AJ485," | ",AK485," | ",AL485," | ",AM485," | ",AN485)</f>
        <v xml:space="preserve">90MB1BJ0-C1BAY0 | 59MB1BJB-MB0A02S |  |  |  |  |  | </v>
      </c>
      <c r="AP485" s="6">
        <f>IF(TRIM(H485)="",100,J485)</f>
        <v>0</v>
      </c>
      <c r="AQ485" s="4"/>
      <c r="AR485" s="6" t="b">
        <f>NOT(TRIM(W485)&lt;&gt;"F")</f>
        <v>1</v>
      </c>
      <c r="AS485" s="6" t="str">
        <f>$B485&amp;" | "&amp;$AO485&amp;" | "&amp;IF(TRIM(H485)="","uniq"&amp;ROW(),TRIM(H485))</f>
        <v>461E | 90MB1BJ0-C1BAY0 | 59MB1BJB-MB0A02S |  |  |  |  |  |  | H1</v>
      </c>
      <c r="AT485" s="63">
        <f>IF(NOT(AR485),IF(TRIM($H485)="","Assembly","Phantom Alt"),VLOOKUP(F485,ZPCS04!B:G,6,0))</f>
        <v>714</v>
      </c>
      <c r="AU485" s="7"/>
      <c r="AV485" s="38">
        <f ca="1">IF(TRIM($W485)="F",OFFSET($A$5,MATCH($AS485,$AS$5:$AS485,0)-1,0),$A485)</f>
        <v>485</v>
      </c>
      <c r="AW485" s="38">
        <f ca="1">IFERROR(OFFSET(ZPCS04!$A$1,MATCH(F485,ZPCS04!B:B,0)-1,0),100)</f>
        <v>2</v>
      </c>
      <c r="AX485" s="7"/>
      <c r="AY485" s="6" t="b">
        <f>SUMIF(AS:AS,AS485,AP:AP)=100</f>
        <v>1</v>
      </c>
      <c r="AZ485" s="6" t="b">
        <f>SUMIF(AS:AS,AS485,AE:AE)/COUNTIF(AS:AS,AS485)=AE485</f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>C485&amp;" | "&amp;F485</f>
        <v>90MB1BJ0-C1BAY0 | 10G2131R0013020</v>
      </c>
      <c r="BE485" s="55" t="str">
        <f ca="1">C485&amp;" | "&amp;OFFSET($AF485,0,8-COUNTBLANK($AG485:$AN485))</f>
        <v>90MB1BJ0-C1BAY0 | 59MB1BJB-MB0A02S</v>
      </c>
      <c r="BF485" s="57">
        <f ca="1">IFERROR(VLOOKUP($BE485,$BD$5:$BF484,3,0)*$AE485,VLOOKUP($C485,Demanda!$A:$B,2,0)*$AE485)*IF(AT485="Phantom Alt",$BC485,TRUE)</f>
        <v>2000</v>
      </c>
      <c r="BG485" s="57">
        <f ca="1">BF485*(AP485/100)</f>
        <v>0</v>
      </c>
      <c r="BH485" s="57">
        <f>SUMIF(Invoice!A:A,F485,Invoice!B:B)</f>
        <v>0</v>
      </c>
      <c r="BI485" s="57">
        <f ca="1">SUMIF(AS:AS,AS485,BG:BG)</f>
        <v>2000</v>
      </c>
      <c r="BJ485" s="57">
        <f ca="1">MIN((BI485-SUMIF($AS$5:AS484,AS485,$BJ$5:BJ484)),MAX(0,BH485-SUMIF($F$5:F484,F485,$BJ$5:BJ484)))</f>
        <v>0</v>
      </c>
      <c r="BK485" s="57">
        <f ca="1">(-SUMIF(AS:AS,AS485,BG:BG)+SUMIF(AS:AS,AS485,BJ:BJ))*(AP485=100)*AR485</f>
        <v>0</v>
      </c>
      <c r="BL485" s="57">
        <f ca="1">MAX(0,SUMIF(Invoice!A:A,F485,Invoice!B:B)-SUMIF(F:F,F485,BJ:BJ))*(COUNTIF(F:F,F485)=COUNTIF($F$5:F485,F485))</f>
        <v>0</v>
      </c>
    </row>
    <row r="486" spans="1:64" hidden="1">
      <c r="A486" s="43">
        <v>487</v>
      </c>
      <c r="B486" s="13" t="s">
        <v>147</v>
      </c>
      <c r="C486" s="13" t="s">
        <v>146</v>
      </c>
      <c r="D486" s="13">
        <v>2</v>
      </c>
      <c r="E486" s="13">
        <v>1720</v>
      </c>
      <c r="F486" s="71" t="s">
        <v>1190</v>
      </c>
      <c r="G486" s="71" t="s">
        <v>1191</v>
      </c>
      <c r="H486" s="13" t="s">
        <v>1189</v>
      </c>
      <c r="I486" s="13" t="s">
        <v>55</v>
      </c>
      <c r="J486" s="28">
        <v>0</v>
      </c>
      <c r="K486" s="13" t="s">
        <v>150</v>
      </c>
      <c r="L486" s="13" t="s">
        <v>53</v>
      </c>
      <c r="M486" s="13">
        <v>4</v>
      </c>
      <c r="O486" s="13">
        <v>1</v>
      </c>
      <c r="P486" s="13">
        <v>2</v>
      </c>
      <c r="Q486" s="13">
        <v>3</v>
      </c>
      <c r="R486" s="13" t="s">
        <v>73</v>
      </c>
      <c r="S486" s="13" t="s">
        <v>73</v>
      </c>
      <c r="T486" s="13">
        <v>44901</v>
      </c>
      <c r="U486" s="13">
        <v>2958465</v>
      </c>
      <c r="V486" s="13" t="s">
        <v>282</v>
      </c>
      <c r="W486" s="13" t="s">
        <v>145</v>
      </c>
      <c r="Y486" s="13" t="s">
        <v>143</v>
      </c>
      <c r="Z486" s="13">
        <v>7589154</v>
      </c>
      <c r="AA486" s="13">
        <v>864</v>
      </c>
      <c r="AB486" s="13">
        <v>432</v>
      </c>
      <c r="AE486" s="51">
        <f>M486/O486</f>
        <v>4</v>
      </c>
      <c r="AG486" s="6" t="str">
        <f>C486</f>
        <v>90MB1BJ0-C1BAY0</v>
      </c>
      <c r="AH486" s="6" t="str">
        <f>IF($D486&lt;=AH$4,"",IF(AND($D485=AH$4,$D486&gt;AH$4),$F485,AH485))</f>
        <v>59MB1BJB-MB0A02S</v>
      </c>
      <c r="AI486" s="6" t="str">
        <f>IF($D486&lt;=AI$4,"",IF(AND($D485=AI$4,$D486&gt;AI$4),$F485,AI485))</f>
        <v/>
      </c>
      <c r="AJ486" s="6" t="str">
        <f>IF($D486&lt;=AJ$4,"",IF(AND($D485=AJ$4,$D486&gt;AJ$4),$F485,AJ485))</f>
        <v/>
      </c>
      <c r="AK486" s="6" t="str">
        <f>IF($D486&lt;=AK$4,"",IF(AND($D485=AK$4,$D486&gt;AK$4),$F485,AK485))</f>
        <v/>
      </c>
      <c r="AL486" s="6" t="str">
        <f>IF($D486&lt;=AL$4,"",IF(AND($D485=AL$4,$D486&gt;AL$4),$F485,AL485))</f>
        <v/>
      </c>
      <c r="AM486" s="6" t="str">
        <f>IF($D486&lt;=AM$4,"",IF(AND($D485=AM$4,$D486&gt;AM$4),$F485,AM485))</f>
        <v/>
      </c>
      <c r="AN486" s="6" t="str">
        <f>IF($D486&lt;=AN$4,"",IF(AND($D485=AN$4,$D486&gt;AN$4),$F485,AN485))</f>
        <v/>
      </c>
      <c r="AO486" s="6" t="str">
        <f>CONCATENATE(AG486," | ",AH486," | ",AI486," | ",AJ486," | ",AK486," | ",AL486," | ",AM486," | ",AN486)</f>
        <v xml:space="preserve">90MB1BJ0-C1BAY0 | 59MB1BJB-MB0A02S |  |  |  |  |  | </v>
      </c>
      <c r="AP486" s="6">
        <f>IF(TRIM(H486)="",100,J486)</f>
        <v>0</v>
      </c>
      <c r="AQ486" s="4"/>
      <c r="AR486" s="6" t="b">
        <f>NOT(TRIM(W486)&lt;&gt;"F")</f>
        <v>1</v>
      </c>
      <c r="AS486" s="6" t="str">
        <f>$B486&amp;" | "&amp;$AO486&amp;" | "&amp;IF(TRIM(H486)="","uniq"&amp;ROW(),TRIM(H486))</f>
        <v>461E | 90MB1BJ0-C1BAY0 | 59MB1BJB-MB0A02S |  |  |  |  |  |  | H2</v>
      </c>
      <c r="AT486" s="63">
        <f>IF(NOT(AR486),IF(TRIM($H486)="","Assembly","Phantom Alt"),VLOOKUP(F486,ZPCS04!B:G,6,0))</f>
        <v>977</v>
      </c>
      <c r="AU486" s="7"/>
      <c r="AV486" s="38">
        <f ca="1">IF(TRIM($W486)="F",OFFSET($A$5,MATCH($AS486,$AS$5:$AS486,0)-1,0),$A486)</f>
        <v>487</v>
      </c>
      <c r="AW486" s="38">
        <f ca="1">IFERROR(OFFSET(ZPCS04!$A$1,MATCH(F486,ZPCS04!B:B,0)-1,0),100)</f>
        <v>1.9999999499999999</v>
      </c>
      <c r="AX486" s="7"/>
      <c r="AY486" s="6" t="b">
        <f>SUMIF(AS:AS,AS486,AP:AP)=100</f>
        <v>1</v>
      </c>
      <c r="AZ486" s="6" t="b">
        <f>SUMIF(AS:AS,AS486,AE:AE)/COUNTIF(AS:AS,AS486)=AE486</f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>C486&amp;" | "&amp;F486</f>
        <v>90MB1BJ0-C1BAY0 | 10G213200113020</v>
      </c>
      <c r="BE486" s="55" t="str">
        <f ca="1">C486&amp;" | "&amp;OFFSET($AF486,0,8-COUNTBLANK($AG486:$AN486))</f>
        <v>90MB1BJ0-C1BAY0 | 59MB1BJB-MB0A02S</v>
      </c>
      <c r="BF486" s="57">
        <f ca="1">IFERROR(VLOOKUP($BE486,$BD$5:$BF485,3,0)*$AE486,VLOOKUP($C486,Demanda!$A:$B,2,0)*$AE486)*IF(AT486="Phantom Alt",$BC486,TRUE)</f>
        <v>4000</v>
      </c>
      <c r="BG486" s="57">
        <f ca="1">BF486*(AP486/100)</f>
        <v>0</v>
      </c>
      <c r="BH486" s="57">
        <f>SUMIF(Invoice!A:A,F486,Invoice!B:B)</f>
        <v>5000</v>
      </c>
      <c r="BI486" s="57">
        <f ca="1">SUMIF(AS:AS,AS486,BG:BG)</f>
        <v>4000</v>
      </c>
      <c r="BJ486" s="57">
        <f ca="1">MIN((BI486-SUMIF($AS$5:AS485,AS486,$BJ$5:BJ485)),MAX(0,BH486-SUMIF($F$5:F485,F486,$BJ$5:BJ485)))</f>
        <v>4000</v>
      </c>
      <c r="BK486" s="57">
        <f ca="1">(-SUMIF(AS:AS,AS486,BG:BG)+SUMIF(AS:AS,AS486,BJ:BJ))*(AP486=100)*AR486</f>
        <v>0</v>
      </c>
      <c r="BL486" s="57">
        <f ca="1">MAX(0,SUMIF(Invoice!A:A,F486,Invoice!B:B)-SUMIF(F:F,F486,BJ:BJ))*(COUNTIF(F:F,F486)=COUNTIF($F$5:F486,F486))</f>
        <v>1000</v>
      </c>
    </row>
    <row r="487" spans="1:64" hidden="1">
      <c r="A487" s="43">
        <v>486</v>
      </c>
      <c r="B487" s="13" t="s">
        <v>147</v>
      </c>
      <c r="C487" s="13" t="s">
        <v>146</v>
      </c>
      <c r="D487" s="13">
        <v>2</v>
      </c>
      <c r="E487" s="13">
        <v>1720</v>
      </c>
      <c r="F487" s="71" t="s">
        <v>1187</v>
      </c>
      <c r="G487" s="71" t="s">
        <v>1188</v>
      </c>
      <c r="H487" s="13" t="s">
        <v>1189</v>
      </c>
      <c r="I487" s="13" t="s">
        <v>54</v>
      </c>
      <c r="J487" s="28">
        <v>100</v>
      </c>
      <c r="K487" s="13" t="s">
        <v>150</v>
      </c>
      <c r="L487" s="13" t="s">
        <v>53</v>
      </c>
      <c r="M487" s="13">
        <v>4</v>
      </c>
      <c r="N487" s="13">
        <v>4</v>
      </c>
      <c r="O487" s="13">
        <v>1</v>
      </c>
      <c r="P487" s="13">
        <v>2</v>
      </c>
      <c r="Q487" s="13">
        <v>1</v>
      </c>
      <c r="R487" s="13" t="s">
        <v>73</v>
      </c>
      <c r="S487" s="13" t="s">
        <v>73</v>
      </c>
      <c r="T487" s="13">
        <v>44901</v>
      </c>
      <c r="U487" s="13">
        <v>2958465</v>
      </c>
      <c r="V487" s="13" t="s">
        <v>282</v>
      </c>
      <c r="W487" s="13" t="s">
        <v>145</v>
      </c>
      <c r="Y487" s="13" t="s">
        <v>143</v>
      </c>
      <c r="Z487" s="13">
        <v>7589154</v>
      </c>
      <c r="AA487" s="13">
        <v>860</v>
      </c>
      <c r="AB487" s="13">
        <v>430</v>
      </c>
      <c r="AE487" s="51">
        <f>M487/O487</f>
        <v>4</v>
      </c>
      <c r="AG487" s="6" t="str">
        <f>C487</f>
        <v>90MB1BJ0-C1BAY0</v>
      </c>
      <c r="AH487" s="6" t="str">
        <f>IF($D487&lt;=AH$4,"",IF(AND($D486=AH$4,$D487&gt;AH$4),$F486,AH486))</f>
        <v>59MB1BJB-MB0A02S</v>
      </c>
      <c r="AI487" s="6" t="str">
        <f>IF($D487&lt;=AI$4,"",IF(AND($D486=AI$4,$D487&gt;AI$4),$F486,AI486))</f>
        <v/>
      </c>
      <c r="AJ487" s="6" t="str">
        <f>IF($D487&lt;=AJ$4,"",IF(AND($D486=AJ$4,$D487&gt;AJ$4),$F486,AJ486))</f>
        <v/>
      </c>
      <c r="AK487" s="6" t="str">
        <f>IF($D487&lt;=AK$4,"",IF(AND($D486=AK$4,$D487&gt;AK$4),$F486,AK486))</f>
        <v/>
      </c>
      <c r="AL487" s="6" t="str">
        <f>IF($D487&lt;=AL$4,"",IF(AND($D486=AL$4,$D487&gt;AL$4),$F486,AL486))</f>
        <v/>
      </c>
      <c r="AM487" s="6" t="str">
        <f>IF($D487&lt;=AM$4,"",IF(AND($D486=AM$4,$D487&gt;AM$4),$F486,AM486))</f>
        <v/>
      </c>
      <c r="AN487" s="6" t="str">
        <f>IF($D487&lt;=AN$4,"",IF(AND($D486=AN$4,$D487&gt;AN$4),$F486,AN486))</f>
        <v/>
      </c>
      <c r="AO487" s="6" t="str">
        <f>CONCATENATE(AG487," | ",AH487," | ",AI487," | ",AJ487," | ",AK487," | ",AL487," | ",AM487," | ",AN487)</f>
        <v xml:space="preserve">90MB1BJ0-C1BAY0 | 59MB1BJB-MB0A02S |  |  |  |  |  | </v>
      </c>
      <c r="AP487" s="6">
        <f>IF(TRIM(H487)="",100,J487)</f>
        <v>100</v>
      </c>
      <c r="AQ487" s="4"/>
      <c r="AR487" s="6" t="b">
        <f>NOT(TRIM(W487)&lt;&gt;"F")</f>
        <v>1</v>
      </c>
      <c r="AS487" s="6" t="str">
        <f>$B487&amp;" | "&amp;$AO487&amp;" | "&amp;IF(TRIM(H487)="","uniq"&amp;ROW(),TRIM(H487))</f>
        <v>461E | 90MB1BJ0-C1BAY0 | 59MB1BJB-MB0A02S |  |  |  |  |  |  | H2</v>
      </c>
      <c r="AT487" s="63">
        <f>IF(NOT(AR487),IF(TRIM($H487)="","Assembly","Phantom Alt"),VLOOKUP(F487,ZPCS04!B:G,6,0))</f>
        <v>977</v>
      </c>
      <c r="AU487" s="7"/>
      <c r="AV487" s="38">
        <f ca="1">IF(TRIM($W487)="F",OFFSET($A$5,MATCH($AS487,$AS$5:$AS487,0)-1,0),$A487)</f>
        <v>487</v>
      </c>
      <c r="AW487" s="38">
        <f ca="1">IFERROR(OFFSET(ZPCS04!$A$1,MATCH(F487,ZPCS04!B:B,0)-1,0),100)</f>
        <v>2</v>
      </c>
      <c r="AX487" s="7"/>
      <c r="AY487" s="6" t="b">
        <f>SUMIF(AS:AS,AS487,AP:AP)=100</f>
        <v>1</v>
      </c>
      <c r="AZ487" s="6" t="b">
        <f>SUMIF(AS:AS,AS487,AE:AE)/COUNTIF(AS:AS,AS487)=AE487</f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>C487&amp;" | "&amp;F487</f>
        <v>90MB1BJ0-C1BAY0 | 10G213200113010</v>
      </c>
      <c r="BE487" s="55" t="str">
        <f ca="1">C487&amp;" | "&amp;OFFSET($AF487,0,8-COUNTBLANK($AG487:$AN487))</f>
        <v>90MB1BJ0-C1BAY0 | 59MB1BJB-MB0A02S</v>
      </c>
      <c r="BF487" s="57">
        <f ca="1">IFERROR(VLOOKUP($BE487,$BD$5:$BF486,3,0)*$AE487,VLOOKUP($C487,Demanda!$A:$B,2,0)*$AE487)*IF(AT487="Phantom Alt",$BC487,TRUE)</f>
        <v>4000</v>
      </c>
      <c r="BG487" s="57">
        <f ca="1">BF487*(AP487/100)</f>
        <v>4000</v>
      </c>
      <c r="BH487" s="57">
        <f>SUMIF(Invoice!A:A,F487,Invoice!B:B)</f>
        <v>0</v>
      </c>
      <c r="BI487" s="57">
        <f ca="1">SUMIF(AS:AS,AS487,BG:BG)</f>
        <v>4000</v>
      </c>
      <c r="BJ487" s="57">
        <f ca="1">MIN((BI487-SUMIF($AS$5:AS486,AS487,$BJ$5:BJ486)),MAX(0,BH487-SUMIF($F$5:F486,F487,$BJ$5:BJ486)))</f>
        <v>0</v>
      </c>
      <c r="BK487" s="57">
        <f ca="1">(-SUMIF(AS:AS,AS487,BG:BG)+SUMIF(AS:AS,AS487,BJ:BJ))*(AP487=100)*AR487</f>
        <v>0</v>
      </c>
      <c r="BL487" s="57">
        <f ca="1">MAX(0,SUMIF(Invoice!A:A,F487,Invoice!B:B)-SUMIF(F:F,F487,BJ:BJ))*(COUNTIF(F:F,F487)=COUNTIF($F$5:F487,F487))</f>
        <v>0</v>
      </c>
    </row>
    <row r="488" spans="1:64" hidden="1">
      <c r="A488" s="43">
        <v>488</v>
      </c>
      <c r="B488" s="13" t="s">
        <v>147</v>
      </c>
      <c r="C488" s="13" t="s">
        <v>146</v>
      </c>
      <c r="D488" s="13">
        <v>2</v>
      </c>
      <c r="E488" s="13">
        <v>1720</v>
      </c>
      <c r="F488" s="71" t="s">
        <v>1192</v>
      </c>
      <c r="G488" s="71" t="s">
        <v>1193</v>
      </c>
      <c r="H488" s="13" t="s">
        <v>1189</v>
      </c>
      <c r="I488" s="13" t="s">
        <v>55</v>
      </c>
      <c r="J488" s="28">
        <v>0</v>
      </c>
      <c r="K488" s="13" t="s">
        <v>150</v>
      </c>
      <c r="L488" s="13" t="s">
        <v>53</v>
      </c>
      <c r="M488" s="13">
        <v>4</v>
      </c>
      <c r="O488" s="13">
        <v>1</v>
      </c>
      <c r="P488" s="13">
        <v>2</v>
      </c>
      <c r="Q488" s="13">
        <v>2</v>
      </c>
      <c r="R488" s="13" t="s">
        <v>73</v>
      </c>
      <c r="S488" s="13" t="s">
        <v>73</v>
      </c>
      <c r="T488" s="13">
        <v>44901</v>
      </c>
      <c r="U488" s="13">
        <v>2958465</v>
      </c>
      <c r="V488" s="13" t="s">
        <v>282</v>
      </c>
      <c r="W488" s="13" t="s">
        <v>145</v>
      </c>
      <c r="Y488" s="13" t="s">
        <v>143</v>
      </c>
      <c r="Z488" s="13">
        <v>7589154</v>
      </c>
      <c r="AA488" s="13">
        <v>862</v>
      </c>
      <c r="AB488" s="13">
        <v>431</v>
      </c>
      <c r="AE488" s="51">
        <f>M488/O488</f>
        <v>4</v>
      </c>
      <c r="AG488" s="6" t="str">
        <f>C488</f>
        <v>90MB1BJ0-C1BAY0</v>
      </c>
      <c r="AH488" s="6" t="str">
        <f>IF($D488&lt;=AH$4,"",IF(AND($D487=AH$4,$D488&gt;AH$4),$F487,AH487))</f>
        <v>59MB1BJB-MB0A02S</v>
      </c>
      <c r="AI488" s="6" t="str">
        <f>IF($D488&lt;=AI$4,"",IF(AND($D487=AI$4,$D488&gt;AI$4),$F487,AI487))</f>
        <v/>
      </c>
      <c r="AJ488" s="6" t="str">
        <f>IF($D488&lt;=AJ$4,"",IF(AND($D487=AJ$4,$D488&gt;AJ$4),$F487,AJ487))</f>
        <v/>
      </c>
      <c r="AK488" s="6" t="str">
        <f>IF($D488&lt;=AK$4,"",IF(AND($D487=AK$4,$D488&gt;AK$4),$F487,AK487))</f>
        <v/>
      </c>
      <c r="AL488" s="6" t="str">
        <f>IF($D488&lt;=AL$4,"",IF(AND($D487=AL$4,$D488&gt;AL$4),$F487,AL487))</f>
        <v/>
      </c>
      <c r="AM488" s="6" t="str">
        <f>IF($D488&lt;=AM$4,"",IF(AND($D487=AM$4,$D488&gt;AM$4),$F487,AM487))</f>
        <v/>
      </c>
      <c r="AN488" s="6" t="str">
        <f>IF($D488&lt;=AN$4,"",IF(AND($D487=AN$4,$D488&gt;AN$4),$F487,AN487))</f>
        <v/>
      </c>
      <c r="AO488" s="6" t="str">
        <f>CONCATENATE(AG488," | ",AH488," | ",AI488," | ",AJ488," | ",AK488," | ",AL488," | ",AM488," | ",AN488)</f>
        <v xml:space="preserve">90MB1BJ0-C1BAY0 | 59MB1BJB-MB0A02S |  |  |  |  |  | </v>
      </c>
      <c r="AP488" s="6">
        <f>IF(TRIM(H488)="",100,J488)</f>
        <v>0</v>
      </c>
      <c r="AQ488" s="4"/>
      <c r="AR488" s="6" t="b">
        <f>NOT(TRIM(W488)&lt;&gt;"F")</f>
        <v>1</v>
      </c>
      <c r="AS488" s="6" t="str">
        <f>$B488&amp;" | "&amp;$AO488&amp;" | "&amp;IF(TRIM(H488)="","uniq"&amp;ROW(),TRIM(H488))</f>
        <v>461E | 90MB1BJ0-C1BAY0 | 59MB1BJB-MB0A02S |  |  |  |  |  |  | H2</v>
      </c>
      <c r="AT488" s="63">
        <f>IF(NOT(AR488),IF(TRIM($H488)="","Assembly","Phantom Alt"),VLOOKUP(F488,ZPCS04!B:G,6,0))</f>
        <v>977</v>
      </c>
      <c r="AU488" s="7"/>
      <c r="AV488" s="38">
        <f ca="1">IF(TRIM($W488)="F",OFFSET($A$5,MATCH($AS488,$AS$5:$AS488,0)-1,0),$A488)</f>
        <v>487</v>
      </c>
      <c r="AW488" s="38">
        <f ca="1">IFERROR(OFFSET(ZPCS04!$A$1,MATCH(F488,ZPCS04!B:B,0)-1,0),100)</f>
        <v>2</v>
      </c>
      <c r="AX488" s="7"/>
      <c r="AY488" s="6" t="b">
        <f>SUMIF(AS:AS,AS488,AP:AP)=100</f>
        <v>1</v>
      </c>
      <c r="AZ488" s="6" t="b">
        <f>SUMIF(AS:AS,AS488,AE:AE)/COUNTIF(AS:AS,AS488)=AE488</f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>C488&amp;" | "&amp;F488</f>
        <v>90MB1BJ0-C1BAY0 | 10G213200113050</v>
      </c>
      <c r="BE488" s="55" t="str">
        <f ca="1">C488&amp;" | "&amp;OFFSET($AF488,0,8-COUNTBLANK($AG488:$AN488))</f>
        <v>90MB1BJ0-C1BAY0 | 59MB1BJB-MB0A02S</v>
      </c>
      <c r="BF488" s="57">
        <f ca="1">IFERROR(VLOOKUP($BE488,$BD$5:$BF487,3,0)*$AE488,VLOOKUP($C488,Demanda!$A:$B,2,0)*$AE488)*IF(AT488="Phantom Alt",$BC488,TRUE)</f>
        <v>4000</v>
      </c>
      <c r="BG488" s="57">
        <f ca="1">BF488*(AP488/100)</f>
        <v>0</v>
      </c>
      <c r="BH488" s="57">
        <f>SUMIF(Invoice!A:A,F488,Invoice!B:B)</f>
        <v>0</v>
      </c>
      <c r="BI488" s="57">
        <f ca="1">SUMIF(AS:AS,AS488,BG:BG)</f>
        <v>4000</v>
      </c>
      <c r="BJ488" s="57">
        <f ca="1">MIN((BI488-SUMIF($AS$5:AS487,AS488,$BJ$5:BJ487)),MAX(0,BH488-SUMIF($F$5:F487,F488,$BJ$5:BJ487)))</f>
        <v>0</v>
      </c>
      <c r="BK488" s="57">
        <f ca="1">(-SUMIF(AS:AS,AS488,BG:BG)+SUMIF(AS:AS,AS488,BJ:BJ))*(AP488=100)*AR488</f>
        <v>0</v>
      </c>
      <c r="BL488" s="57">
        <f ca="1">MAX(0,SUMIF(Invoice!A:A,F488,Invoice!B:B)-SUMIF(F:F,F488,BJ:BJ))*(COUNTIF(F:F,F488)=COUNTIF($F$5:F488,F488))</f>
        <v>0</v>
      </c>
    </row>
    <row r="489" spans="1:64" hidden="1">
      <c r="A489" s="43">
        <v>489</v>
      </c>
      <c r="B489" s="13" t="s">
        <v>147</v>
      </c>
      <c r="C489" s="13" t="s">
        <v>146</v>
      </c>
      <c r="D489" s="13">
        <v>2</v>
      </c>
      <c r="E489" s="13">
        <v>1730</v>
      </c>
      <c r="F489" s="71" t="s">
        <v>1194</v>
      </c>
      <c r="G489" s="71" t="s">
        <v>1195</v>
      </c>
      <c r="H489" s="13" t="s">
        <v>1196</v>
      </c>
      <c r="I489" s="13" t="s">
        <v>54</v>
      </c>
      <c r="J489" s="28">
        <v>100</v>
      </c>
      <c r="K489" s="13" t="s">
        <v>150</v>
      </c>
      <c r="L489" s="13" t="s">
        <v>53</v>
      </c>
      <c r="M489" s="13">
        <v>2</v>
      </c>
      <c r="N489" s="13">
        <v>2</v>
      </c>
      <c r="O489" s="13">
        <v>1</v>
      </c>
      <c r="P489" s="13">
        <v>2</v>
      </c>
      <c r="Q489" s="13">
        <v>1</v>
      </c>
      <c r="R489" s="13" t="s">
        <v>73</v>
      </c>
      <c r="S489" s="13" t="s">
        <v>73</v>
      </c>
      <c r="T489" s="13">
        <v>44901</v>
      </c>
      <c r="U489" s="13">
        <v>2958465</v>
      </c>
      <c r="V489" s="13" t="s">
        <v>282</v>
      </c>
      <c r="W489" s="13" t="s">
        <v>145</v>
      </c>
      <c r="Y489" s="13" t="s">
        <v>143</v>
      </c>
      <c r="Z489" s="13">
        <v>7589154</v>
      </c>
      <c r="AA489" s="13">
        <v>866</v>
      </c>
      <c r="AB489" s="13">
        <v>433</v>
      </c>
      <c r="AE489" s="51">
        <f>M489/O489</f>
        <v>2</v>
      </c>
      <c r="AG489" s="6" t="str">
        <f>C489</f>
        <v>90MB1BJ0-C1BAY0</v>
      </c>
      <c r="AH489" s="6" t="str">
        <f>IF($D489&lt;=AH$4,"",IF(AND($D488=AH$4,$D489&gt;AH$4),$F488,AH488))</f>
        <v>59MB1BJB-MB0A02S</v>
      </c>
      <c r="AI489" s="6" t="str">
        <f>IF($D489&lt;=AI$4,"",IF(AND($D488=AI$4,$D489&gt;AI$4),$F488,AI488))</f>
        <v/>
      </c>
      <c r="AJ489" s="6" t="str">
        <f>IF($D489&lt;=AJ$4,"",IF(AND($D488=AJ$4,$D489&gt;AJ$4),$F488,AJ488))</f>
        <v/>
      </c>
      <c r="AK489" s="6" t="str">
        <f>IF($D489&lt;=AK$4,"",IF(AND($D488=AK$4,$D489&gt;AK$4),$F488,AK488))</f>
        <v/>
      </c>
      <c r="AL489" s="6" t="str">
        <f>IF($D489&lt;=AL$4,"",IF(AND($D488=AL$4,$D489&gt;AL$4),$F488,AL488))</f>
        <v/>
      </c>
      <c r="AM489" s="6" t="str">
        <f>IF($D489&lt;=AM$4,"",IF(AND($D488=AM$4,$D489&gt;AM$4),$F488,AM488))</f>
        <v/>
      </c>
      <c r="AN489" s="6" t="str">
        <f>IF($D489&lt;=AN$4,"",IF(AND($D488=AN$4,$D489&gt;AN$4),$F488,AN488))</f>
        <v/>
      </c>
      <c r="AO489" s="6" t="str">
        <f>CONCATENATE(AG489," | ",AH489," | ",AI489," | ",AJ489," | ",AK489," | ",AL489," | ",AM489," | ",AN489)</f>
        <v xml:space="preserve">90MB1BJ0-C1BAY0 | 59MB1BJB-MB0A02S |  |  |  |  |  | </v>
      </c>
      <c r="AP489" s="6">
        <f>IF(TRIM(H489)="",100,J489)</f>
        <v>100</v>
      </c>
      <c r="AQ489" s="4"/>
      <c r="AR489" s="6" t="b">
        <f>NOT(TRIM(W489)&lt;&gt;"F")</f>
        <v>1</v>
      </c>
      <c r="AS489" s="6" t="str">
        <f>$B489&amp;" | "&amp;$AO489&amp;" | "&amp;IF(TRIM(H489)="","uniq"&amp;ROW(),TRIM(H489))</f>
        <v>461E | 90MB1BJ0-C1BAY0 | 59MB1BJB-MB0A02S |  |  |  |  |  |  | H3</v>
      </c>
      <c r="AT489" s="63">
        <f>IF(NOT(AR489),IF(TRIM($H489)="","Assembly","Phantom Alt"),VLOOKUP(F489,ZPCS04!B:G,6,0))</f>
        <v>715</v>
      </c>
      <c r="AU489" s="7"/>
      <c r="AV489" s="38">
        <f ca="1">IF(TRIM($W489)="F",OFFSET($A$5,MATCH($AS489,$AS$5:$AS489,0)-1,0),$A489)</f>
        <v>489</v>
      </c>
      <c r="AW489" s="38">
        <f ca="1">IFERROR(OFFSET(ZPCS04!$A$1,MATCH(F489,ZPCS04!B:B,0)-1,0),100)</f>
        <v>1.9999999499999999</v>
      </c>
      <c r="AX489" s="7"/>
      <c r="AY489" s="6" t="b">
        <f>SUMIF(AS:AS,AS489,AP:AP)=100</f>
        <v>1</v>
      </c>
      <c r="AZ489" s="6" t="b">
        <f>SUMIF(AS:AS,AS489,AE:AE)/COUNTIF(AS:AS,AS489)=AE489</f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>C489&amp;" | "&amp;F489</f>
        <v>90MB1BJ0-C1BAY0 | 10G213200213010</v>
      </c>
      <c r="BE489" s="55" t="str">
        <f ca="1">C489&amp;" | "&amp;OFFSET($AF489,0,8-COUNTBLANK($AG489:$AN489))</f>
        <v>90MB1BJ0-C1BAY0 | 59MB1BJB-MB0A02S</v>
      </c>
      <c r="BF489" s="57">
        <f ca="1">IFERROR(VLOOKUP($BE489,$BD$5:$BF488,3,0)*$AE489,VLOOKUP($C489,Demanda!$A:$B,2,0)*$AE489)*IF(AT489="Phantom Alt",$BC489,TRUE)</f>
        <v>2000</v>
      </c>
      <c r="BG489" s="57">
        <f ca="1">BF489*(AP489/100)</f>
        <v>2000</v>
      </c>
      <c r="BH489" s="57">
        <f>SUMIF(Invoice!A:A,F489,Invoice!B:B)</f>
        <v>5000</v>
      </c>
      <c r="BI489" s="57">
        <f ca="1">SUMIF(AS:AS,AS489,BG:BG)</f>
        <v>2000</v>
      </c>
      <c r="BJ489" s="57">
        <f ca="1">MIN((BI489-SUMIF($AS$5:AS488,AS489,$BJ$5:BJ488)),MAX(0,BH489-SUMIF($F$5:F488,F489,$BJ$5:BJ488)))</f>
        <v>2000</v>
      </c>
      <c r="BK489" s="57">
        <f ca="1">(-SUMIF(AS:AS,AS489,BG:BG)+SUMIF(AS:AS,AS489,BJ:BJ))*(AP489=100)*AR489</f>
        <v>0</v>
      </c>
      <c r="BL489" s="57">
        <f ca="1">MAX(0,SUMIF(Invoice!A:A,F489,Invoice!B:B)-SUMIF(F:F,F489,BJ:BJ))*(COUNTIF(F:F,F489)=COUNTIF($F$5:F489,F489))</f>
        <v>3000</v>
      </c>
    </row>
    <row r="490" spans="1:64" hidden="1">
      <c r="A490" s="43">
        <v>490</v>
      </c>
      <c r="B490" s="13" t="s">
        <v>147</v>
      </c>
      <c r="C490" s="13" t="s">
        <v>146</v>
      </c>
      <c r="D490" s="13">
        <v>2</v>
      </c>
      <c r="E490" s="13">
        <v>1730</v>
      </c>
      <c r="F490" s="71" t="s">
        <v>1197</v>
      </c>
      <c r="G490" s="71" t="s">
        <v>1198</v>
      </c>
      <c r="H490" s="13" t="s">
        <v>1196</v>
      </c>
      <c r="I490" s="13" t="s">
        <v>55</v>
      </c>
      <c r="J490" s="28">
        <v>0</v>
      </c>
      <c r="K490" s="13" t="s">
        <v>150</v>
      </c>
      <c r="L490" s="13" t="s">
        <v>53</v>
      </c>
      <c r="M490" s="13">
        <v>2</v>
      </c>
      <c r="O490" s="13">
        <v>1</v>
      </c>
      <c r="P490" s="13">
        <v>2</v>
      </c>
      <c r="Q490" s="13">
        <v>3</v>
      </c>
      <c r="R490" s="13" t="s">
        <v>73</v>
      </c>
      <c r="S490" s="13" t="s">
        <v>73</v>
      </c>
      <c r="T490" s="13">
        <v>44901</v>
      </c>
      <c r="U490" s="13">
        <v>2958465</v>
      </c>
      <c r="V490" s="13" t="s">
        <v>282</v>
      </c>
      <c r="W490" s="13" t="s">
        <v>145</v>
      </c>
      <c r="Y490" s="13" t="s">
        <v>143</v>
      </c>
      <c r="Z490" s="13">
        <v>7589154</v>
      </c>
      <c r="AA490" s="13">
        <v>870</v>
      </c>
      <c r="AB490" s="13">
        <v>435</v>
      </c>
      <c r="AE490" s="51">
        <f>M490/O490</f>
        <v>2</v>
      </c>
      <c r="AG490" s="6" t="str">
        <f>C490</f>
        <v>90MB1BJ0-C1BAY0</v>
      </c>
      <c r="AH490" s="6" t="str">
        <f>IF($D490&lt;=AH$4,"",IF(AND($D489=AH$4,$D490&gt;AH$4),$F489,AH489))</f>
        <v>59MB1BJB-MB0A02S</v>
      </c>
      <c r="AI490" s="6" t="str">
        <f>IF($D490&lt;=AI$4,"",IF(AND($D489=AI$4,$D490&gt;AI$4),$F489,AI489))</f>
        <v/>
      </c>
      <c r="AJ490" s="6" t="str">
        <f>IF($D490&lt;=AJ$4,"",IF(AND($D489=AJ$4,$D490&gt;AJ$4),$F489,AJ489))</f>
        <v/>
      </c>
      <c r="AK490" s="6" t="str">
        <f>IF($D490&lt;=AK$4,"",IF(AND($D489=AK$4,$D490&gt;AK$4),$F489,AK489))</f>
        <v/>
      </c>
      <c r="AL490" s="6" t="str">
        <f>IF($D490&lt;=AL$4,"",IF(AND($D489=AL$4,$D490&gt;AL$4),$F489,AL489))</f>
        <v/>
      </c>
      <c r="AM490" s="6" t="str">
        <f>IF($D490&lt;=AM$4,"",IF(AND($D489=AM$4,$D490&gt;AM$4),$F489,AM489))</f>
        <v/>
      </c>
      <c r="AN490" s="6" t="str">
        <f>IF($D490&lt;=AN$4,"",IF(AND($D489=AN$4,$D490&gt;AN$4),$F489,AN489))</f>
        <v/>
      </c>
      <c r="AO490" s="6" t="str">
        <f>CONCATENATE(AG490," | ",AH490," | ",AI490," | ",AJ490," | ",AK490," | ",AL490," | ",AM490," | ",AN490)</f>
        <v xml:space="preserve">90MB1BJ0-C1BAY0 | 59MB1BJB-MB0A02S |  |  |  |  |  | </v>
      </c>
      <c r="AP490" s="6">
        <f>IF(TRIM(H490)="",100,J490)</f>
        <v>0</v>
      </c>
      <c r="AQ490" s="4"/>
      <c r="AR490" s="6" t="b">
        <f>NOT(TRIM(W490)&lt;&gt;"F")</f>
        <v>1</v>
      </c>
      <c r="AS490" s="6" t="str">
        <f>$B490&amp;" | "&amp;$AO490&amp;" | "&amp;IF(TRIM(H490)="","uniq"&amp;ROW(),TRIM(H490))</f>
        <v>461E | 90MB1BJ0-C1BAY0 | 59MB1BJB-MB0A02S |  |  |  |  |  |  | H3</v>
      </c>
      <c r="AT490" s="63">
        <f>IF(NOT(AR490),IF(TRIM($H490)="","Assembly","Phantom Alt"),VLOOKUP(F490,ZPCS04!B:G,6,0))</f>
        <v>715</v>
      </c>
      <c r="AU490" s="7"/>
      <c r="AV490" s="38">
        <f ca="1">IF(TRIM($W490)="F",OFFSET($A$5,MATCH($AS490,$AS$5:$AS490,0)-1,0),$A490)</f>
        <v>489</v>
      </c>
      <c r="AW490" s="38">
        <f ca="1">IFERROR(OFFSET(ZPCS04!$A$1,MATCH(F490,ZPCS04!B:B,0)-1,0),100)</f>
        <v>2</v>
      </c>
      <c r="AX490" s="7"/>
      <c r="AY490" s="6" t="b">
        <f>SUMIF(AS:AS,AS490,AP:AP)=100</f>
        <v>1</v>
      </c>
      <c r="AZ490" s="6" t="b">
        <f>SUMIF(AS:AS,AS490,AE:AE)/COUNTIF(AS:AS,AS490)=AE490</f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>C490&amp;" | "&amp;F490</f>
        <v>90MB1BJ0-C1BAY0 | 10G213200213020</v>
      </c>
      <c r="BE490" s="55" t="str">
        <f ca="1">C490&amp;" | "&amp;OFFSET($AF490,0,8-COUNTBLANK($AG490:$AN490))</f>
        <v>90MB1BJ0-C1BAY0 | 59MB1BJB-MB0A02S</v>
      </c>
      <c r="BF490" s="57">
        <f ca="1">IFERROR(VLOOKUP($BE490,$BD$5:$BF489,3,0)*$AE490,VLOOKUP($C490,Demanda!$A:$B,2,0)*$AE490)*IF(AT490="Phantom Alt",$BC490,TRUE)</f>
        <v>2000</v>
      </c>
      <c r="BG490" s="57">
        <f ca="1">BF490*(AP490/100)</f>
        <v>0</v>
      </c>
      <c r="BH490" s="57">
        <f>SUMIF(Invoice!A:A,F490,Invoice!B:B)</f>
        <v>0</v>
      </c>
      <c r="BI490" s="57">
        <f ca="1">SUMIF(AS:AS,AS490,BG:BG)</f>
        <v>2000</v>
      </c>
      <c r="BJ490" s="57">
        <f ca="1">MIN((BI490-SUMIF($AS$5:AS489,AS490,$BJ$5:BJ489)),MAX(0,BH490-SUMIF($F$5:F489,F490,$BJ$5:BJ489)))</f>
        <v>0</v>
      </c>
      <c r="BK490" s="57">
        <f ca="1">(-SUMIF(AS:AS,AS490,BG:BG)+SUMIF(AS:AS,AS490,BJ:BJ))*(AP490=100)*AR490</f>
        <v>0</v>
      </c>
      <c r="BL490" s="57">
        <f ca="1">MAX(0,SUMIF(Invoice!A:A,F490,Invoice!B:B)-SUMIF(F:F,F490,BJ:BJ))*(COUNTIF(F:F,F490)=COUNTIF($F$5:F490,F490))</f>
        <v>0</v>
      </c>
    </row>
    <row r="491" spans="1:64" hidden="1">
      <c r="A491" s="43">
        <v>491</v>
      </c>
      <c r="B491" s="13" t="s">
        <v>147</v>
      </c>
      <c r="C491" s="13" t="s">
        <v>146</v>
      </c>
      <c r="D491" s="13">
        <v>2</v>
      </c>
      <c r="E491" s="13">
        <v>1730</v>
      </c>
      <c r="F491" s="71" t="s">
        <v>1199</v>
      </c>
      <c r="G491" s="71" t="s">
        <v>1200</v>
      </c>
      <c r="H491" s="13" t="s">
        <v>1196</v>
      </c>
      <c r="I491" s="13" t="s">
        <v>55</v>
      </c>
      <c r="J491" s="28">
        <v>0</v>
      </c>
      <c r="K491" s="13" t="s">
        <v>150</v>
      </c>
      <c r="L491" s="13" t="s">
        <v>53</v>
      </c>
      <c r="M491" s="13">
        <v>2</v>
      </c>
      <c r="O491" s="13">
        <v>1</v>
      </c>
      <c r="P491" s="13">
        <v>2</v>
      </c>
      <c r="Q491" s="13">
        <v>2</v>
      </c>
      <c r="R491" s="13" t="s">
        <v>73</v>
      </c>
      <c r="S491" s="13" t="s">
        <v>73</v>
      </c>
      <c r="T491" s="13">
        <v>44901</v>
      </c>
      <c r="U491" s="13">
        <v>2958465</v>
      </c>
      <c r="V491" s="13" t="s">
        <v>282</v>
      </c>
      <c r="W491" s="13" t="s">
        <v>145</v>
      </c>
      <c r="Y491" s="13" t="s">
        <v>143</v>
      </c>
      <c r="Z491" s="13">
        <v>7589154</v>
      </c>
      <c r="AA491" s="13">
        <v>868</v>
      </c>
      <c r="AB491" s="13">
        <v>434</v>
      </c>
      <c r="AE491" s="51">
        <f>M491/O491</f>
        <v>2</v>
      </c>
      <c r="AG491" s="6" t="str">
        <f>C491</f>
        <v>90MB1BJ0-C1BAY0</v>
      </c>
      <c r="AH491" s="6" t="str">
        <f>IF($D491&lt;=AH$4,"",IF(AND($D490=AH$4,$D491&gt;AH$4),$F490,AH490))</f>
        <v>59MB1BJB-MB0A02S</v>
      </c>
      <c r="AI491" s="6" t="str">
        <f>IF($D491&lt;=AI$4,"",IF(AND($D490=AI$4,$D491&gt;AI$4),$F490,AI490))</f>
        <v/>
      </c>
      <c r="AJ491" s="6" t="str">
        <f>IF($D491&lt;=AJ$4,"",IF(AND($D490=AJ$4,$D491&gt;AJ$4),$F490,AJ490))</f>
        <v/>
      </c>
      <c r="AK491" s="6" t="str">
        <f>IF($D491&lt;=AK$4,"",IF(AND($D490=AK$4,$D491&gt;AK$4),$F490,AK490))</f>
        <v/>
      </c>
      <c r="AL491" s="6" t="str">
        <f>IF($D491&lt;=AL$4,"",IF(AND($D490=AL$4,$D491&gt;AL$4),$F490,AL490))</f>
        <v/>
      </c>
      <c r="AM491" s="6" t="str">
        <f>IF($D491&lt;=AM$4,"",IF(AND($D490=AM$4,$D491&gt;AM$4),$F490,AM490))</f>
        <v/>
      </c>
      <c r="AN491" s="6" t="str">
        <f>IF($D491&lt;=AN$4,"",IF(AND($D490=AN$4,$D491&gt;AN$4),$F490,AN490))</f>
        <v/>
      </c>
      <c r="AO491" s="6" t="str">
        <f>CONCATENATE(AG491," | ",AH491," | ",AI491," | ",AJ491," | ",AK491," | ",AL491," | ",AM491," | ",AN491)</f>
        <v xml:space="preserve">90MB1BJ0-C1BAY0 | 59MB1BJB-MB0A02S |  |  |  |  |  | </v>
      </c>
      <c r="AP491" s="6">
        <f>IF(TRIM(H491)="",100,J491)</f>
        <v>0</v>
      </c>
      <c r="AQ491" s="4"/>
      <c r="AR491" s="6" t="b">
        <f>NOT(TRIM(W491)&lt;&gt;"F")</f>
        <v>1</v>
      </c>
      <c r="AS491" s="6" t="str">
        <f>$B491&amp;" | "&amp;$AO491&amp;" | "&amp;IF(TRIM(H491)="","uniq"&amp;ROW(),TRIM(H491))</f>
        <v>461E | 90MB1BJ0-C1BAY0 | 59MB1BJB-MB0A02S |  |  |  |  |  |  | H3</v>
      </c>
      <c r="AT491" s="63">
        <f>IF(NOT(AR491),IF(TRIM($H491)="","Assembly","Phantom Alt"),VLOOKUP(F491,ZPCS04!B:G,6,0))</f>
        <v>715</v>
      </c>
      <c r="AU491" s="7"/>
      <c r="AV491" s="38">
        <f ca="1">IF(TRIM($W491)="F",OFFSET($A$5,MATCH($AS491,$AS$5:$AS491,0)-1,0),$A491)</f>
        <v>489</v>
      </c>
      <c r="AW491" s="38">
        <f ca="1">IFERROR(OFFSET(ZPCS04!$A$1,MATCH(F491,ZPCS04!B:B,0)-1,0),100)</f>
        <v>2</v>
      </c>
      <c r="AX491" s="7"/>
      <c r="AY491" s="6" t="b">
        <f>SUMIF(AS:AS,AS491,AP:AP)=100</f>
        <v>1</v>
      </c>
      <c r="AZ491" s="6" t="b">
        <f>SUMIF(AS:AS,AS491,AE:AE)/COUNTIF(AS:AS,AS491)=AE491</f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>C491&amp;" | "&amp;F491</f>
        <v>90MB1BJ0-C1BAY0 | 10G213200213050</v>
      </c>
      <c r="BE491" s="55" t="str">
        <f ca="1">C491&amp;" | "&amp;OFFSET($AF491,0,8-COUNTBLANK($AG491:$AN491))</f>
        <v>90MB1BJ0-C1BAY0 | 59MB1BJB-MB0A02S</v>
      </c>
      <c r="BF491" s="57">
        <f ca="1">IFERROR(VLOOKUP($BE491,$BD$5:$BF490,3,0)*$AE491,VLOOKUP($C491,Demanda!$A:$B,2,0)*$AE491)*IF(AT491="Phantom Alt",$BC491,TRUE)</f>
        <v>2000</v>
      </c>
      <c r="BG491" s="57">
        <f ca="1">BF491*(AP491/100)</f>
        <v>0</v>
      </c>
      <c r="BH491" s="57">
        <f>SUMIF(Invoice!A:A,F491,Invoice!B:B)</f>
        <v>0</v>
      </c>
      <c r="BI491" s="57">
        <f ca="1">SUMIF(AS:AS,AS491,BG:BG)</f>
        <v>2000</v>
      </c>
      <c r="BJ491" s="57">
        <f ca="1">MIN((BI491-SUMIF($AS$5:AS490,AS491,$BJ$5:BJ490)),MAX(0,BH491-SUMIF($F$5:F490,F491,$BJ$5:BJ490)))</f>
        <v>0</v>
      </c>
      <c r="BK491" s="57">
        <f ca="1">(-SUMIF(AS:AS,AS491,BG:BG)+SUMIF(AS:AS,AS491,BJ:BJ))*(AP491=100)*AR491</f>
        <v>0</v>
      </c>
      <c r="BL491" s="57">
        <f ca="1">MAX(0,SUMIF(Invoice!A:A,F491,Invoice!B:B)-SUMIF(F:F,F491,BJ:BJ))*(COUNTIF(F:F,F491)=COUNTIF($F$5:F491,F491))</f>
        <v>0</v>
      </c>
    </row>
    <row r="492" spans="1:64" hidden="1">
      <c r="A492" s="43">
        <v>492</v>
      </c>
      <c r="B492" s="13" t="s">
        <v>147</v>
      </c>
      <c r="C492" s="13" t="s">
        <v>146</v>
      </c>
      <c r="D492" s="13">
        <v>2</v>
      </c>
      <c r="E492" s="13">
        <v>1740</v>
      </c>
      <c r="F492" s="71" t="s">
        <v>1201</v>
      </c>
      <c r="G492" s="71" t="s">
        <v>1202</v>
      </c>
      <c r="H492" s="13" t="s">
        <v>1203</v>
      </c>
      <c r="I492" s="13" t="s">
        <v>54</v>
      </c>
      <c r="J492" s="28">
        <v>100</v>
      </c>
      <c r="K492" s="13" t="s">
        <v>150</v>
      </c>
      <c r="L492" s="13" t="s">
        <v>53</v>
      </c>
      <c r="M492" s="13">
        <v>2</v>
      </c>
      <c r="N492" s="13">
        <v>2</v>
      </c>
      <c r="O492" s="13">
        <v>1</v>
      </c>
      <c r="P492" s="13">
        <v>2</v>
      </c>
      <c r="Q492" s="13">
        <v>1</v>
      </c>
      <c r="R492" s="13" t="s">
        <v>73</v>
      </c>
      <c r="S492" s="13" t="s">
        <v>73</v>
      </c>
      <c r="T492" s="13">
        <v>44901</v>
      </c>
      <c r="U492" s="13">
        <v>2958465</v>
      </c>
      <c r="V492" s="13" t="s">
        <v>282</v>
      </c>
      <c r="W492" s="13" t="s">
        <v>145</v>
      </c>
      <c r="Y492" s="13" t="s">
        <v>143</v>
      </c>
      <c r="Z492" s="13">
        <v>7589154</v>
      </c>
      <c r="AA492" s="13">
        <v>872</v>
      </c>
      <c r="AB492" s="13">
        <v>436</v>
      </c>
      <c r="AE492" s="51">
        <f>M492/O492</f>
        <v>2</v>
      </c>
      <c r="AG492" s="6" t="str">
        <f>C492</f>
        <v>90MB1BJ0-C1BAY0</v>
      </c>
      <c r="AH492" s="6" t="str">
        <f>IF($D492&lt;=AH$4,"",IF(AND($D491=AH$4,$D492&gt;AH$4),$F491,AH491))</f>
        <v>59MB1BJB-MB0A02S</v>
      </c>
      <c r="AI492" s="6" t="str">
        <f>IF($D492&lt;=AI$4,"",IF(AND($D491=AI$4,$D492&gt;AI$4),$F491,AI491))</f>
        <v/>
      </c>
      <c r="AJ492" s="6" t="str">
        <f>IF($D492&lt;=AJ$4,"",IF(AND($D491=AJ$4,$D492&gt;AJ$4),$F491,AJ491))</f>
        <v/>
      </c>
      <c r="AK492" s="6" t="str">
        <f>IF($D492&lt;=AK$4,"",IF(AND($D491=AK$4,$D492&gt;AK$4),$F491,AK491))</f>
        <v/>
      </c>
      <c r="AL492" s="6" t="str">
        <f>IF($D492&lt;=AL$4,"",IF(AND($D491=AL$4,$D492&gt;AL$4),$F491,AL491))</f>
        <v/>
      </c>
      <c r="AM492" s="6" t="str">
        <f>IF($D492&lt;=AM$4,"",IF(AND($D491=AM$4,$D492&gt;AM$4),$F491,AM491))</f>
        <v/>
      </c>
      <c r="AN492" s="6" t="str">
        <f>IF($D492&lt;=AN$4,"",IF(AND($D491=AN$4,$D492&gt;AN$4),$F491,AN491))</f>
        <v/>
      </c>
      <c r="AO492" s="6" t="str">
        <f>CONCATENATE(AG492," | ",AH492," | ",AI492," | ",AJ492," | ",AK492," | ",AL492," | ",AM492," | ",AN492)</f>
        <v xml:space="preserve">90MB1BJ0-C1BAY0 | 59MB1BJB-MB0A02S |  |  |  |  |  | </v>
      </c>
      <c r="AP492" s="6">
        <f>IF(TRIM(H492)="",100,J492)</f>
        <v>100</v>
      </c>
      <c r="AQ492" s="4"/>
      <c r="AR492" s="6" t="b">
        <f>NOT(TRIM(W492)&lt;&gt;"F")</f>
        <v>1</v>
      </c>
      <c r="AS492" s="6" t="str">
        <f>$B492&amp;" | "&amp;$AO492&amp;" | "&amp;IF(TRIM(H492)="","uniq"&amp;ROW(),TRIM(H492))</f>
        <v>461E | 90MB1BJ0-C1BAY0 | 59MB1BJB-MB0A02S |  |  |  |  |  |  | H4</v>
      </c>
      <c r="AT492" s="63">
        <f>IF(NOT(AR492),IF(TRIM($H492)="","Assembly","Phantom Alt"),VLOOKUP(F492,ZPCS04!B:G,6,0))</f>
        <v>716</v>
      </c>
      <c r="AU492" s="7"/>
      <c r="AV492" s="38">
        <f ca="1">IF(TRIM($W492)="F",OFFSET($A$5,MATCH($AS492,$AS$5:$AS492,0)-1,0),$A492)</f>
        <v>492</v>
      </c>
      <c r="AW492" s="38">
        <f ca="1">IFERROR(OFFSET(ZPCS04!$A$1,MATCH(F492,ZPCS04!B:B,0)-1,0),100)</f>
        <v>1.9999999499999999</v>
      </c>
      <c r="AX492" s="7"/>
      <c r="AY492" s="6" t="b">
        <f>SUMIF(AS:AS,AS492,AP:AP)=100</f>
        <v>1</v>
      </c>
      <c r="AZ492" s="6" t="b">
        <f>SUMIF(AS:AS,AS492,AE:AE)/COUNTIF(AS:AS,AS492)=AE492</f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>C492&amp;" | "&amp;F492</f>
        <v>90MB1BJ0-C1BAY0 | 10G213200313010</v>
      </c>
      <c r="BE492" s="55" t="str">
        <f ca="1">C492&amp;" | "&amp;OFFSET($AF492,0,8-COUNTBLANK($AG492:$AN492))</f>
        <v>90MB1BJ0-C1BAY0 | 59MB1BJB-MB0A02S</v>
      </c>
      <c r="BF492" s="57">
        <f ca="1">IFERROR(VLOOKUP($BE492,$BD$5:$BF491,3,0)*$AE492,VLOOKUP($C492,Demanda!$A:$B,2,0)*$AE492)*IF(AT492="Phantom Alt",$BC492,TRUE)</f>
        <v>2000</v>
      </c>
      <c r="BG492" s="57">
        <f ca="1">BF492*(AP492/100)</f>
        <v>2000</v>
      </c>
      <c r="BH492" s="57">
        <f>SUMIF(Invoice!A:A,F492,Invoice!B:B)</f>
        <v>5000</v>
      </c>
      <c r="BI492" s="57">
        <f ca="1">SUMIF(AS:AS,AS492,BG:BG)</f>
        <v>2000</v>
      </c>
      <c r="BJ492" s="57">
        <f ca="1">MIN((BI492-SUMIF($AS$5:AS491,AS492,$BJ$5:BJ491)),MAX(0,BH492-SUMIF($F$5:F491,F492,$BJ$5:BJ491)))</f>
        <v>2000</v>
      </c>
      <c r="BK492" s="57">
        <f ca="1">(-SUMIF(AS:AS,AS492,BG:BG)+SUMIF(AS:AS,AS492,BJ:BJ))*(AP492=100)*AR492</f>
        <v>0</v>
      </c>
      <c r="BL492" s="57">
        <f ca="1">MAX(0,SUMIF(Invoice!A:A,F492,Invoice!B:B)-SUMIF(F:F,F492,BJ:BJ))*(COUNTIF(F:F,F492)=COUNTIF($F$5:F492,F492))</f>
        <v>3000</v>
      </c>
    </row>
    <row r="493" spans="1:64" hidden="1">
      <c r="A493" s="43">
        <v>493</v>
      </c>
      <c r="B493" s="13" t="s">
        <v>147</v>
      </c>
      <c r="C493" s="13" t="s">
        <v>146</v>
      </c>
      <c r="D493" s="13">
        <v>2</v>
      </c>
      <c r="E493" s="13">
        <v>1740</v>
      </c>
      <c r="F493" s="71" t="s">
        <v>1204</v>
      </c>
      <c r="G493" s="71" t="s">
        <v>1202</v>
      </c>
      <c r="H493" s="13" t="s">
        <v>1203</v>
      </c>
      <c r="I493" s="13" t="s">
        <v>55</v>
      </c>
      <c r="J493" s="28">
        <v>0</v>
      </c>
      <c r="K493" s="13" t="s">
        <v>150</v>
      </c>
      <c r="L493" s="13" t="s">
        <v>53</v>
      </c>
      <c r="M493" s="13">
        <v>2</v>
      </c>
      <c r="O493" s="13">
        <v>1</v>
      </c>
      <c r="P493" s="13">
        <v>2</v>
      </c>
      <c r="Q493" s="13">
        <v>3</v>
      </c>
      <c r="R493" s="13" t="s">
        <v>73</v>
      </c>
      <c r="S493" s="13" t="s">
        <v>73</v>
      </c>
      <c r="T493" s="13">
        <v>44901</v>
      </c>
      <c r="U493" s="13">
        <v>2958465</v>
      </c>
      <c r="V493" s="13" t="s">
        <v>282</v>
      </c>
      <c r="W493" s="13" t="s">
        <v>145</v>
      </c>
      <c r="Y493" s="13" t="s">
        <v>143</v>
      </c>
      <c r="Z493" s="13">
        <v>7589154</v>
      </c>
      <c r="AA493" s="13">
        <v>876</v>
      </c>
      <c r="AB493" s="13">
        <v>438</v>
      </c>
      <c r="AE493" s="51">
        <f>M493/O493</f>
        <v>2</v>
      </c>
      <c r="AG493" s="6" t="str">
        <f>C493</f>
        <v>90MB1BJ0-C1BAY0</v>
      </c>
      <c r="AH493" s="6" t="str">
        <f>IF($D493&lt;=AH$4,"",IF(AND($D492=AH$4,$D493&gt;AH$4),$F492,AH492))</f>
        <v>59MB1BJB-MB0A02S</v>
      </c>
      <c r="AI493" s="6" t="str">
        <f>IF($D493&lt;=AI$4,"",IF(AND($D492=AI$4,$D493&gt;AI$4),$F492,AI492))</f>
        <v/>
      </c>
      <c r="AJ493" s="6" t="str">
        <f>IF($D493&lt;=AJ$4,"",IF(AND($D492=AJ$4,$D493&gt;AJ$4),$F492,AJ492))</f>
        <v/>
      </c>
      <c r="AK493" s="6" t="str">
        <f>IF($D493&lt;=AK$4,"",IF(AND($D492=AK$4,$D493&gt;AK$4),$F492,AK492))</f>
        <v/>
      </c>
      <c r="AL493" s="6" t="str">
        <f>IF($D493&lt;=AL$4,"",IF(AND($D492=AL$4,$D493&gt;AL$4),$F492,AL492))</f>
        <v/>
      </c>
      <c r="AM493" s="6" t="str">
        <f>IF($D493&lt;=AM$4,"",IF(AND($D492=AM$4,$D493&gt;AM$4),$F492,AM492))</f>
        <v/>
      </c>
      <c r="AN493" s="6" t="str">
        <f>IF($D493&lt;=AN$4,"",IF(AND($D492=AN$4,$D493&gt;AN$4),$F492,AN492))</f>
        <v/>
      </c>
      <c r="AO493" s="6" t="str">
        <f>CONCATENATE(AG493," | ",AH493," | ",AI493," | ",AJ493," | ",AK493," | ",AL493," | ",AM493," | ",AN493)</f>
        <v xml:space="preserve">90MB1BJ0-C1BAY0 | 59MB1BJB-MB0A02S |  |  |  |  |  | </v>
      </c>
      <c r="AP493" s="6">
        <f>IF(TRIM(H493)="",100,J493)</f>
        <v>0</v>
      </c>
      <c r="AQ493" s="4"/>
      <c r="AR493" s="6" t="b">
        <f>NOT(TRIM(W493)&lt;&gt;"F")</f>
        <v>1</v>
      </c>
      <c r="AS493" s="6" t="str">
        <f>$B493&amp;" | "&amp;$AO493&amp;" | "&amp;IF(TRIM(H493)="","uniq"&amp;ROW(),TRIM(H493))</f>
        <v>461E | 90MB1BJ0-C1BAY0 | 59MB1BJB-MB0A02S |  |  |  |  |  |  | H4</v>
      </c>
      <c r="AT493" s="63">
        <f>IF(NOT(AR493),IF(TRIM($H493)="","Assembly","Phantom Alt"),VLOOKUP(F493,ZPCS04!B:G,6,0))</f>
        <v>716</v>
      </c>
      <c r="AU493" s="7"/>
      <c r="AV493" s="38">
        <f ca="1">IF(TRIM($W493)="F",OFFSET($A$5,MATCH($AS493,$AS$5:$AS493,0)-1,0),$A493)</f>
        <v>492</v>
      </c>
      <c r="AW493" s="38">
        <f ca="1">IFERROR(OFFSET(ZPCS04!$A$1,MATCH(F493,ZPCS04!B:B,0)-1,0),100)</f>
        <v>2</v>
      </c>
      <c r="AX493" s="7"/>
      <c r="AY493" s="6" t="b">
        <f>SUMIF(AS:AS,AS493,AP:AP)=100</f>
        <v>1</v>
      </c>
      <c r="AZ493" s="6" t="b">
        <f>SUMIF(AS:AS,AS493,AE:AE)/COUNTIF(AS:AS,AS493)=AE493</f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>C493&amp;" | "&amp;F493</f>
        <v>90MB1BJ0-C1BAY0 | 10G213200313020</v>
      </c>
      <c r="BE493" s="55" t="str">
        <f ca="1">C493&amp;" | "&amp;OFFSET($AF493,0,8-COUNTBLANK($AG493:$AN493))</f>
        <v>90MB1BJ0-C1BAY0 | 59MB1BJB-MB0A02S</v>
      </c>
      <c r="BF493" s="57">
        <f ca="1">IFERROR(VLOOKUP($BE493,$BD$5:$BF492,3,0)*$AE493,VLOOKUP($C493,Demanda!$A:$B,2,0)*$AE493)*IF(AT493="Phantom Alt",$BC493,TRUE)</f>
        <v>2000</v>
      </c>
      <c r="BG493" s="57">
        <f ca="1">BF493*(AP493/100)</f>
        <v>0</v>
      </c>
      <c r="BH493" s="57">
        <f>SUMIF(Invoice!A:A,F493,Invoice!B:B)</f>
        <v>0</v>
      </c>
      <c r="BI493" s="57">
        <f ca="1">SUMIF(AS:AS,AS493,BG:BG)</f>
        <v>2000</v>
      </c>
      <c r="BJ493" s="57">
        <f ca="1">MIN((BI493-SUMIF($AS$5:AS492,AS493,$BJ$5:BJ492)),MAX(0,BH493-SUMIF($F$5:F492,F493,$BJ$5:BJ492)))</f>
        <v>0</v>
      </c>
      <c r="BK493" s="57">
        <f ca="1">(-SUMIF(AS:AS,AS493,BG:BG)+SUMIF(AS:AS,AS493,BJ:BJ))*(AP493=100)*AR493</f>
        <v>0</v>
      </c>
      <c r="BL493" s="57">
        <f ca="1">MAX(0,SUMIF(Invoice!A:A,F493,Invoice!B:B)-SUMIF(F:F,F493,BJ:BJ))*(COUNTIF(F:F,F493)=COUNTIF($F$5:F493,F493))</f>
        <v>0</v>
      </c>
    </row>
    <row r="494" spans="1:64" hidden="1">
      <c r="A494" s="43">
        <v>494</v>
      </c>
      <c r="B494" s="13" t="s">
        <v>147</v>
      </c>
      <c r="C494" s="13" t="s">
        <v>146</v>
      </c>
      <c r="D494" s="13">
        <v>2</v>
      </c>
      <c r="E494" s="13">
        <v>1740</v>
      </c>
      <c r="F494" s="71" t="s">
        <v>1205</v>
      </c>
      <c r="G494" s="71" t="s">
        <v>1206</v>
      </c>
      <c r="H494" s="13" t="s">
        <v>1203</v>
      </c>
      <c r="I494" s="13" t="s">
        <v>55</v>
      </c>
      <c r="J494" s="28">
        <v>0</v>
      </c>
      <c r="K494" s="13" t="s">
        <v>150</v>
      </c>
      <c r="L494" s="13" t="s">
        <v>53</v>
      </c>
      <c r="M494" s="13">
        <v>2</v>
      </c>
      <c r="O494" s="13">
        <v>1</v>
      </c>
      <c r="P494" s="13">
        <v>2</v>
      </c>
      <c r="Q494" s="13">
        <v>2</v>
      </c>
      <c r="R494" s="13" t="s">
        <v>73</v>
      </c>
      <c r="S494" s="13" t="s">
        <v>73</v>
      </c>
      <c r="T494" s="13">
        <v>44901</v>
      </c>
      <c r="U494" s="13">
        <v>2958465</v>
      </c>
      <c r="V494" s="13" t="s">
        <v>282</v>
      </c>
      <c r="W494" s="13" t="s">
        <v>145</v>
      </c>
      <c r="Y494" s="13" t="s">
        <v>143</v>
      </c>
      <c r="Z494" s="13">
        <v>7589154</v>
      </c>
      <c r="AA494" s="13">
        <v>874</v>
      </c>
      <c r="AB494" s="13">
        <v>437</v>
      </c>
      <c r="AE494" s="51">
        <f>M494/O494</f>
        <v>2</v>
      </c>
      <c r="AG494" s="6" t="str">
        <f>C494</f>
        <v>90MB1BJ0-C1BAY0</v>
      </c>
      <c r="AH494" s="6" t="str">
        <f>IF($D494&lt;=AH$4,"",IF(AND($D493=AH$4,$D494&gt;AH$4),$F493,AH493))</f>
        <v>59MB1BJB-MB0A02S</v>
      </c>
      <c r="AI494" s="6" t="str">
        <f>IF($D494&lt;=AI$4,"",IF(AND($D493=AI$4,$D494&gt;AI$4),$F493,AI493))</f>
        <v/>
      </c>
      <c r="AJ494" s="6" t="str">
        <f>IF($D494&lt;=AJ$4,"",IF(AND($D493=AJ$4,$D494&gt;AJ$4),$F493,AJ493))</f>
        <v/>
      </c>
      <c r="AK494" s="6" t="str">
        <f>IF($D494&lt;=AK$4,"",IF(AND($D493=AK$4,$D494&gt;AK$4),$F493,AK493))</f>
        <v/>
      </c>
      <c r="AL494" s="6" t="str">
        <f>IF($D494&lt;=AL$4,"",IF(AND($D493=AL$4,$D494&gt;AL$4),$F493,AL493))</f>
        <v/>
      </c>
      <c r="AM494" s="6" t="str">
        <f>IF($D494&lt;=AM$4,"",IF(AND($D493=AM$4,$D494&gt;AM$4),$F493,AM493))</f>
        <v/>
      </c>
      <c r="AN494" s="6" t="str">
        <f>IF($D494&lt;=AN$4,"",IF(AND($D493=AN$4,$D494&gt;AN$4),$F493,AN493))</f>
        <v/>
      </c>
      <c r="AO494" s="6" t="str">
        <f>CONCATENATE(AG494," | ",AH494," | ",AI494," | ",AJ494," | ",AK494," | ",AL494," | ",AM494," | ",AN494)</f>
        <v xml:space="preserve">90MB1BJ0-C1BAY0 | 59MB1BJB-MB0A02S |  |  |  |  |  | </v>
      </c>
      <c r="AP494" s="6">
        <f>IF(TRIM(H494)="",100,J494)</f>
        <v>0</v>
      </c>
      <c r="AQ494" s="4"/>
      <c r="AR494" s="6" t="b">
        <f>NOT(TRIM(W494)&lt;&gt;"F")</f>
        <v>1</v>
      </c>
      <c r="AS494" s="6" t="str">
        <f>$B494&amp;" | "&amp;$AO494&amp;" | "&amp;IF(TRIM(H494)="","uniq"&amp;ROW(),TRIM(H494))</f>
        <v>461E | 90MB1BJ0-C1BAY0 | 59MB1BJB-MB0A02S |  |  |  |  |  |  | H4</v>
      </c>
      <c r="AT494" s="63">
        <f>IF(NOT(AR494),IF(TRIM($H494)="","Assembly","Phantom Alt"),VLOOKUP(F494,ZPCS04!B:G,6,0))</f>
        <v>716</v>
      </c>
      <c r="AU494" s="7"/>
      <c r="AV494" s="38">
        <f ca="1">IF(TRIM($W494)="F",OFFSET($A$5,MATCH($AS494,$AS$5:$AS494,0)-1,0),$A494)</f>
        <v>492</v>
      </c>
      <c r="AW494" s="38">
        <f ca="1">IFERROR(OFFSET(ZPCS04!$A$1,MATCH(F494,ZPCS04!B:B,0)-1,0),100)</f>
        <v>2</v>
      </c>
      <c r="AX494" s="7"/>
      <c r="AY494" s="6" t="b">
        <f>SUMIF(AS:AS,AS494,AP:AP)=100</f>
        <v>1</v>
      </c>
      <c r="AZ494" s="6" t="b">
        <f>SUMIF(AS:AS,AS494,AE:AE)/COUNTIF(AS:AS,AS494)=AE494</f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>C494&amp;" | "&amp;F494</f>
        <v>90MB1BJ0-C1BAY0 | 10G213200313050</v>
      </c>
      <c r="BE494" s="55" t="str">
        <f ca="1">C494&amp;" | "&amp;OFFSET($AF494,0,8-COUNTBLANK($AG494:$AN494))</f>
        <v>90MB1BJ0-C1BAY0 | 59MB1BJB-MB0A02S</v>
      </c>
      <c r="BF494" s="57">
        <f ca="1">IFERROR(VLOOKUP($BE494,$BD$5:$BF493,3,0)*$AE494,VLOOKUP($C494,Demanda!$A:$B,2,0)*$AE494)*IF(AT494="Phantom Alt",$BC494,TRUE)</f>
        <v>2000</v>
      </c>
      <c r="BG494" s="57">
        <f ca="1">BF494*(AP494/100)</f>
        <v>0</v>
      </c>
      <c r="BH494" s="57">
        <f>SUMIF(Invoice!A:A,F494,Invoice!B:B)</f>
        <v>0</v>
      </c>
      <c r="BI494" s="57">
        <f ca="1">SUMIF(AS:AS,AS494,BG:BG)</f>
        <v>2000</v>
      </c>
      <c r="BJ494" s="57">
        <f ca="1">MIN((BI494-SUMIF($AS$5:AS493,AS494,$BJ$5:BJ493)),MAX(0,BH494-SUMIF($F$5:F493,F494,$BJ$5:BJ493)))</f>
        <v>0</v>
      </c>
      <c r="BK494" s="57">
        <f ca="1">(-SUMIF(AS:AS,AS494,BG:BG)+SUMIF(AS:AS,AS494,BJ:BJ))*(AP494=100)*AR494</f>
        <v>0</v>
      </c>
      <c r="BL494" s="57">
        <f ca="1">MAX(0,SUMIF(Invoice!A:A,F494,Invoice!B:B)-SUMIF(F:F,F494,BJ:BJ))*(COUNTIF(F:F,F494)=COUNTIF($F$5:F494,F494))</f>
        <v>0</v>
      </c>
    </row>
    <row r="495" spans="1:64" hidden="1">
      <c r="A495" s="43">
        <v>496</v>
      </c>
      <c r="B495" s="13" t="s">
        <v>147</v>
      </c>
      <c r="C495" s="13" t="s">
        <v>146</v>
      </c>
      <c r="D495" s="13">
        <v>2</v>
      </c>
      <c r="E495" s="13">
        <v>1750</v>
      </c>
      <c r="F495" s="71" t="s">
        <v>1210</v>
      </c>
      <c r="G495" s="71" t="s">
        <v>1211</v>
      </c>
      <c r="H495" s="13" t="s">
        <v>1209</v>
      </c>
      <c r="I495" s="13" t="s">
        <v>54</v>
      </c>
      <c r="J495" s="28">
        <v>100</v>
      </c>
      <c r="K495" s="13" t="s">
        <v>150</v>
      </c>
      <c r="L495" s="13" t="s">
        <v>53</v>
      </c>
      <c r="M495" s="13">
        <v>1</v>
      </c>
      <c r="N495" s="13">
        <v>1</v>
      </c>
      <c r="O495" s="13">
        <v>1</v>
      </c>
      <c r="P495" s="13">
        <v>2</v>
      </c>
      <c r="Q495" s="13">
        <v>1</v>
      </c>
      <c r="R495" s="13" t="s">
        <v>73</v>
      </c>
      <c r="S495" s="13" t="s">
        <v>73</v>
      </c>
      <c r="T495" s="13">
        <v>44901</v>
      </c>
      <c r="U495" s="13">
        <v>2958465</v>
      </c>
      <c r="V495" s="13" t="s">
        <v>282</v>
      </c>
      <c r="W495" s="13" t="s">
        <v>145</v>
      </c>
      <c r="Y495" s="13" t="s">
        <v>143</v>
      </c>
      <c r="Z495" s="13">
        <v>7589154</v>
      </c>
      <c r="AA495" s="13">
        <v>878</v>
      </c>
      <c r="AB495" s="13">
        <v>439</v>
      </c>
      <c r="AE495" s="51">
        <f>M495/O495</f>
        <v>1</v>
      </c>
      <c r="AG495" s="6" t="str">
        <f>C495</f>
        <v>90MB1BJ0-C1BAY0</v>
      </c>
      <c r="AH495" s="6" t="str">
        <f>IF($D495&lt;=AH$4,"",IF(AND($D494=AH$4,$D495&gt;AH$4),$F494,AH494))</f>
        <v>59MB1BJB-MB0A02S</v>
      </c>
      <c r="AI495" s="6" t="str">
        <f>IF($D495&lt;=AI$4,"",IF(AND($D494=AI$4,$D495&gt;AI$4),$F494,AI494))</f>
        <v/>
      </c>
      <c r="AJ495" s="6" t="str">
        <f>IF($D495&lt;=AJ$4,"",IF(AND($D494=AJ$4,$D495&gt;AJ$4),$F494,AJ494))</f>
        <v/>
      </c>
      <c r="AK495" s="6" t="str">
        <f>IF($D495&lt;=AK$4,"",IF(AND($D494=AK$4,$D495&gt;AK$4),$F494,AK494))</f>
        <v/>
      </c>
      <c r="AL495" s="6" t="str">
        <f>IF($D495&lt;=AL$4,"",IF(AND($D494=AL$4,$D495&gt;AL$4),$F494,AL494))</f>
        <v/>
      </c>
      <c r="AM495" s="6" t="str">
        <f>IF($D495&lt;=AM$4,"",IF(AND($D494=AM$4,$D495&gt;AM$4),$F494,AM494))</f>
        <v/>
      </c>
      <c r="AN495" s="6" t="str">
        <f>IF($D495&lt;=AN$4,"",IF(AND($D494=AN$4,$D495&gt;AN$4),$F494,AN494))</f>
        <v/>
      </c>
      <c r="AO495" s="6" t="str">
        <f>CONCATENATE(AG495," | ",AH495," | ",AI495," | ",AJ495," | ",AK495," | ",AL495," | ",AM495," | ",AN495)</f>
        <v xml:space="preserve">90MB1BJ0-C1BAY0 | 59MB1BJB-MB0A02S |  |  |  |  |  | </v>
      </c>
      <c r="AP495" s="6">
        <f>IF(TRIM(H495)="",100,J495)</f>
        <v>100</v>
      </c>
      <c r="AQ495" s="4"/>
      <c r="AR495" s="6" t="b">
        <f>NOT(TRIM(W495)&lt;&gt;"F")</f>
        <v>1</v>
      </c>
      <c r="AS495" s="6" t="str">
        <f>$B495&amp;" | "&amp;$AO495&amp;" | "&amp;IF(TRIM(H495)="","uniq"&amp;ROW(),TRIM(H495))</f>
        <v>461E | 90MB1BJ0-C1BAY0 | 59MB1BJB-MB0A02S |  |  |  |  |  |  | H5</v>
      </c>
      <c r="AT495" s="63">
        <f>IF(NOT(AR495),IF(TRIM($H495)="","Assembly","Phantom Alt"),VLOOKUP(F495,ZPCS04!B:G,6,0))</f>
        <v>978</v>
      </c>
      <c r="AU495" s="7"/>
      <c r="AV495" s="38">
        <f ca="1">IF(TRIM($W495)="F",OFFSET($A$5,MATCH($AS495,$AS$5:$AS495,0)-1,0),$A495)</f>
        <v>496</v>
      </c>
      <c r="AW495" s="38">
        <f ca="1">IFERROR(OFFSET(ZPCS04!$A$1,MATCH(F495,ZPCS04!B:B,0)-1,0),100)</f>
        <v>1.9999999499999999</v>
      </c>
      <c r="AX495" s="7"/>
      <c r="AY495" s="6" t="b">
        <f>SUMIF(AS:AS,AS495,AP:AP)=100</f>
        <v>1</v>
      </c>
      <c r="AZ495" s="6" t="b">
        <f>SUMIF(AS:AS,AS495,AE:AE)/COUNTIF(AS:AS,AS495)=AE495</f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>C495&amp;" | "&amp;F495</f>
        <v>90MB1BJ0-C1BAY0 | 10G213200413020</v>
      </c>
      <c r="BE495" s="55" t="str">
        <f ca="1">C495&amp;" | "&amp;OFFSET($AF495,0,8-COUNTBLANK($AG495:$AN495))</f>
        <v>90MB1BJ0-C1BAY0 | 59MB1BJB-MB0A02S</v>
      </c>
      <c r="BF495" s="57">
        <f ca="1">IFERROR(VLOOKUP($BE495,$BD$5:$BF494,3,0)*$AE495,VLOOKUP($C495,Demanda!$A:$B,2,0)*$AE495)*IF(AT495="Phantom Alt",$BC495,TRUE)</f>
        <v>1000</v>
      </c>
      <c r="BG495" s="57">
        <f ca="1">BF495*(AP495/100)</f>
        <v>1000</v>
      </c>
      <c r="BH495" s="57">
        <f>SUMIF(Invoice!A:A,F495,Invoice!B:B)</f>
        <v>5000</v>
      </c>
      <c r="BI495" s="57">
        <f ca="1">SUMIF(AS:AS,AS495,BG:BG)</f>
        <v>1000</v>
      </c>
      <c r="BJ495" s="57">
        <f ca="1">MIN((BI495-SUMIF($AS$5:AS494,AS495,$BJ$5:BJ494)),MAX(0,BH495-SUMIF($F$5:F494,F495,$BJ$5:BJ494)))</f>
        <v>1000</v>
      </c>
      <c r="BK495" s="57">
        <f ca="1">(-SUMIF(AS:AS,AS495,BG:BG)+SUMIF(AS:AS,AS495,BJ:BJ))*(AP495=100)*AR495</f>
        <v>0</v>
      </c>
      <c r="BL495" s="57">
        <f ca="1">MAX(0,SUMIF(Invoice!A:A,F495,Invoice!B:B)-SUMIF(F:F,F495,BJ:BJ))*(COUNTIF(F:F,F495)=COUNTIF($F$5:F495,F495))</f>
        <v>4000</v>
      </c>
    </row>
    <row r="496" spans="1:64" hidden="1">
      <c r="A496" s="43">
        <v>495</v>
      </c>
      <c r="B496" s="13" t="s">
        <v>147</v>
      </c>
      <c r="C496" s="13" t="s">
        <v>146</v>
      </c>
      <c r="D496" s="13">
        <v>2</v>
      </c>
      <c r="E496" s="13">
        <v>1750</v>
      </c>
      <c r="F496" s="71" t="s">
        <v>1207</v>
      </c>
      <c r="G496" s="71" t="s">
        <v>1208</v>
      </c>
      <c r="H496" s="13" t="s">
        <v>1209</v>
      </c>
      <c r="I496" s="13" t="s">
        <v>55</v>
      </c>
      <c r="J496" s="28">
        <v>0</v>
      </c>
      <c r="K496" s="13" t="s">
        <v>150</v>
      </c>
      <c r="L496" s="13" t="s">
        <v>53</v>
      </c>
      <c r="M496" s="13">
        <v>1</v>
      </c>
      <c r="O496" s="13">
        <v>1</v>
      </c>
      <c r="P496" s="13">
        <v>2</v>
      </c>
      <c r="Q496" s="13">
        <v>2</v>
      </c>
      <c r="R496" s="13" t="s">
        <v>73</v>
      </c>
      <c r="S496" s="13" t="s">
        <v>73</v>
      </c>
      <c r="T496" s="13">
        <v>44901</v>
      </c>
      <c r="U496" s="13">
        <v>2958465</v>
      </c>
      <c r="V496" s="13" t="s">
        <v>282</v>
      </c>
      <c r="W496" s="13" t="s">
        <v>145</v>
      </c>
      <c r="Y496" s="13" t="s">
        <v>143</v>
      </c>
      <c r="Z496" s="13">
        <v>7589154</v>
      </c>
      <c r="AA496" s="13">
        <v>880</v>
      </c>
      <c r="AB496" s="13">
        <v>440</v>
      </c>
      <c r="AE496" s="51">
        <f>M496/O496</f>
        <v>1</v>
      </c>
      <c r="AG496" s="6" t="str">
        <f>C496</f>
        <v>90MB1BJ0-C1BAY0</v>
      </c>
      <c r="AH496" s="6" t="str">
        <f>IF($D496&lt;=AH$4,"",IF(AND($D495=AH$4,$D496&gt;AH$4),$F495,AH495))</f>
        <v>59MB1BJB-MB0A02S</v>
      </c>
      <c r="AI496" s="6" t="str">
        <f>IF($D496&lt;=AI$4,"",IF(AND($D495=AI$4,$D496&gt;AI$4),$F495,AI495))</f>
        <v/>
      </c>
      <c r="AJ496" s="6" t="str">
        <f>IF($D496&lt;=AJ$4,"",IF(AND($D495=AJ$4,$D496&gt;AJ$4),$F495,AJ495))</f>
        <v/>
      </c>
      <c r="AK496" s="6" t="str">
        <f>IF($D496&lt;=AK$4,"",IF(AND($D495=AK$4,$D496&gt;AK$4),$F495,AK495))</f>
        <v/>
      </c>
      <c r="AL496" s="6" t="str">
        <f>IF($D496&lt;=AL$4,"",IF(AND($D495=AL$4,$D496&gt;AL$4),$F495,AL495))</f>
        <v/>
      </c>
      <c r="AM496" s="6" t="str">
        <f>IF($D496&lt;=AM$4,"",IF(AND($D495=AM$4,$D496&gt;AM$4),$F495,AM495))</f>
        <v/>
      </c>
      <c r="AN496" s="6" t="str">
        <f>IF($D496&lt;=AN$4,"",IF(AND($D495=AN$4,$D496&gt;AN$4),$F495,AN495))</f>
        <v/>
      </c>
      <c r="AO496" s="6" t="str">
        <f>CONCATENATE(AG496," | ",AH496," | ",AI496," | ",AJ496," | ",AK496," | ",AL496," | ",AM496," | ",AN496)</f>
        <v xml:space="preserve">90MB1BJ0-C1BAY0 | 59MB1BJB-MB0A02S |  |  |  |  |  | </v>
      </c>
      <c r="AP496" s="6">
        <f>IF(TRIM(H496)="",100,J496)</f>
        <v>0</v>
      </c>
      <c r="AQ496" s="4"/>
      <c r="AR496" s="6" t="b">
        <f>NOT(TRIM(W496)&lt;&gt;"F")</f>
        <v>1</v>
      </c>
      <c r="AS496" s="6" t="str">
        <f>$B496&amp;" | "&amp;$AO496&amp;" | "&amp;IF(TRIM(H496)="","uniq"&amp;ROW(),TRIM(H496))</f>
        <v>461E | 90MB1BJ0-C1BAY0 | 59MB1BJB-MB0A02S |  |  |  |  |  |  | H5</v>
      </c>
      <c r="AT496" s="63">
        <f>IF(NOT(AR496),IF(TRIM($H496)="","Assembly","Phantom Alt"),VLOOKUP(F496,ZPCS04!B:G,6,0))</f>
        <v>978</v>
      </c>
      <c r="AU496" s="7"/>
      <c r="AV496" s="38">
        <f ca="1">IF(TRIM($W496)="F",OFFSET($A$5,MATCH($AS496,$AS$5:$AS496,0)-1,0),$A496)</f>
        <v>496</v>
      </c>
      <c r="AW496" s="38">
        <f ca="1">IFERROR(OFFSET(ZPCS04!$A$1,MATCH(F496,ZPCS04!B:B,0)-1,0),100)</f>
        <v>2</v>
      </c>
      <c r="AX496" s="7"/>
      <c r="AY496" s="6" t="b">
        <f>SUMIF(AS:AS,AS496,AP:AP)=100</f>
        <v>1</v>
      </c>
      <c r="AZ496" s="6" t="b">
        <f>SUMIF(AS:AS,AS496,AE:AE)/COUNTIF(AS:AS,AS496)=AE496</f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>C496&amp;" | "&amp;F496</f>
        <v>90MB1BJ0-C1BAY0 | 10G213200413010</v>
      </c>
      <c r="BE496" s="55" t="str">
        <f ca="1">C496&amp;" | "&amp;OFFSET($AF496,0,8-COUNTBLANK($AG496:$AN496))</f>
        <v>90MB1BJ0-C1BAY0 | 59MB1BJB-MB0A02S</v>
      </c>
      <c r="BF496" s="57">
        <f ca="1">IFERROR(VLOOKUP($BE496,$BD$5:$BF495,3,0)*$AE496,VLOOKUP($C496,Demanda!$A:$B,2,0)*$AE496)*IF(AT496="Phantom Alt",$BC496,TRUE)</f>
        <v>1000</v>
      </c>
      <c r="BG496" s="57">
        <f ca="1">BF496*(AP496/100)</f>
        <v>0</v>
      </c>
      <c r="BH496" s="57">
        <f>SUMIF(Invoice!A:A,F496,Invoice!B:B)</f>
        <v>0</v>
      </c>
      <c r="BI496" s="57">
        <f ca="1">SUMIF(AS:AS,AS496,BG:BG)</f>
        <v>1000</v>
      </c>
      <c r="BJ496" s="57">
        <f ca="1">MIN((BI496-SUMIF($AS$5:AS495,AS496,$BJ$5:BJ495)),MAX(0,BH496-SUMIF($F$5:F495,F496,$BJ$5:BJ495)))</f>
        <v>0</v>
      </c>
      <c r="BK496" s="57">
        <f ca="1">(-SUMIF(AS:AS,AS496,BG:BG)+SUMIF(AS:AS,AS496,BJ:BJ))*(AP496=100)*AR496</f>
        <v>0</v>
      </c>
      <c r="BL496" s="57">
        <f ca="1">MAX(0,SUMIF(Invoice!A:A,F496,Invoice!B:B)-SUMIF(F:F,F496,BJ:BJ))*(COUNTIF(F:F,F496)=COUNTIF($F$5:F496,F496))</f>
        <v>0</v>
      </c>
    </row>
    <row r="497" spans="1:64" hidden="1">
      <c r="A497" s="43">
        <v>497</v>
      </c>
      <c r="B497" s="13" t="s">
        <v>147</v>
      </c>
      <c r="C497" s="13" t="s">
        <v>146</v>
      </c>
      <c r="D497" s="13">
        <v>2</v>
      </c>
      <c r="E497" s="13">
        <v>1750</v>
      </c>
      <c r="F497" s="71" t="s">
        <v>1212</v>
      </c>
      <c r="G497" s="71" t="s">
        <v>1213</v>
      </c>
      <c r="H497" s="13" t="s">
        <v>1209</v>
      </c>
      <c r="I497" s="13" t="s">
        <v>55</v>
      </c>
      <c r="J497" s="28">
        <v>0</v>
      </c>
      <c r="K497" s="13" t="s">
        <v>150</v>
      </c>
      <c r="L497" s="13" t="s">
        <v>53</v>
      </c>
      <c r="M497" s="13">
        <v>1</v>
      </c>
      <c r="O497" s="13">
        <v>1</v>
      </c>
      <c r="P497" s="13">
        <v>2</v>
      </c>
      <c r="Q497" s="13">
        <v>3</v>
      </c>
      <c r="R497" s="13" t="s">
        <v>73</v>
      </c>
      <c r="S497" s="13" t="s">
        <v>73</v>
      </c>
      <c r="T497" s="13">
        <v>44901</v>
      </c>
      <c r="U497" s="13">
        <v>2958465</v>
      </c>
      <c r="V497" s="13" t="s">
        <v>282</v>
      </c>
      <c r="W497" s="13" t="s">
        <v>145</v>
      </c>
      <c r="Y497" s="13" t="s">
        <v>143</v>
      </c>
      <c r="Z497" s="13">
        <v>7589154</v>
      </c>
      <c r="AA497" s="13">
        <v>882</v>
      </c>
      <c r="AB497" s="13">
        <v>441</v>
      </c>
      <c r="AE497" s="51">
        <f>M497/O497</f>
        <v>1</v>
      </c>
      <c r="AG497" s="6" t="str">
        <f>C497</f>
        <v>90MB1BJ0-C1BAY0</v>
      </c>
      <c r="AH497" s="6" t="str">
        <f>IF($D497&lt;=AH$4,"",IF(AND($D496=AH$4,$D497&gt;AH$4),$F496,AH496))</f>
        <v>59MB1BJB-MB0A02S</v>
      </c>
      <c r="AI497" s="6" t="str">
        <f>IF($D497&lt;=AI$4,"",IF(AND($D496=AI$4,$D497&gt;AI$4),$F496,AI496))</f>
        <v/>
      </c>
      <c r="AJ497" s="6" t="str">
        <f>IF($D497&lt;=AJ$4,"",IF(AND($D496=AJ$4,$D497&gt;AJ$4),$F496,AJ496))</f>
        <v/>
      </c>
      <c r="AK497" s="6" t="str">
        <f>IF($D497&lt;=AK$4,"",IF(AND($D496=AK$4,$D497&gt;AK$4),$F496,AK496))</f>
        <v/>
      </c>
      <c r="AL497" s="6" t="str">
        <f>IF($D497&lt;=AL$4,"",IF(AND($D496=AL$4,$D497&gt;AL$4),$F496,AL496))</f>
        <v/>
      </c>
      <c r="AM497" s="6" t="str">
        <f>IF($D497&lt;=AM$4,"",IF(AND($D496=AM$4,$D497&gt;AM$4),$F496,AM496))</f>
        <v/>
      </c>
      <c r="AN497" s="6" t="str">
        <f>IF($D497&lt;=AN$4,"",IF(AND($D496=AN$4,$D497&gt;AN$4),$F496,AN496))</f>
        <v/>
      </c>
      <c r="AO497" s="6" t="str">
        <f>CONCATENATE(AG497," | ",AH497," | ",AI497," | ",AJ497," | ",AK497," | ",AL497," | ",AM497," | ",AN497)</f>
        <v xml:space="preserve">90MB1BJ0-C1BAY0 | 59MB1BJB-MB0A02S |  |  |  |  |  | </v>
      </c>
      <c r="AP497" s="6">
        <f>IF(TRIM(H497)="",100,J497)</f>
        <v>0</v>
      </c>
      <c r="AQ497" s="4"/>
      <c r="AR497" s="6" t="b">
        <f>NOT(TRIM(W497)&lt;&gt;"F")</f>
        <v>1</v>
      </c>
      <c r="AS497" s="6" t="str">
        <f>$B497&amp;" | "&amp;$AO497&amp;" | "&amp;IF(TRIM(H497)="","uniq"&amp;ROW(),TRIM(H497))</f>
        <v>461E | 90MB1BJ0-C1BAY0 | 59MB1BJB-MB0A02S |  |  |  |  |  |  | H5</v>
      </c>
      <c r="AT497" s="63">
        <f>IF(NOT(AR497),IF(TRIM($H497)="","Assembly","Phantom Alt"),VLOOKUP(F497,ZPCS04!B:G,6,0))</f>
        <v>978</v>
      </c>
      <c r="AU497" s="7"/>
      <c r="AV497" s="38">
        <f ca="1">IF(TRIM($W497)="F",OFFSET($A$5,MATCH($AS497,$AS$5:$AS497,0)-1,0),$A497)</f>
        <v>496</v>
      </c>
      <c r="AW497" s="38">
        <f ca="1">IFERROR(OFFSET(ZPCS04!$A$1,MATCH(F497,ZPCS04!B:B,0)-1,0),100)</f>
        <v>2</v>
      </c>
      <c r="AX497" s="7"/>
      <c r="AY497" s="6" t="b">
        <f>SUMIF(AS:AS,AS497,AP:AP)=100</f>
        <v>1</v>
      </c>
      <c r="AZ497" s="6" t="b">
        <f>SUMIF(AS:AS,AS497,AE:AE)/COUNTIF(AS:AS,AS497)=AE497</f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>C497&amp;" | "&amp;F497</f>
        <v>90MB1BJ0-C1BAY0 | 10G213200413050</v>
      </c>
      <c r="BE497" s="55" t="str">
        <f ca="1">C497&amp;" | "&amp;OFFSET($AF497,0,8-COUNTBLANK($AG497:$AN497))</f>
        <v>90MB1BJ0-C1BAY0 | 59MB1BJB-MB0A02S</v>
      </c>
      <c r="BF497" s="57">
        <f ca="1">IFERROR(VLOOKUP($BE497,$BD$5:$BF496,3,0)*$AE497,VLOOKUP($C497,Demanda!$A:$B,2,0)*$AE497)*IF(AT497="Phantom Alt",$BC497,TRUE)</f>
        <v>1000</v>
      </c>
      <c r="BG497" s="57">
        <f ca="1">BF497*(AP497/100)</f>
        <v>0</v>
      </c>
      <c r="BH497" s="57">
        <f>SUMIF(Invoice!A:A,F497,Invoice!B:B)</f>
        <v>0</v>
      </c>
      <c r="BI497" s="57">
        <f ca="1">SUMIF(AS:AS,AS497,BG:BG)</f>
        <v>1000</v>
      </c>
      <c r="BJ497" s="57">
        <f ca="1">MIN((BI497-SUMIF($AS$5:AS496,AS497,$BJ$5:BJ496)),MAX(0,BH497-SUMIF($F$5:F496,F497,$BJ$5:BJ496)))</f>
        <v>0</v>
      </c>
      <c r="BK497" s="57">
        <f ca="1">(-SUMIF(AS:AS,AS497,BG:BG)+SUMIF(AS:AS,AS497,BJ:BJ))*(AP497=100)*AR497</f>
        <v>0</v>
      </c>
      <c r="BL497" s="57">
        <f ca="1">MAX(0,SUMIF(Invoice!A:A,F497,Invoice!B:B)-SUMIF(F:F,F497,BJ:BJ))*(COUNTIF(F:F,F497)=COUNTIF($F$5:F497,F497))</f>
        <v>0</v>
      </c>
    </row>
    <row r="498" spans="1:64" hidden="1">
      <c r="A498" s="43">
        <v>498</v>
      </c>
      <c r="B498" s="13" t="s">
        <v>147</v>
      </c>
      <c r="C498" s="13" t="s">
        <v>146</v>
      </c>
      <c r="D498" s="13">
        <v>2</v>
      </c>
      <c r="E498" s="13">
        <v>1760</v>
      </c>
      <c r="F498" s="71" t="s">
        <v>1214</v>
      </c>
      <c r="G498" s="71" t="s">
        <v>1215</v>
      </c>
      <c r="H498" s="13" t="s">
        <v>1216</v>
      </c>
      <c r="I498" s="13" t="s">
        <v>54</v>
      </c>
      <c r="J498" s="28">
        <v>100</v>
      </c>
      <c r="K498" s="13" t="s">
        <v>150</v>
      </c>
      <c r="L498" s="13" t="s">
        <v>53</v>
      </c>
      <c r="M498" s="13">
        <v>1</v>
      </c>
      <c r="N498" s="13">
        <v>1</v>
      </c>
      <c r="O498" s="13">
        <v>1</v>
      </c>
      <c r="P498" s="13">
        <v>2</v>
      </c>
      <c r="Q498" s="13">
        <v>1</v>
      </c>
      <c r="R498" s="13" t="s">
        <v>73</v>
      </c>
      <c r="S498" s="13" t="s">
        <v>73</v>
      </c>
      <c r="T498" s="13">
        <v>44901</v>
      </c>
      <c r="U498" s="13">
        <v>2958465</v>
      </c>
      <c r="V498" s="13" t="s">
        <v>282</v>
      </c>
      <c r="W498" s="13" t="s">
        <v>145</v>
      </c>
      <c r="Y498" s="13" t="s">
        <v>143</v>
      </c>
      <c r="Z498" s="13">
        <v>7589154</v>
      </c>
      <c r="AA498" s="13">
        <v>884</v>
      </c>
      <c r="AB498" s="13">
        <v>442</v>
      </c>
      <c r="AE498" s="51">
        <f>M498/O498</f>
        <v>1</v>
      </c>
      <c r="AG498" s="6" t="str">
        <f>C498</f>
        <v>90MB1BJ0-C1BAY0</v>
      </c>
      <c r="AH498" s="6" t="str">
        <f>IF($D498&lt;=AH$4,"",IF(AND($D497=AH$4,$D498&gt;AH$4),$F497,AH497))</f>
        <v>59MB1BJB-MB0A02S</v>
      </c>
      <c r="AI498" s="6" t="str">
        <f>IF($D498&lt;=AI$4,"",IF(AND($D497=AI$4,$D498&gt;AI$4),$F497,AI497))</f>
        <v/>
      </c>
      <c r="AJ498" s="6" t="str">
        <f>IF($D498&lt;=AJ$4,"",IF(AND($D497=AJ$4,$D498&gt;AJ$4),$F497,AJ497))</f>
        <v/>
      </c>
      <c r="AK498" s="6" t="str">
        <f>IF($D498&lt;=AK$4,"",IF(AND($D497=AK$4,$D498&gt;AK$4),$F497,AK497))</f>
        <v/>
      </c>
      <c r="AL498" s="6" t="str">
        <f>IF($D498&lt;=AL$4,"",IF(AND($D497=AL$4,$D498&gt;AL$4),$F497,AL497))</f>
        <v/>
      </c>
      <c r="AM498" s="6" t="str">
        <f>IF($D498&lt;=AM$4,"",IF(AND($D497=AM$4,$D498&gt;AM$4),$F497,AM497))</f>
        <v/>
      </c>
      <c r="AN498" s="6" t="str">
        <f>IF($D498&lt;=AN$4,"",IF(AND($D497=AN$4,$D498&gt;AN$4),$F497,AN497))</f>
        <v/>
      </c>
      <c r="AO498" s="6" t="str">
        <f>CONCATENATE(AG498," | ",AH498," | ",AI498," | ",AJ498," | ",AK498," | ",AL498," | ",AM498," | ",AN498)</f>
        <v xml:space="preserve">90MB1BJ0-C1BAY0 | 59MB1BJB-MB0A02S |  |  |  |  |  | </v>
      </c>
      <c r="AP498" s="6">
        <f>IF(TRIM(H498)="",100,J498)</f>
        <v>100</v>
      </c>
      <c r="AQ498" s="4"/>
      <c r="AR498" s="6" t="b">
        <f>NOT(TRIM(W498)&lt;&gt;"F")</f>
        <v>1</v>
      </c>
      <c r="AS498" s="6" t="str">
        <f>$B498&amp;" | "&amp;$AO498&amp;" | "&amp;IF(TRIM(H498)="","uniq"&amp;ROW(),TRIM(H498))</f>
        <v>461E | 90MB1BJ0-C1BAY0 | 59MB1BJB-MB0A02S |  |  |  |  |  |  | H6</v>
      </c>
      <c r="AT498" s="63">
        <f>IF(NOT(AR498),IF(TRIM($H498)="","Assembly","Phantom Alt"),VLOOKUP(F498,ZPCS04!B:G,6,0))</f>
        <v>979</v>
      </c>
      <c r="AU498" s="7"/>
      <c r="AV498" s="38">
        <f ca="1">IF(TRIM($W498)="F",OFFSET($A$5,MATCH($AS498,$AS$5:$AS498,0)-1,0),$A498)</f>
        <v>498</v>
      </c>
      <c r="AW498" s="38">
        <f ca="1">IFERROR(OFFSET(ZPCS04!$A$1,MATCH(F498,ZPCS04!B:B,0)-1,0),100)</f>
        <v>1.9999999499999999</v>
      </c>
      <c r="AX498" s="7"/>
      <c r="AY498" s="6" t="b">
        <f>SUMIF(AS:AS,AS498,AP:AP)=100</f>
        <v>1</v>
      </c>
      <c r="AZ498" s="6" t="b">
        <f>SUMIF(AS:AS,AS498,AE:AE)/COUNTIF(AS:AS,AS498)=AE498</f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>C498&amp;" | "&amp;F498</f>
        <v>90MB1BJ0-C1BAY0 | 10G213206003010</v>
      </c>
      <c r="BE498" s="55" t="str">
        <f ca="1">C498&amp;" | "&amp;OFFSET($AF498,0,8-COUNTBLANK($AG498:$AN498))</f>
        <v>90MB1BJ0-C1BAY0 | 59MB1BJB-MB0A02S</v>
      </c>
      <c r="BF498" s="57">
        <f ca="1">IFERROR(VLOOKUP($BE498,$BD$5:$BF497,3,0)*$AE498,VLOOKUP($C498,Demanda!$A:$B,2,0)*$AE498)*IF(AT498="Phantom Alt",$BC498,TRUE)</f>
        <v>1000</v>
      </c>
      <c r="BG498" s="57">
        <f ca="1">BF498*(AP498/100)</f>
        <v>1000</v>
      </c>
      <c r="BH498" s="57">
        <f>SUMIF(Invoice!A:A,F498,Invoice!B:B)</f>
        <v>5000</v>
      </c>
      <c r="BI498" s="57">
        <f ca="1">SUMIF(AS:AS,AS498,BG:BG)</f>
        <v>1000</v>
      </c>
      <c r="BJ498" s="57">
        <f ca="1">MIN((BI498-SUMIF($AS$5:AS497,AS498,$BJ$5:BJ497)),MAX(0,BH498-SUMIF($F$5:F497,F498,$BJ$5:BJ497)))</f>
        <v>1000</v>
      </c>
      <c r="BK498" s="57">
        <f ca="1">(-SUMIF(AS:AS,AS498,BG:BG)+SUMIF(AS:AS,AS498,BJ:BJ))*(AP498=100)*AR498</f>
        <v>0</v>
      </c>
      <c r="BL498" s="57">
        <f ca="1">MAX(0,SUMIF(Invoice!A:A,F498,Invoice!B:B)-SUMIF(F:F,F498,BJ:BJ))*(COUNTIF(F:F,F498)=COUNTIF($F$5:F498,F498))</f>
        <v>4000</v>
      </c>
    </row>
    <row r="499" spans="1:64" hidden="1">
      <c r="A499" s="43">
        <v>499</v>
      </c>
      <c r="B499" s="13" t="s">
        <v>147</v>
      </c>
      <c r="C499" s="13" t="s">
        <v>146</v>
      </c>
      <c r="D499" s="13">
        <v>2</v>
      </c>
      <c r="E499" s="13">
        <v>1760</v>
      </c>
      <c r="F499" s="71" t="s">
        <v>1217</v>
      </c>
      <c r="G499" s="71" t="s">
        <v>1218</v>
      </c>
      <c r="H499" s="13" t="s">
        <v>1216</v>
      </c>
      <c r="I499" s="13" t="s">
        <v>55</v>
      </c>
      <c r="J499" s="28">
        <v>0</v>
      </c>
      <c r="K499" s="13" t="s">
        <v>150</v>
      </c>
      <c r="L499" s="13" t="s">
        <v>53</v>
      </c>
      <c r="M499" s="13">
        <v>1</v>
      </c>
      <c r="O499" s="13">
        <v>1</v>
      </c>
      <c r="P499" s="13">
        <v>2</v>
      </c>
      <c r="Q499" s="13">
        <v>3</v>
      </c>
      <c r="R499" s="13" t="s">
        <v>73</v>
      </c>
      <c r="S499" s="13" t="s">
        <v>73</v>
      </c>
      <c r="T499" s="13">
        <v>44901</v>
      </c>
      <c r="U499" s="13">
        <v>2958465</v>
      </c>
      <c r="V499" s="13" t="s">
        <v>282</v>
      </c>
      <c r="W499" s="13" t="s">
        <v>145</v>
      </c>
      <c r="Y499" s="13" t="s">
        <v>143</v>
      </c>
      <c r="Z499" s="13">
        <v>7589154</v>
      </c>
      <c r="AA499" s="13">
        <v>888</v>
      </c>
      <c r="AB499" s="13">
        <v>444</v>
      </c>
      <c r="AE499" s="51">
        <f>M499/O499</f>
        <v>1</v>
      </c>
      <c r="AG499" s="6" t="str">
        <f>C499</f>
        <v>90MB1BJ0-C1BAY0</v>
      </c>
      <c r="AH499" s="6" t="str">
        <f>IF($D499&lt;=AH$4,"",IF(AND($D498=AH$4,$D499&gt;AH$4),$F498,AH498))</f>
        <v>59MB1BJB-MB0A02S</v>
      </c>
      <c r="AI499" s="6" t="str">
        <f>IF($D499&lt;=AI$4,"",IF(AND($D498=AI$4,$D499&gt;AI$4),$F498,AI498))</f>
        <v/>
      </c>
      <c r="AJ499" s="6" t="str">
        <f>IF($D499&lt;=AJ$4,"",IF(AND($D498=AJ$4,$D499&gt;AJ$4),$F498,AJ498))</f>
        <v/>
      </c>
      <c r="AK499" s="6" t="str">
        <f>IF($D499&lt;=AK$4,"",IF(AND($D498=AK$4,$D499&gt;AK$4),$F498,AK498))</f>
        <v/>
      </c>
      <c r="AL499" s="6" t="str">
        <f>IF($D499&lt;=AL$4,"",IF(AND($D498=AL$4,$D499&gt;AL$4),$F498,AL498))</f>
        <v/>
      </c>
      <c r="AM499" s="6" t="str">
        <f>IF($D499&lt;=AM$4,"",IF(AND($D498=AM$4,$D499&gt;AM$4),$F498,AM498))</f>
        <v/>
      </c>
      <c r="AN499" s="6" t="str">
        <f>IF($D499&lt;=AN$4,"",IF(AND($D498=AN$4,$D499&gt;AN$4),$F498,AN498))</f>
        <v/>
      </c>
      <c r="AO499" s="6" t="str">
        <f>CONCATENATE(AG499," | ",AH499," | ",AI499," | ",AJ499," | ",AK499," | ",AL499," | ",AM499," | ",AN499)</f>
        <v xml:space="preserve">90MB1BJ0-C1BAY0 | 59MB1BJB-MB0A02S |  |  |  |  |  | </v>
      </c>
      <c r="AP499" s="6">
        <f>IF(TRIM(H499)="",100,J499)</f>
        <v>0</v>
      </c>
      <c r="AQ499" s="4"/>
      <c r="AR499" s="6" t="b">
        <f>NOT(TRIM(W499)&lt;&gt;"F")</f>
        <v>1</v>
      </c>
      <c r="AS499" s="6" t="str">
        <f>$B499&amp;" | "&amp;$AO499&amp;" | "&amp;IF(TRIM(H499)="","uniq"&amp;ROW(),TRIM(H499))</f>
        <v>461E | 90MB1BJ0-C1BAY0 | 59MB1BJB-MB0A02S |  |  |  |  |  |  | H6</v>
      </c>
      <c r="AT499" s="63">
        <f>IF(NOT(AR499),IF(TRIM($H499)="","Assembly","Phantom Alt"),VLOOKUP(F499,ZPCS04!B:G,6,0))</f>
        <v>979</v>
      </c>
      <c r="AU499" s="7"/>
      <c r="AV499" s="38">
        <f ca="1">IF(TRIM($W499)="F",OFFSET($A$5,MATCH($AS499,$AS$5:$AS499,0)-1,0),$A499)</f>
        <v>498</v>
      </c>
      <c r="AW499" s="38">
        <f ca="1">IFERROR(OFFSET(ZPCS04!$A$1,MATCH(F499,ZPCS04!B:B,0)-1,0),100)</f>
        <v>2</v>
      </c>
      <c r="AX499" s="7"/>
      <c r="AY499" s="6" t="b">
        <f>SUMIF(AS:AS,AS499,AP:AP)=100</f>
        <v>1</v>
      </c>
      <c r="AZ499" s="6" t="b">
        <f>SUMIF(AS:AS,AS499,AE:AE)/COUNTIF(AS:AS,AS499)=AE499</f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>C499&amp;" | "&amp;F499</f>
        <v>90MB1BJ0-C1BAY0 | 10G213206003020</v>
      </c>
      <c r="BE499" s="55" t="str">
        <f ca="1">C499&amp;" | "&amp;OFFSET($AF499,0,8-COUNTBLANK($AG499:$AN499))</f>
        <v>90MB1BJ0-C1BAY0 | 59MB1BJB-MB0A02S</v>
      </c>
      <c r="BF499" s="57">
        <f ca="1">IFERROR(VLOOKUP($BE499,$BD$5:$BF498,3,0)*$AE499,VLOOKUP($C499,Demanda!$A:$B,2,0)*$AE499)*IF(AT499="Phantom Alt",$BC499,TRUE)</f>
        <v>1000</v>
      </c>
      <c r="BG499" s="57">
        <f ca="1">BF499*(AP499/100)</f>
        <v>0</v>
      </c>
      <c r="BH499" s="57">
        <f>SUMIF(Invoice!A:A,F499,Invoice!B:B)</f>
        <v>0</v>
      </c>
      <c r="BI499" s="57">
        <f ca="1">SUMIF(AS:AS,AS499,BG:BG)</f>
        <v>1000</v>
      </c>
      <c r="BJ499" s="57">
        <f ca="1">MIN((BI499-SUMIF($AS$5:AS498,AS499,$BJ$5:BJ498)),MAX(0,BH499-SUMIF($F$5:F498,F499,$BJ$5:BJ498)))</f>
        <v>0</v>
      </c>
      <c r="BK499" s="57">
        <f ca="1">(-SUMIF(AS:AS,AS499,BG:BG)+SUMIF(AS:AS,AS499,BJ:BJ))*(AP499=100)*AR499</f>
        <v>0</v>
      </c>
      <c r="BL499" s="57">
        <f ca="1">MAX(0,SUMIF(Invoice!A:A,F499,Invoice!B:B)-SUMIF(F:F,F499,BJ:BJ))*(COUNTIF(F:F,F499)=COUNTIF($F$5:F499,F499))</f>
        <v>0</v>
      </c>
    </row>
    <row r="500" spans="1:64" hidden="1">
      <c r="A500" s="43">
        <v>500</v>
      </c>
      <c r="B500" s="13" t="s">
        <v>147</v>
      </c>
      <c r="C500" s="13" t="s">
        <v>146</v>
      </c>
      <c r="D500" s="13">
        <v>2</v>
      </c>
      <c r="E500" s="13">
        <v>1760</v>
      </c>
      <c r="F500" s="71" t="s">
        <v>1219</v>
      </c>
      <c r="G500" s="71" t="s">
        <v>1220</v>
      </c>
      <c r="H500" s="13" t="s">
        <v>1216</v>
      </c>
      <c r="I500" s="13" t="s">
        <v>55</v>
      </c>
      <c r="J500" s="28">
        <v>0</v>
      </c>
      <c r="K500" s="13" t="s">
        <v>150</v>
      </c>
      <c r="L500" s="13" t="s">
        <v>53</v>
      </c>
      <c r="M500" s="13">
        <v>1</v>
      </c>
      <c r="O500" s="13">
        <v>1</v>
      </c>
      <c r="P500" s="13">
        <v>2</v>
      </c>
      <c r="Q500" s="13">
        <v>2</v>
      </c>
      <c r="R500" s="13" t="s">
        <v>73</v>
      </c>
      <c r="S500" s="13" t="s">
        <v>73</v>
      </c>
      <c r="T500" s="13">
        <v>44901</v>
      </c>
      <c r="U500" s="13">
        <v>2958465</v>
      </c>
      <c r="V500" s="13" t="s">
        <v>282</v>
      </c>
      <c r="W500" s="13" t="s">
        <v>145</v>
      </c>
      <c r="Y500" s="13" t="s">
        <v>143</v>
      </c>
      <c r="Z500" s="13">
        <v>7589154</v>
      </c>
      <c r="AA500" s="13">
        <v>886</v>
      </c>
      <c r="AB500" s="13">
        <v>443</v>
      </c>
      <c r="AE500" s="51">
        <f>M500/O500</f>
        <v>1</v>
      </c>
      <c r="AG500" s="6" t="str">
        <f>C500</f>
        <v>90MB1BJ0-C1BAY0</v>
      </c>
      <c r="AH500" s="6" t="str">
        <f>IF($D500&lt;=AH$4,"",IF(AND($D499=AH$4,$D500&gt;AH$4),$F499,AH499))</f>
        <v>59MB1BJB-MB0A02S</v>
      </c>
      <c r="AI500" s="6" t="str">
        <f>IF($D500&lt;=AI$4,"",IF(AND($D499=AI$4,$D500&gt;AI$4),$F499,AI499))</f>
        <v/>
      </c>
      <c r="AJ500" s="6" t="str">
        <f>IF($D500&lt;=AJ$4,"",IF(AND($D499=AJ$4,$D500&gt;AJ$4),$F499,AJ499))</f>
        <v/>
      </c>
      <c r="AK500" s="6" t="str">
        <f>IF($D500&lt;=AK$4,"",IF(AND($D499=AK$4,$D500&gt;AK$4),$F499,AK499))</f>
        <v/>
      </c>
      <c r="AL500" s="6" t="str">
        <f>IF($D500&lt;=AL$4,"",IF(AND($D499=AL$4,$D500&gt;AL$4),$F499,AL499))</f>
        <v/>
      </c>
      <c r="AM500" s="6" t="str">
        <f>IF($D500&lt;=AM$4,"",IF(AND($D499=AM$4,$D500&gt;AM$4),$F499,AM499))</f>
        <v/>
      </c>
      <c r="AN500" s="6" t="str">
        <f>IF($D500&lt;=AN$4,"",IF(AND($D499=AN$4,$D500&gt;AN$4),$F499,AN499))</f>
        <v/>
      </c>
      <c r="AO500" s="6" t="str">
        <f>CONCATENATE(AG500," | ",AH500," | ",AI500," | ",AJ500," | ",AK500," | ",AL500," | ",AM500," | ",AN500)</f>
        <v xml:space="preserve">90MB1BJ0-C1BAY0 | 59MB1BJB-MB0A02S |  |  |  |  |  | </v>
      </c>
      <c r="AP500" s="6">
        <f>IF(TRIM(H500)="",100,J500)</f>
        <v>0</v>
      </c>
      <c r="AQ500" s="4"/>
      <c r="AR500" s="6" t="b">
        <f>NOT(TRIM(W500)&lt;&gt;"F")</f>
        <v>1</v>
      </c>
      <c r="AS500" s="6" t="str">
        <f>$B500&amp;" | "&amp;$AO500&amp;" | "&amp;IF(TRIM(H500)="","uniq"&amp;ROW(),TRIM(H500))</f>
        <v>461E | 90MB1BJ0-C1BAY0 | 59MB1BJB-MB0A02S |  |  |  |  |  |  | H6</v>
      </c>
      <c r="AT500" s="63">
        <f>IF(NOT(AR500),IF(TRIM($H500)="","Assembly","Phantom Alt"),VLOOKUP(F500,ZPCS04!B:G,6,0))</f>
        <v>979</v>
      </c>
      <c r="AU500" s="7"/>
      <c r="AV500" s="38">
        <f ca="1">IF(TRIM($W500)="F",OFFSET($A$5,MATCH($AS500,$AS$5:$AS500,0)-1,0),$A500)</f>
        <v>498</v>
      </c>
      <c r="AW500" s="38">
        <f ca="1">IFERROR(OFFSET(ZPCS04!$A$1,MATCH(F500,ZPCS04!B:B,0)-1,0),100)</f>
        <v>2</v>
      </c>
      <c r="AX500" s="7"/>
      <c r="AY500" s="6" t="b">
        <f>SUMIF(AS:AS,AS500,AP:AP)=100</f>
        <v>1</v>
      </c>
      <c r="AZ500" s="6" t="b">
        <f>SUMIF(AS:AS,AS500,AE:AE)/COUNTIF(AS:AS,AS500)=AE500</f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>C500&amp;" | "&amp;F500</f>
        <v>90MB1BJ0-C1BAY0 | 10G213206003050</v>
      </c>
      <c r="BE500" s="55" t="str">
        <f ca="1">C500&amp;" | "&amp;OFFSET($AF500,0,8-COUNTBLANK($AG500:$AN500))</f>
        <v>90MB1BJ0-C1BAY0 | 59MB1BJB-MB0A02S</v>
      </c>
      <c r="BF500" s="57">
        <f ca="1">IFERROR(VLOOKUP($BE500,$BD$5:$BF499,3,0)*$AE500,VLOOKUP($C500,Demanda!$A:$B,2,0)*$AE500)*IF(AT500="Phantom Alt",$BC500,TRUE)</f>
        <v>1000</v>
      </c>
      <c r="BG500" s="57">
        <f ca="1">BF500*(AP500/100)</f>
        <v>0</v>
      </c>
      <c r="BH500" s="57">
        <f>SUMIF(Invoice!A:A,F500,Invoice!B:B)</f>
        <v>0</v>
      </c>
      <c r="BI500" s="57">
        <f ca="1">SUMIF(AS:AS,AS500,BG:BG)</f>
        <v>1000</v>
      </c>
      <c r="BJ500" s="57">
        <f ca="1">MIN((BI500-SUMIF($AS$5:AS499,AS500,$BJ$5:BJ499)),MAX(0,BH500-SUMIF($F$5:F499,F500,$BJ$5:BJ499)))</f>
        <v>0</v>
      </c>
      <c r="BK500" s="57">
        <f ca="1">(-SUMIF(AS:AS,AS500,BG:BG)+SUMIF(AS:AS,AS500,BJ:BJ))*(AP500=100)*AR500</f>
        <v>0</v>
      </c>
      <c r="BL500" s="57">
        <f ca="1">MAX(0,SUMIF(Invoice!A:A,F500,Invoice!B:B)-SUMIF(F:F,F500,BJ:BJ))*(COUNTIF(F:F,F500)=COUNTIF($F$5:F500,F500))</f>
        <v>0</v>
      </c>
    </row>
    <row r="501" spans="1:64" hidden="1">
      <c r="A501" s="43">
        <v>503</v>
      </c>
      <c r="B501" s="13" t="s">
        <v>147</v>
      </c>
      <c r="C501" s="13" t="s">
        <v>146</v>
      </c>
      <c r="D501" s="13">
        <v>2</v>
      </c>
      <c r="E501" s="13">
        <v>1770</v>
      </c>
      <c r="F501" s="71" t="s">
        <v>1226</v>
      </c>
      <c r="G501" s="71" t="s">
        <v>1227</v>
      </c>
      <c r="H501" s="13" t="s">
        <v>1223</v>
      </c>
      <c r="I501" s="13" t="s">
        <v>54</v>
      </c>
      <c r="J501" s="28">
        <v>100</v>
      </c>
      <c r="K501" s="13" t="s">
        <v>150</v>
      </c>
      <c r="L501" s="13" t="s">
        <v>53</v>
      </c>
      <c r="M501" s="13">
        <v>4</v>
      </c>
      <c r="N501" s="13">
        <v>4</v>
      </c>
      <c r="O501" s="13">
        <v>1</v>
      </c>
      <c r="P501" s="13">
        <v>2</v>
      </c>
      <c r="Q501" s="13">
        <v>1</v>
      </c>
      <c r="R501" s="13" t="s">
        <v>73</v>
      </c>
      <c r="S501" s="13" t="s">
        <v>73</v>
      </c>
      <c r="T501" s="13">
        <v>44901</v>
      </c>
      <c r="U501" s="13">
        <v>2958465</v>
      </c>
      <c r="V501" s="13" t="s">
        <v>282</v>
      </c>
      <c r="W501" s="13" t="s">
        <v>145</v>
      </c>
      <c r="Y501" s="13" t="s">
        <v>143</v>
      </c>
      <c r="Z501" s="13">
        <v>7589154</v>
      </c>
      <c r="AA501" s="13">
        <v>890</v>
      </c>
      <c r="AB501" s="13">
        <v>445</v>
      </c>
      <c r="AE501" s="51">
        <f>M501/O501</f>
        <v>4</v>
      </c>
      <c r="AG501" s="6" t="str">
        <f>C501</f>
        <v>90MB1BJ0-C1BAY0</v>
      </c>
      <c r="AH501" s="6" t="str">
        <f>IF($D501&lt;=AH$4,"",IF(AND($D500=AH$4,$D501&gt;AH$4),$F500,AH500))</f>
        <v>59MB1BJB-MB0A02S</v>
      </c>
      <c r="AI501" s="6" t="str">
        <f>IF($D501&lt;=AI$4,"",IF(AND($D500=AI$4,$D501&gt;AI$4),$F500,AI500))</f>
        <v/>
      </c>
      <c r="AJ501" s="6" t="str">
        <f>IF($D501&lt;=AJ$4,"",IF(AND($D500=AJ$4,$D501&gt;AJ$4),$F500,AJ500))</f>
        <v/>
      </c>
      <c r="AK501" s="6" t="str">
        <f>IF($D501&lt;=AK$4,"",IF(AND($D500=AK$4,$D501&gt;AK$4),$F500,AK500))</f>
        <v/>
      </c>
      <c r="AL501" s="6" t="str">
        <f>IF($D501&lt;=AL$4,"",IF(AND($D500=AL$4,$D501&gt;AL$4),$F500,AL500))</f>
        <v/>
      </c>
      <c r="AM501" s="6" t="str">
        <f>IF($D501&lt;=AM$4,"",IF(AND($D500=AM$4,$D501&gt;AM$4),$F500,AM500))</f>
        <v/>
      </c>
      <c r="AN501" s="6" t="str">
        <f>IF($D501&lt;=AN$4,"",IF(AND($D500=AN$4,$D501&gt;AN$4),$F500,AN500))</f>
        <v/>
      </c>
      <c r="AO501" s="6" t="str">
        <f>CONCATENATE(AG501," | ",AH501," | ",AI501," | ",AJ501," | ",AK501," | ",AL501," | ",AM501," | ",AN501)</f>
        <v xml:space="preserve">90MB1BJ0-C1BAY0 | 59MB1BJB-MB0A02S |  |  |  |  |  | </v>
      </c>
      <c r="AP501" s="6">
        <f>IF(TRIM(H501)="",100,J501)</f>
        <v>100</v>
      </c>
      <c r="AQ501" s="4"/>
      <c r="AR501" s="6" t="b">
        <f>NOT(TRIM(W501)&lt;&gt;"F")</f>
        <v>1</v>
      </c>
      <c r="AS501" s="6" t="str">
        <f>$B501&amp;" | "&amp;$AO501&amp;" | "&amp;IF(TRIM(H501)="","uniq"&amp;ROW(),TRIM(H501))</f>
        <v>461E | 90MB1BJ0-C1BAY0 | 59MB1BJB-MB0A02S |  |  |  |  |  |  | H7</v>
      </c>
      <c r="AT501" s="63">
        <f>IF(NOT(AR501),IF(TRIM($H501)="","Assembly","Phantom Alt"),VLOOKUP(F501,ZPCS04!B:G,6,0))</f>
        <v>1275</v>
      </c>
      <c r="AU501" s="7"/>
      <c r="AV501" s="38">
        <f ca="1">IF(TRIM($W501)="F",OFFSET($A$5,MATCH($AS501,$AS$5:$AS501,0)-1,0),$A501)</f>
        <v>503</v>
      </c>
      <c r="AW501" s="38">
        <f ca="1">IFERROR(OFFSET(ZPCS04!$A$1,MATCH(F501,ZPCS04!B:B,0)-1,0),100)</f>
        <v>1.9999999499999999</v>
      </c>
      <c r="AX501" s="7"/>
      <c r="AY501" s="6" t="b">
        <f>SUMIF(AS:AS,AS501,AP:AP)=100</f>
        <v>1</v>
      </c>
      <c r="AZ501" s="6" t="b">
        <f>SUMIF(AS:AS,AS501,AE:AE)/COUNTIF(AS:AS,AS501)=AE501</f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>C501&amp;" | "&amp;F501</f>
        <v>90MB1BJ0-C1BAY0 | 10G213220313050</v>
      </c>
      <c r="BE501" s="55" t="str">
        <f ca="1">C501&amp;" | "&amp;OFFSET($AF501,0,8-COUNTBLANK($AG501:$AN501))</f>
        <v>90MB1BJ0-C1BAY0 | 59MB1BJB-MB0A02S</v>
      </c>
      <c r="BF501" s="57">
        <f ca="1">IFERROR(VLOOKUP($BE501,$BD$5:$BF500,3,0)*$AE501,VLOOKUP($C501,Demanda!$A:$B,2,0)*$AE501)*IF(AT501="Phantom Alt",$BC501,TRUE)</f>
        <v>4000</v>
      </c>
      <c r="BG501" s="57">
        <f ca="1">BF501*(AP501/100)</f>
        <v>4000</v>
      </c>
      <c r="BH501" s="57">
        <f>SUMIF(Invoice!A:A,F501,Invoice!B:B)</f>
        <v>5000</v>
      </c>
      <c r="BI501" s="57">
        <f ca="1">SUMIF(AS:AS,AS501,BG:BG)</f>
        <v>4000</v>
      </c>
      <c r="BJ501" s="57">
        <f ca="1">MIN((BI501-SUMIF($AS$5:AS500,AS501,$BJ$5:BJ500)),MAX(0,BH501-SUMIF($F$5:F500,F501,$BJ$5:BJ500)))</f>
        <v>4000</v>
      </c>
      <c r="BK501" s="57">
        <f ca="1">(-SUMIF(AS:AS,AS501,BG:BG)+SUMIF(AS:AS,AS501,BJ:BJ))*(AP501=100)*AR501</f>
        <v>0</v>
      </c>
      <c r="BL501" s="57">
        <f ca="1">MAX(0,SUMIF(Invoice!A:A,F501,Invoice!B:B)-SUMIF(F:F,F501,BJ:BJ))*(COUNTIF(F:F,F501)=COUNTIF($F$5:F501,F501))</f>
        <v>1000</v>
      </c>
    </row>
    <row r="502" spans="1:64" hidden="1">
      <c r="A502" s="43">
        <v>501</v>
      </c>
      <c r="B502" s="13" t="s">
        <v>147</v>
      </c>
      <c r="C502" s="13" t="s">
        <v>146</v>
      </c>
      <c r="D502" s="13">
        <v>2</v>
      </c>
      <c r="E502" s="13">
        <v>1770</v>
      </c>
      <c r="F502" s="71" t="s">
        <v>1221</v>
      </c>
      <c r="G502" s="71" t="s">
        <v>1222</v>
      </c>
      <c r="H502" s="13" t="s">
        <v>1223</v>
      </c>
      <c r="I502" s="13" t="s">
        <v>55</v>
      </c>
      <c r="J502" s="28">
        <v>0</v>
      </c>
      <c r="K502" s="13" t="s">
        <v>150</v>
      </c>
      <c r="L502" s="13" t="s">
        <v>53</v>
      </c>
      <c r="M502" s="13">
        <v>4</v>
      </c>
      <c r="O502" s="13">
        <v>1</v>
      </c>
      <c r="P502" s="13">
        <v>2</v>
      </c>
      <c r="Q502" s="13">
        <v>3</v>
      </c>
      <c r="R502" s="13" t="s">
        <v>73</v>
      </c>
      <c r="S502" s="13" t="s">
        <v>73</v>
      </c>
      <c r="T502" s="13">
        <v>44901</v>
      </c>
      <c r="U502" s="13">
        <v>2958465</v>
      </c>
      <c r="V502" s="13" t="s">
        <v>282</v>
      </c>
      <c r="W502" s="13" t="s">
        <v>145</v>
      </c>
      <c r="Y502" s="13" t="s">
        <v>143</v>
      </c>
      <c r="Z502" s="13">
        <v>7589154</v>
      </c>
      <c r="AA502" s="13">
        <v>894</v>
      </c>
      <c r="AB502" s="13">
        <v>447</v>
      </c>
      <c r="AE502" s="51">
        <f>M502/O502</f>
        <v>4</v>
      </c>
      <c r="AG502" s="6" t="str">
        <f>C502</f>
        <v>90MB1BJ0-C1BAY0</v>
      </c>
      <c r="AH502" s="6" t="str">
        <f>IF($D502&lt;=AH$4,"",IF(AND($D501=AH$4,$D502&gt;AH$4),$F501,AH501))</f>
        <v>59MB1BJB-MB0A02S</v>
      </c>
      <c r="AI502" s="6" t="str">
        <f>IF($D502&lt;=AI$4,"",IF(AND($D501=AI$4,$D502&gt;AI$4),$F501,AI501))</f>
        <v/>
      </c>
      <c r="AJ502" s="6" t="str">
        <f>IF($D502&lt;=AJ$4,"",IF(AND($D501=AJ$4,$D502&gt;AJ$4),$F501,AJ501))</f>
        <v/>
      </c>
      <c r="AK502" s="6" t="str">
        <f>IF($D502&lt;=AK$4,"",IF(AND($D501=AK$4,$D502&gt;AK$4),$F501,AK501))</f>
        <v/>
      </c>
      <c r="AL502" s="6" t="str">
        <f>IF($D502&lt;=AL$4,"",IF(AND($D501=AL$4,$D502&gt;AL$4),$F501,AL501))</f>
        <v/>
      </c>
      <c r="AM502" s="6" t="str">
        <f>IF($D502&lt;=AM$4,"",IF(AND($D501=AM$4,$D502&gt;AM$4),$F501,AM501))</f>
        <v/>
      </c>
      <c r="AN502" s="6" t="str">
        <f>IF($D502&lt;=AN$4,"",IF(AND($D501=AN$4,$D502&gt;AN$4),$F501,AN501))</f>
        <v/>
      </c>
      <c r="AO502" s="6" t="str">
        <f>CONCATENATE(AG502," | ",AH502," | ",AI502," | ",AJ502," | ",AK502," | ",AL502," | ",AM502," | ",AN502)</f>
        <v xml:space="preserve">90MB1BJ0-C1BAY0 | 59MB1BJB-MB0A02S |  |  |  |  |  | </v>
      </c>
      <c r="AP502" s="6">
        <f>IF(TRIM(H502)="",100,J502)</f>
        <v>0</v>
      </c>
      <c r="AQ502" s="4"/>
      <c r="AR502" s="6" t="b">
        <f>NOT(TRIM(W502)&lt;&gt;"F")</f>
        <v>1</v>
      </c>
      <c r="AS502" s="6" t="str">
        <f>$B502&amp;" | "&amp;$AO502&amp;" | "&amp;IF(TRIM(H502)="","uniq"&amp;ROW(),TRIM(H502))</f>
        <v>461E | 90MB1BJ0-C1BAY0 | 59MB1BJB-MB0A02S |  |  |  |  |  |  | H7</v>
      </c>
      <c r="AT502" s="63">
        <f>IF(NOT(AR502),IF(TRIM($H502)="","Assembly","Phantom Alt"),VLOOKUP(F502,ZPCS04!B:G,6,0))</f>
        <v>1275</v>
      </c>
      <c r="AU502" s="7"/>
      <c r="AV502" s="38">
        <f ca="1">IF(TRIM($W502)="F",OFFSET($A$5,MATCH($AS502,$AS$5:$AS502,0)-1,0),$A502)</f>
        <v>503</v>
      </c>
      <c r="AW502" s="38">
        <f ca="1">IFERROR(OFFSET(ZPCS04!$A$1,MATCH(F502,ZPCS04!B:B,0)-1,0),100)</f>
        <v>2</v>
      </c>
      <c r="AX502" s="7"/>
      <c r="AY502" s="6" t="b">
        <f>SUMIF(AS:AS,AS502,AP:AP)=100</f>
        <v>1</v>
      </c>
      <c r="AZ502" s="6" t="b">
        <f>SUMIF(AS:AS,AS502,AE:AE)/COUNTIF(AS:AS,AS502)=AE502</f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>C502&amp;" | "&amp;F502</f>
        <v>90MB1BJ0-C1BAY0 | 10G213220313010</v>
      </c>
      <c r="BE502" s="55" t="str">
        <f ca="1">C502&amp;" | "&amp;OFFSET($AF502,0,8-COUNTBLANK($AG502:$AN502))</f>
        <v>90MB1BJ0-C1BAY0 | 59MB1BJB-MB0A02S</v>
      </c>
      <c r="BF502" s="57">
        <f ca="1">IFERROR(VLOOKUP($BE502,$BD$5:$BF501,3,0)*$AE502,VLOOKUP($C502,Demanda!$A:$B,2,0)*$AE502)*IF(AT502="Phantom Alt",$BC502,TRUE)</f>
        <v>4000</v>
      </c>
      <c r="BG502" s="57">
        <f ca="1">BF502*(AP502/100)</f>
        <v>0</v>
      </c>
      <c r="BH502" s="57">
        <f>SUMIF(Invoice!A:A,F502,Invoice!B:B)</f>
        <v>0</v>
      </c>
      <c r="BI502" s="57">
        <f ca="1">SUMIF(AS:AS,AS502,BG:BG)</f>
        <v>4000</v>
      </c>
      <c r="BJ502" s="57">
        <f ca="1">MIN((BI502-SUMIF($AS$5:AS501,AS502,$BJ$5:BJ501)),MAX(0,BH502-SUMIF($F$5:F501,F502,$BJ$5:BJ501)))</f>
        <v>0</v>
      </c>
      <c r="BK502" s="57">
        <f ca="1">(-SUMIF(AS:AS,AS502,BG:BG)+SUMIF(AS:AS,AS502,BJ:BJ))*(AP502=100)*AR502</f>
        <v>0</v>
      </c>
      <c r="BL502" s="57">
        <f ca="1">MAX(0,SUMIF(Invoice!A:A,F502,Invoice!B:B)-SUMIF(F:F,F502,BJ:BJ))*(COUNTIF(F:F,F502)=COUNTIF($F$5:F502,F502))</f>
        <v>0</v>
      </c>
    </row>
    <row r="503" spans="1:64" hidden="1">
      <c r="A503" s="43">
        <v>502</v>
      </c>
      <c r="B503" s="13" t="s">
        <v>147</v>
      </c>
      <c r="C503" s="13" t="s">
        <v>146</v>
      </c>
      <c r="D503" s="13">
        <v>2</v>
      </c>
      <c r="E503" s="13">
        <v>1770</v>
      </c>
      <c r="F503" s="71" t="s">
        <v>1224</v>
      </c>
      <c r="G503" s="71" t="s">
        <v>1225</v>
      </c>
      <c r="H503" s="13" t="s">
        <v>1223</v>
      </c>
      <c r="I503" s="13" t="s">
        <v>55</v>
      </c>
      <c r="J503" s="28">
        <v>0</v>
      </c>
      <c r="K503" s="13" t="s">
        <v>150</v>
      </c>
      <c r="L503" s="13" t="s">
        <v>53</v>
      </c>
      <c r="M503" s="13">
        <v>4</v>
      </c>
      <c r="O503" s="13">
        <v>1</v>
      </c>
      <c r="P503" s="13">
        <v>2</v>
      </c>
      <c r="Q503" s="13">
        <v>2</v>
      </c>
      <c r="R503" s="13" t="s">
        <v>73</v>
      </c>
      <c r="S503" s="13" t="s">
        <v>73</v>
      </c>
      <c r="T503" s="13">
        <v>44901</v>
      </c>
      <c r="U503" s="13">
        <v>2958465</v>
      </c>
      <c r="V503" s="13" t="s">
        <v>282</v>
      </c>
      <c r="W503" s="13" t="s">
        <v>145</v>
      </c>
      <c r="Y503" s="13" t="s">
        <v>143</v>
      </c>
      <c r="Z503" s="13">
        <v>7589154</v>
      </c>
      <c r="AA503" s="13">
        <v>892</v>
      </c>
      <c r="AB503" s="13">
        <v>446</v>
      </c>
      <c r="AE503" s="51">
        <f>M503/O503</f>
        <v>4</v>
      </c>
      <c r="AG503" s="6" t="str">
        <f>C503</f>
        <v>90MB1BJ0-C1BAY0</v>
      </c>
      <c r="AH503" s="6" t="str">
        <f>IF($D503&lt;=AH$4,"",IF(AND($D502=AH$4,$D503&gt;AH$4),$F502,AH502))</f>
        <v>59MB1BJB-MB0A02S</v>
      </c>
      <c r="AI503" s="6" t="str">
        <f>IF($D503&lt;=AI$4,"",IF(AND($D502=AI$4,$D503&gt;AI$4),$F502,AI502))</f>
        <v/>
      </c>
      <c r="AJ503" s="6" t="str">
        <f>IF($D503&lt;=AJ$4,"",IF(AND($D502=AJ$4,$D503&gt;AJ$4),$F502,AJ502))</f>
        <v/>
      </c>
      <c r="AK503" s="6" t="str">
        <f>IF($D503&lt;=AK$4,"",IF(AND($D502=AK$4,$D503&gt;AK$4),$F502,AK502))</f>
        <v/>
      </c>
      <c r="AL503" s="6" t="str">
        <f>IF($D503&lt;=AL$4,"",IF(AND($D502=AL$4,$D503&gt;AL$4),$F502,AL502))</f>
        <v/>
      </c>
      <c r="AM503" s="6" t="str">
        <f>IF($D503&lt;=AM$4,"",IF(AND($D502=AM$4,$D503&gt;AM$4),$F502,AM502))</f>
        <v/>
      </c>
      <c r="AN503" s="6" t="str">
        <f>IF($D503&lt;=AN$4,"",IF(AND($D502=AN$4,$D503&gt;AN$4),$F502,AN502))</f>
        <v/>
      </c>
      <c r="AO503" s="6" t="str">
        <f>CONCATENATE(AG503," | ",AH503," | ",AI503," | ",AJ503," | ",AK503," | ",AL503," | ",AM503," | ",AN503)</f>
        <v xml:space="preserve">90MB1BJ0-C1BAY0 | 59MB1BJB-MB0A02S |  |  |  |  |  | </v>
      </c>
      <c r="AP503" s="6">
        <f>IF(TRIM(H503)="",100,J503)</f>
        <v>0</v>
      </c>
      <c r="AQ503" s="4"/>
      <c r="AR503" s="6" t="b">
        <f>NOT(TRIM(W503)&lt;&gt;"F")</f>
        <v>1</v>
      </c>
      <c r="AS503" s="6" t="str">
        <f>$B503&amp;" | "&amp;$AO503&amp;" | "&amp;IF(TRIM(H503)="","uniq"&amp;ROW(),TRIM(H503))</f>
        <v>461E | 90MB1BJ0-C1BAY0 | 59MB1BJB-MB0A02S |  |  |  |  |  |  | H7</v>
      </c>
      <c r="AT503" s="63">
        <f>IF(NOT(AR503),IF(TRIM($H503)="","Assembly","Phantom Alt"),VLOOKUP(F503,ZPCS04!B:G,6,0))</f>
        <v>1275</v>
      </c>
      <c r="AU503" s="7"/>
      <c r="AV503" s="38">
        <f ca="1">IF(TRIM($W503)="F",OFFSET($A$5,MATCH($AS503,$AS$5:$AS503,0)-1,0),$A503)</f>
        <v>503</v>
      </c>
      <c r="AW503" s="38">
        <f ca="1">IFERROR(OFFSET(ZPCS04!$A$1,MATCH(F503,ZPCS04!B:B,0)-1,0),100)</f>
        <v>2</v>
      </c>
      <c r="AX503" s="7"/>
      <c r="AY503" s="6" t="b">
        <f>SUMIF(AS:AS,AS503,AP:AP)=100</f>
        <v>1</v>
      </c>
      <c r="AZ503" s="6" t="b">
        <f>SUMIF(AS:AS,AS503,AE:AE)/COUNTIF(AS:AS,AS503)=AE503</f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>C503&amp;" | "&amp;F503</f>
        <v>90MB1BJ0-C1BAY0 | 10G213220313020</v>
      </c>
      <c r="BE503" s="55" t="str">
        <f ca="1">C503&amp;" | "&amp;OFFSET($AF503,0,8-COUNTBLANK($AG503:$AN503))</f>
        <v>90MB1BJ0-C1BAY0 | 59MB1BJB-MB0A02S</v>
      </c>
      <c r="BF503" s="57">
        <f ca="1">IFERROR(VLOOKUP($BE503,$BD$5:$BF502,3,0)*$AE503,VLOOKUP($C503,Demanda!$A:$B,2,0)*$AE503)*IF(AT503="Phantom Alt",$BC503,TRUE)</f>
        <v>4000</v>
      </c>
      <c r="BG503" s="57">
        <f ca="1">BF503*(AP503/100)</f>
        <v>0</v>
      </c>
      <c r="BH503" s="57">
        <f>SUMIF(Invoice!A:A,F503,Invoice!B:B)</f>
        <v>0</v>
      </c>
      <c r="BI503" s="57">
        <f ca="1">SUMIF(AS:AS,AS503,BG:BG)</f>
        <v>4000</v>
      </c>
      <c r="BJ503" s="57">
        <f ca="1">MIN((BI503-SUMIF($AS$5:AS502,AS503,$BJ$5:BJ502)),MAX(0,BH503-SUMIF($F$5:F502,F503,$BJ$5:BJ502)))</f>
        <v>0</v>
      </c>
      <c r="BK503" s="57">
        <f ca="1">(-SUMIF(AS:AS,AS503,BG:BG)+SUMIF(AS:AS,AS503,BJ:BJ))*(AP503=100)*AR503</f>
        <v>0</v>
      </c>
      <c r="BL503" s="57">
        <f ca="1">MAX(0,SUMIF(Invoice!A:A,F503,Invoice!B:B)-SUMIF(F:F,F503,BJ:BJ))*(COUNTIF(F:F,F503)=COUNTIF($F$5:F503,F503))</f>
        <v>0</v>
      </c>
    </row>
    <row r="504" spans="1:64" hidden="1">
      <c r="A504" s="43">
        <v>504</v>
      </c>
      <c r="B504" s="13" t="s">
        <v>147</v>
      </c>
      <c r="C504" s="13" t="s">
        <v>146</v>
      </c>
      <c r="D504" s="13">
        <v>2</v>
      </c>
      <c r="E504" s="13">
        <v>1780</v>
      </c>
      <c r="F504" s="71" t="s">
        <v>1228</v>
      </c>
      <c r="G504" s="71" t="s">
        <v>1229</v>
      </c>
      <c r="H504" s="13" t="s">
        <v>1230</v>
      </c>
      <c r="I504" s="13" t="s">
        <v>55</v>
      </c>
      <c r="J504" s="28">
        <v>0</v>
      </c>
      <c r="K504" s="13" t="s">
        <v>150</v>
      </c>
      <c r="L504" s="13" t="s">
        <v>53</v>
      </c>
      <c r="M504" s="13">
        <v>8</v>
      </c>
      <c r="O504" s="13">
        <v>1</v>
      </c>
      <c r="P504" s="13">
        <v>2</v>
      </c>
      <c r="Q504" s="13">
        <v>3</v>
      </c>
      <c r="R504" s="13" t="s">
        <v>73</v>
      </c>
      <c r="S504" s="13" t="s">
        <v>73</v>
      </c>
      <c r="T504" s="13">
        <v>44901</v>
      </c>
      <c r="U504" s="13">
        <v>2958465</v>
      </c>
      <c r="V504" s="13" t="s">
        <v>282</v>
      </c>
      <c r="W504" s="13" t="s">
        <v>145</v>
      </c>
      <c r="Y504" s="13" t="s">
        <v>143</v>
      </c>
      <c r="Z504" s="13">
        <v>7589154</v>
      </c>
      <c r="AA504" s="13">
        <v>900</v>
      </c>
      <c r="AB504" s="13">
        <v>450</v>
      </c>
      <c r="AE504" s="51">
        <f>M504/O504</f>
        <v>8</v>
      </c>
      <c r="AG504" s="6" t="str">
        <f>C504</f>
        <v>90MB1BJ0-C1BAY0</v>
      </c>
      <c r="AH504" s="6" t="str">
        <f>IF($D504&lt;=AH$4,"",IF(AND($D503=AH$4,$D504&gt;AH$4),$F503,AH503))</f>
        <v>59MB1BJB-MB0A02S</v>
      </c>
      <c r="AI504" s="6" t="str">
        <f>IF($D504&lt;=AI$4,"",IF(AND($D503=AI$4,$D504&gt;AI$4),$F503,AI503))</f>
        <v/>
      </c>
      <c r="AJ504" s="6" t="str">
        <f>IF($D504&lt;=AJ$4,"",IF(AND($D503=AJ$4,$D504&gt;AJ$4),$F503,AJ503))</f>
        <v/>
      </c>
      <c r="AK504" s="6" t="str">
        <f>IF($D504&lt;=AK$4,"",IF(AND($D503=AK$4,$D504&gt;AK$4),$F503,AK503))</f>
        <v/>
      </c>
      <c r="AL504" s="6" t="str">
        <f>IF($D504&lt;=AL$4,"",IF(AND($D503=AL$4,$D504&gt;AL$4),$F503,AL503))</f>
        <v/>
      </c>
      <c r="AM504" s="6" t="str">
        <f>IF($D504&lt;=AM$4,"",IF(AND($D503=AM$4,$D504&gt;AM$4),$F503,AM503))</f>
        <v/>
      </c>
      <c r="AN504" s="6" t="str">
        <f>IF($D504&lt;=AN$4,"",IF(AND($D503=AN$4,$D504&gt;AN$4),$F503,AN503))</f>
        <v/>
      </c>
      <c r="AO504" s="6" t="str">
        <f>CONCATENATE(AG504," | ",AH504," | ",AI504," | ",AJ504," | ",AK504," | ",AL504," | ",AM504," | ",AN504)</f>
        <v xml:space="preserve">90MB1BJ0-C1BAY0 | 59MB1BJB-MB0A02S |  |  |  |  |  | </v>
      </c>
      <c r="AP504" s="6">
        <f>IF(TRIM(H504)="",100,J504)</f>
        <v>0</v>
      </c>
      <c r="AQ504" s="4"/>
      <c r="AR504" s="6" t="b">
        <f>NOT(TRIM(W504)&lt;&gt;"F")</f>
        <v>1</v>
      </c>
      <c r="AS504" s="6" t="str">
        <f>$B504&amp;" | "&amp;$AO504&amp;" | "&amp;IF(TRIM(H504)="","uniq"&amp;ROW(),TRIM(H504))</f>
        <v>461E | 90MB1BJ0-C1BAY0 | 59MB1BJB-MB0A02S |  |  |  |  |  |  | H8</v>
      </c>
      <c r="AT504" s="63">
        <f>IF(NOT(AR504),IF(TRIM($H504)="","Assembly","Phantom Alt"),VLOOKUP(F504,ZPCS04!B:G,6,0))</f>
        <v>717</v>
      </c>
      <c r="AU504" s="7"/>
      <c r="AV504" s="38">
        <f ca="1">IF(TRIM($W504)="F",OFFSET($A$5,MATCH($AS504,$AS$5:$AS504,0)-1,0),$A504)</f>
        <v>504</v>
      </c>
      <c r="AW504" s="38">
        <f ca="1">IFERROR(OFFSET(ZPCS04!$A$1,MATCH(F504,ZPCS04!B:B,0)-1,0),100)</f>
        <v>1.9999999000000002</v>
      </c>
      <c r="AX504" s="7"/>
      <c r="AY504" s="6" t="b">
        <f>SUMIF(AS:AS,AS504,AP:AP)=100</f>
        <v>1</v>
      </c>
      <c r="AZ504" s="6" t="b">
        <f>SUMIF(AS:AS,AS504,AE:AE)/COUNTIF(AS:AS,AS504)=AE504</f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>C504&amp;" | "&amp;F504</f>
        <v>90MB1BJ0-C1BAY0 | 10G213270113010</v>
      </c>
      <c r="BE504" s="55" t="str">
        <f ca="1">C504&amp;" | "&amp;OFFSET($AF504,0,8-COUNTBLANK($AG504:$AN504))</f>
        <v>90MB1BJ0-C1BAY0 | 59MB1BJB-MB0A02S</v>
      </c>
      <c r="BF504" s="57">
        <f ca="1">IFERROR(VLOOKUP($BE504,$BD$5:$BF503,3,0)*$AE504,VLOOKUP($C504,Demanda!$A:$B,2,0)*$AE504)*IF(AT504="Phantom Alt",$BC504,TRUE)</f>
        <v>8000</v>
      </c>
      <c r="BG504" s="57">
        <f ca="1">BF504*(AP504/100)</f>
        <v>0</v>
      </c>
      <c r="BH504" s="57">
        <f>SUMIF(Invoice!A:A,F504,Invoice!B:B)</f>
        <v>10000</v>
      </c>
      <c r="BI504" s="57">
        <f ca="1">SUMIF(AS:AS,AS504,BG:BG)</f>
        <v>8000</v>
      </c>
      <c r="BJ504" s="57">
        <f ca="1">MIN((BI504-SUMIF($AS$5:AS503,AS504,$BJ$5:BJ503)),MAX(0,BH504-SUMIF($F$5:F503,F504,$BJ$5:BJ503)))</f>
        <v>8000</v>
      </c>
      <c r="BK504" s="57">
        <f ca="1">(-SUMIF(AS:AS,AS504,BG:BG)+SUMIF(AS:AS,AS504,BJ:BJ))*(AP504=100)*AR504</f>
        <v>0</v>
      </c>
      <c r="BL504" s="57">
        <f ca="1">MAX(0,SUMIF(Invoice!A:A,F504,Invoice!B:B)-SUMIF(F:F,F504,BJ:BJ))*(COUNTIF(F:F,F504)=COUNTIF($F$5:F504,F504))</f>
        <v>2000</v>
      </c>
    </row>
    <row r="505" spans="1:64" hidden="1">
      <c r="A505" s="43">
        <v>505</v>
      </c>
      <c r="B505" s="13" t="s">
        <v>147</v>
      </c>
      <c r="C505" s="13" t="s">
        <v>146</v>
      </c>
      <c r="D505" s="13">
        <v>2</v>
      </c>
      <c r="E505" s="13">
        <v>1780</v>
      </c>
      <c r="F505" s="71" t="s">
        <v>1231</v>
      </c>
      <c r="G505" s="71" t="s">
        <v>1232</v>
      </c>
      <c r="H505" s="13" t="s">
        <v>1230</v>
      </c>
      <c r="I505" s="13" t="s">
        <v>55</v>
      </c>
      <c r="J505" s="28">
        <v>0</v>
      </c>
      <c r="K505" s="13" t="s">
        <v>150</v>
      </c>
      <c r="L505" s="13" t="s">
        <v>53</v>
      </c>
      <c r="M505" s="13">
        <v>8</v>
      </c>
      <c r="O505" s="13">
        <v>1</v>
      </c>
      <c r="P505" s="13">
        <v>2</v>
      </c>
      <c r="Q505" s="13">
        <v>2</v>
      </c>
      <c r="R505" s="13" t="s">
        <v>73</v>
      </c>
      <c r="S505" s="13" t="s">
        <v>73</v>
      </c>
      <c r="T505" s="13">
        <v>44901</v>
      </c>
      <c r="U505" s="13">
        <v>2958465</v>
      </c>
      <c r="V505" s="13" t="s">
        <v>282</v>
      </c>
      <c r="W505" s="13" t="s">
        <v>145</v>
      </c>
      <c r="Y505" s="13" t="s">
        <v>143</v>
      </c>
      <c r="Z505" s="13">
        <v>7589154</v>
      </c>
      <c r="AA505" s="13">
        <v>898</v>
      </c>
      <c r="AB505" s="13">
        <v>449</v>
      </c>
      <c r="AE505" s="51">
        <f>M505/O505</f>
        <v>8</v>
      </c>
      <c r="AG505" s="6" t="str">
        <f>C505</f>
        <v>90MB1BJ0-C1BAY0</v>
      </c>
      <c r="AH505" s="6" t="str">
        <f>IF($D505&lt;=AH$4,"",IF(AND($D504=AH$4,$D505&gt;AH$4),$F504,AH504))</f>
        <v>59MB1BJB-MB0A02S</v>
      </c>
      <c r="AI505" s="6" t="str">
        <f>IF($D505&lt;=AI$4,"",IF(AND($D504=AI$4,$D505&gt;AI$4),$F504,AI504))</f>
        <v/>
      </c>
      <c r="AJ505" s="6" t="str">
        <f>IF($D505&lt;=AJ$4,"",IF(AND($D504=AJ$4,$D505&gt;AJ$4),$F504,AJ504))</f>
        <v/>
      </c>
      <c r="AK505" s="6" t="str">
        <f>IF($D505&lt;=AK$4,"",IF(AND($D504=AK$4,$D505&gt;AK$4),$F504,AK504))</f>
        <v/>
      </c>
      <c r="AL505" s="6" t="str">
        <f>IF($D505&lt;=AL$4,"",IF(AND($D504=AL$4,$D505&gt;AL$4),$F504,AL504))</f>
        <v/>
      </c>
      <c r="AM505" s="6" t="str">
        <f>IF($D505&lt;=AM$4,"",IF(AND($D504=AM$4,$D505&gt;AM$4),$F504,AM504))</f>
        <v/>
      </c>
      <c r="AN505" s="6" t="str">
        <f>IF($D505&lt;=AN$4,"",IF(AND($D504=AN$4,$D505&gt;AN$4),$F504,AN504))</f>
        <v/>
      </c>
      <c r="AO505" s="6" t="str">
        <f>CONCATENATE(AG505," | ",AH505," | ",AI505," | ",AJ505," | ",AK505," | ",AL505," | ",AM505," | ",AN505)</f>
        <v xml:space="preserve">90MB1BJ0-C1BAY0 | 59MB1BJB-MB0A02S |  |  |  |  |  | </v>
      </c>
      <c r="AP505" s="6">
        <f>IF(TRIM(H505)="",100,J505)</f>
        <v>0</v>
      </c>
      <c r="AQ505" s="4"/>
      <c r="AR505" s="6" t="b">
        <f>NOT(TRIM(W505)&lt;&gt;"F")</f>
        <v>1</v>
      </c>
      <c r="AS505" s="6" t="str">
        <f>$B505&amp;" | "&amp;$AO505&amp;" | "&amp;IF(TRIM(H505)="","uniq"&amp;ROW(),TRIM(H505))</f>
        <v>461E | 90MB1BJ0-C1BAY0 | 59MB1BJB-MB0A02S |  |  |  |  |  |  | H8</v>
      </c>
      <c r="AT505" s="63">
        <f>IF(NOT(AR505),IF(TRIM($H505)="","Assembly","Phantom Alt"),VLOOKUP(F505,ZPCS04!B:G,6,0))</f>
        <v>717</v>
      </c>
      <c r="AU505" s="7"/>
      <c r="AV505" s="38">
        <f ca="1">IF(TRIM($W505)="F",OFFSET($A$5,MATCH($AS505,$AS$5:$AS505,0)-1,0),$A505)</f>
        <v>504</v>
      </c>
      <c r="AW505" s="38">
        <f ca="1">IFERROR(OFFSET(ZPCS04!$A$1,MATCH(F505,ZPCS04!B:B,0)-1,0),100)</f>
        <v>2</v>
      </c>
      <c r="AX505" s="7"/>
      <c r="AY505" s="6" t="b">
        <f>SUMIF(AS:AS,AS505,AP:AP)=100</f>
        <v>1</v>
      </c>
      <c r="AZ505" s="6" t="b">
        <f>SUMIF(AS:AS,AS505,AE:AE)/COUNTIF(AS:AS,AS505)=AE505</f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>C505&amp;" | "&amp;F505</f>
        <v>90MB1BJ0-C1BAY0 | 10G213270113020</v>
      </c>
      <c r="BE505" s="55" t="str">
        <f ca="1">C505&amp;" | "&amp;OFFSET($AF505,0,8-COUNTBLANK($AG505:$AN505))</f>
        <v>90MB1BJ0-C1BAY0 | 59MB1BJB-MB0A02S</v>
      </c>
      <c r="BF505" s="57">
        <f ca="1">IFERROR(VLOOKUP($BE505,$BD$5:$BF504,3,0)*$AE505,VLOOKUP($C505,Demanda!$A:$B,2,0)*$AE505)*IF(AT505="Phantom Alt",$BC505,TRUE)</f>
        <v>8000</v>
      </c>
      <c r="BG505" s="57">
        <f ca="1">BF505*(AP505/100)</f>
        <v>0</v>
      </c>
      <c r="BH505" s="57">
        <f>SUMIF(Invoice!A:A,F505,Invoice!B:B)</f>
        <v>0</v>
      </c>
      <c r="BI505" s="57">
        <f ca="1">SUMIF(AS:AS,AS505,BG:BG)</f>
        <v>8000</v>
      </c>
      <c r="BJ505" s="57">
        <f ca="1">MIN((BI505-SUMIF($AS$5:AS504,AS505,$BJ$5:BJ504)),MAX(0,BH505-SUMIF($F$5:F504,F505,$BJ$5:BJ504)))</f>
        <v>0</v>
      </c>
      <c r="BK505" s="57">
        <f ca="1">(-SUMIF(AS:AS,AS505,BG:BG)+SUMIF(AS:AS,AS505,BJ:BJ))*(AP505=100)*AR505</f>
        <v>0</v>
      </c>
      <c r="BL505" s="57">
        <f ca="1">MAX(0,SUMIF(Invoice!A:A,F505,Invoice!B:B)-SUMIF(F:F,F505,BJ:BJ))*(COUNTIF(F:F,F505)=COUNTIF($F$5:F505,F505))</f>
        <v>0</v>
      </c>
    </row>
    <row r="506" spans="1:64" hidden="1">
      <c r="A506" s="43">
        <v>506</v>
      </c>
      <c r="B506" s="13" t="s">
        <v>147</v>
      </c>
      <c r="C506" s="13" t="s">
        <v>146</v>
      </c>
      <c r="D506" s="13">
        <v>2</v>
      </c>
      <c r="E506" s="13">
        <v>1780</v>
      </c>
      <c r="F506" s="71" t="s">
        <v>1233</v>
      </c>
      <c r="G506" s="71" t="s">
        <v>1234</v>
      </c>
      <c r="H506" s="13" t="s">
        <v>1230</v>
      </c>
      <c r="I506" s="13" t="s">
        <v>54</v>
      </c>
      <c r="J506" s="28">
        <v>100</v>
      </c>
      <c r="K506" s="13" t="s">
        <v>150</v>
      </c>
      <c r="L506" s="13" t="s">
        <v>53</v>
      </c>
      <c r="M506" s="13">
        <v>8</v>
      </c>
      <c r="N506" s="13">
        <v>8</v>
      </c>
      <c r="O506" s="13">
        <v>1</v>
      </c>
      <c r="P506" s="13">
        <v>2</v>
      </c>
      <c r="Q506" s="13">
        <v>1</v>
      </c>
      <c r="R506" s="13" t="s">
        <v>73</v>
      </c>
      <c r="S506" s="13" t="s">
        <v>73</v>
      </c>
      <c r="T506" s="13">
        <v>44901</v>
      </c>
      <c r="U506" s="13">
        <v>2958465</v>
      </c>
      <c r="V506" s="13" t="s">
        <v>282</v>
      </c>
      <c r="W506" s="13" t="s">
        <v>145</v>
      </c>
      <c r="Y506" s="13" t="s">
        <v>143</v>
      </c>
      <c r="Z506" s="13">
        <v>7589154</v>
      </c>
      <c r="AA506" s="13">
        <v>896</v>
      </c>
      <c r="AB506" s="13">
        <v>448</v>
      </c>
      <c r="AE506" s="51">
        <f>M506/O506</f>
        <v>8</v>
      </c>
      <c r="AG506" s="6" t="str">
        <f>C506</f>
        <v>90MB1BJ0-C1BAY0</v>
      </c>
      <c r="AH506" s="6" t="str">
        <f>IF($D506&lt;=AH$4,"",IF(AND($D505=AH$4,$D506&gt;AH$4),$F505,AH505))</f>
        <v>59MB1BJB-MB0A02S</v>
      </c>
      <c r="AI506" s="6" t="str">
        <f>IF($D506&lt;=AI$4,"",IF(AND($D505=AI$4,$D506&gt;AI$4),$F505,AI505))</f>
        <v/>
      </c>
      <c r="AJ506" s="6" t="str">
        <f>IF($D506&lt;=AJ$4,"",IF(AND($D505=AJ$4,$D506&gt;AJ$4),$F505,AJ505))</f>
        <v/>
      </c>
      <c r="AK506" s="6" t="str">
        <f>IF($D506&lt;=AK$4,"",IF(AND($D505=AK$4,$D506&gt;AK$4),$F505,AK505))</f>
        <v/>
      </c>
      <c r="AL506" s="6" t="str">
        <f>IF($D506&lt;=AL$4,"",IF(AND($D505=AL$4,$D506&gt;AL$4),$F505,AL505))</f>
        <v/>
      </c>
      <c r="AM506" s="6" t="str">
        <f>IF($D506&lt;=AM$4,"",IF(AND($D505=AM$4,$D506&gt;AM$4),$F505,AM505))</f>
        <v/>
      </c>
      <c r="AN506" s="6" t="str">
        <f>IF($D506&lt;=AN$4,"",IF(AND($D505=AN$4,$D506&gt;AN$4),$F505,AN505))</f>
        <v/>
      </c>
      <c r="AO506" s="6" t="str">
        <f>CONCATENATE(AG506," | ",AH506," | ",AI506," | ",AJ506," | ",AK506," | ",AL506," | ",AM506," | ",AN506)</f>
        <v xml:space="preserve">90MB1BJ0-C1BAY0 | 59MB1BJB-MB0A02S |  |  |  |  |  | </v>
      </c>
      <c r="AP506" s="6">
        <f>IF(TRIM(H506)="",100,J506)</f>
        <v>100</v>
      </c>
      <c r="AQ506" s="4"/>
      <c r="AR506" s="6" t="b">
        <f>NOT(TRIM(W506)&lt;&gt;"F")</f>
        <v>1</v>
      </c>
      <c r="AS506" s="6" t="str">
        <f>$B506&amp;" | "&amp;$AO506&amp;" | "&amp;IF(TRIM(H506)="","uniq"&amp;ROW(),TRIM(H506))</f>
        <v>461E | 90MB1BJ0-C1BAY0 | 59MB1BJB-MB0A02S |  |  |  |  |  |  | H8</v>
      </c>
      <c r="AT506" s="63">
        <f>IF(NOT(AR506),IF(TRIM($H506)="","Assembly","Phantom Alt"),VLOOKUP(F506,ZPCS04!B:G,6,0))</f>
        <v>717</v>
      </c>
      <c r="AU506" s="7"/>
      <c r="AV506" s="38">
        <f ca="1">IF(TRIM($W506)="F",OFFSET($A$5,MATCH($AS506,$AS$5:$AS506,0)-1,0),$A506)</f>
        <v>504</v>
      </c>
      <c r="AW506" s="38">
        <f ca="1">IFERROR(OFFSET(ZPCS04!$A$1,MATCH(F506,ZPCS04!B:B,0)-1,0),100)</f>
        <v>2</v>
      </c>
      <c r="AX506" s="7"/>
      <c r="AY506" s="6" t="b">
        <f>SUMIF(AS:AS,AS506,AP:AP)=100</f>
        <v>1</v>
      </c>
      <c r="AZ506" s="6" t="b">
        <f>SUMIF(AS:AS,AS506,AE:AE)/COUNTIF(AS:AS,AS506)=AE506</f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>C506&amp;" | "&amp;F506</f>
        <v>90MB1BJ0-C1BAY0 | 10G213270113050</v>
      </c>
      <c r="BE506" s="55" t="str">
        <f ca="1">C506&amp;" | "&amp;OFFSET($AF506,0,8-COUNTBLANK($AG506:$AN506))</f>
        <v>90MB1BJ0-C1BAY0 | 59MB1BJB-MB0A02S</v>
      </c>
      <c r="BF506" s="57">
        <f ca="1">IFERROR(VLOOKUP($BE506,$BD$5:$BF505,3,0)*$AE506,VLOOKUP($C506,Demanda!$A:$B,2,0)*$AE506)*IF(AT506="Phantom Alt",$BC506,TRUE)</f>
        <v>8000</v>
      </c>
      <c r="BG506" s="57">
        <f ca="1">BF506*(AP506/100)</f>
        <v>8000</v>
      </c>
      <c r="BH506" s="57">
        <f>SUMIF(Invoice!A:A,F506,Invoice!B:B)</f>
        <v>0</v>
      </c>
      <c r="BI506" s="57">
        <f ca="1">SUMIF(AS:AS,AS506,BG:BG)</f>
        <v>8000</v>
      </c>
      <c r="BJ506" s="57">
        <f ca="1">MIN((BI506-SUMIF($AS$5:AS505,AS506,$BJ$5:BJ505)),MAX(0,BH506-SUMIF($F$5:F505,F506,$BJ$5:BJ505)))</f>
        <v>0</v>
      </c>
      <c r="BK506" s="57">
        <f ca="1">(-SUMIF(AS:AS,AS506,BG:BG)+SUMIF(AS:AS,AS506,BJ:BJ))*(AP506=100)*AR506</f>
        <v>0</v>
      </c>
      <c r="BL506" s="57">
        <f ca="1">MAX(0,SUMIF(Invoice!A:A,F506,Invoice!B:B)-SUMIF(F:F,F506,BJ:BJ))*(COUNTIF(F:F,F506)=COUNTIF($F$5:F506,F506))</f>
        <v>0</v>
      </c>
    </row>
    <row r="507" spans="1:64" hidden="1">
      <c r="A507" s="43">
        <v>507</v>
      </c>
      <c r="B507" s="13" t="s">
        <v>147</v>
      </c>
      <c r="C507" s="13" t="s">
        <v>146</v>
      </c>
      <c r="D507" s="13">
        <v>2</v>
      </c>
      <c r="E507" s="13">
        <v>1790</v>
      </c>
      <c r="F507" s="71" t="s">
        <v>1235</v>
      </c>
      <c r="G507" s="71" t="s">
        <v>1236</v>
      </c>
      <c r="H507" s="13" t="s">
        <v>1237</v>
      </c>
      <c r="I507" s="13" t="s">
        <v>54</v>
      </c>
      <c r="J507" s="28">
        <v>100</v>
      </c>
      <c r="K507" s="13" t="s">
        <v>150</v>
      </c>
      <c r="L507" s="13" t="s">
        <v>53</v>
      </c>
      <c r="M507" s="13">
        <v>4</v>
      </c>
      <c r="N507" s="13">
        <v>4</v>
      </c>
      <c r="O507" s="13">
        <v>1</v>
      </c>
      <c r="P507" s="13">
        <v>2</v>
      </c>
      <c r="Q507" s="13">
        <v>1</v>
      </c>
      <c r="R507" s="13" t="s">
        <v>73</v>
      </c>
      <c r="S507" s="13" t="s">
        <v>73</v>
      </c>
      <c r="T507" s="13">
        <v>44901</v>
      </c>
      <c r="U507" s="13">
        <v>2958465</v>
      </c>
      <c r="V507" s="13" t="s">
        <v>282</v>
      </c>
      <c r="W507" s="13" t="s">
        <v>145</v>
      </c>
      <c r="Y507" s="13" t="s">
        <v>143</v>
      </c>
      <c r="Z507" s="13">
        <v>7589154</v>
      </c>
      <c r="AA507" s="13">
        <v>902</v>
      </c>
      <c r="AB507" s="13">
        <v>451</v>
      </c>
      <c r="AE507" s="51">
        <f>M507/O507</f>
        <v>4</v>
      </c>
      <c r="AG507" s="6" t="str">
        <f>C507</f>
        <v>90MB1BJ0-C1BAY0</v>
      </c>
      <c r="AH507" s="6" t="str">
        <f>IF($D507&lt;=AH$4,"",IF(AND($D506=AH$4,$D507&gt;AH$4),$F506,AH506))</f>
        <v>59MB1BJB-MB0A02S</v>
      </c>
      <c r="AI507" s="6" t="str">
        <f>IF($D507&lt;=AI$4,"",IF(AND($D506=AI$4,$D507&gt;AI$4),$F506,AI506))</f>
        <v/>
      </c>
      <c r="AJ507" s="6" t="str">
        <f>IF($D507&lt;=AJ$4,"",IF(AND($D506=AJ$4,$D507&gt;AJ$4),$F506,AJ506))</f>
        <v/>
      </c>
      <c r="AK507" s="6" t="str">
        <f>IF($D507&lt;=AK$4,"",IF(AND($D506=AK$4,$D507&gt;AK$4),$F506,AK506))</f>
        <v/>
      </c>
      <c r="AL507" s="6" t="str">
        <f>IF($D507&lt;=AL$4,"",IF(AND($D506=AL$4,$D507&gt;AL$4),$F506,AL506))</f>
        <v/>
      </c>
      <c r="AM507" s="6" t="str">
        <f>IF($D507&lt;=AM$4,"",IF(AND($D506=AM$4,$D507&gt;AM$4),$F506,AM506))</f>
        <v/>
      </c>
      <c r="AN507" s="6" t="str">
        <f>IF($D507&lt;=AN$4,"",IF(AND($D506=AN$4,$D507&gt;AN$4),$F506,AN506))</f>
        <v/>
      </c>
      <c r="AO507" s="6" t="str">
        <f>CONCATENATE(AG507," | ",AH507," | ",AI507," | ",AJ507," | ",AK507," | ",AL507," | ",AM507," | ",AN507)</f>
        <v xml:space="preserve">90MB1BJ0-C1BAY0 | 59MB1BJB-MB0A02S |  |  |  |  |  | </v>
      </c>
      <c r="AP507" s="6">
        <f>IF(TRIM(H507)="",100,J507)</f>
        <v>100</v>
      </c>
      <c r="AQ507" s="4"/>
      <c r="AR507" s="6" t="b">
        <f>NOT(TRIM(W507)&lt;&gt;"F")</f>
        <v>1</v>
      </c>
      <c r="AS507" s="6" t="str">
        <f>$B507&amp;" | "&amp;$AO507&amp;" | "&amp;IF(TRIM(H507)="","uniq"&amp;ROW(),TRIM(H507))</f>
        <v>461E | 90MB1BJ0-C1BAY0 | 59MB1BJB-MB0A02S |  |  |  |  |  |  | H9</v>
      </c>
      <c r="AT507" s="63">
        <f>IF(NOT(AR507),IF(TRIM($H507)="","Assembly","Phantom Alt"),VLOOKUP(F507,ZPCS04!B:G,6,0))</f>
        <v>1222</v>
      </c>
      <c r="AU507" s="7"/>
      <c r="AV507" s="38">
        <f ca="1">IF(TRIM($W507)="F",OFFSET($A$5,MATCH($AS507,$AS$5:$AS507,0)-1,0),$A507)</f>
        <v>507</v>
      </c>
      <c r="AW507" s="38">
        <f ca="1">IFERROR(OFFSET(ZPCS04!$A$1,MATCH(F507,ZPCS04!B:B,0)-1,0),100)</f>
        <v>1.9999999499999999</v>
      </c>
      <c r="AX507" s="7"/>
      <c r="AY507" s="6" t="b">
        <f>SUMIF(AS:AS,AS507,AP:AP)=100</f>
        <v>1</v>
      </c>
      <c r="AZ507" s="6" t="b">
        <f>SUMIF(AS:AS,AS507,AE:AE)/COUNTIF(AS:AS,AS507)=AE507</f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>C507&amp;" | "&amp;F507</f>
        <v>90MB1BJ0-C1BAY0 | 10G213280013010</v>
      </c>
      <c r="BE507" s="55" t="str">
        <f ca="1">C507&amp;" | "&amp;OFFSET($AF507,0,8-COUNTBLANK($AG507:$AN507))</f>
        <v>90MB1BJ0-C1BAY0 | 59MB1BJB-MB0A02S</v>
      </c>
      <c r="BF507" s="57">
        <f ca="1">IFERROR(VLOOKUP($BE507,$BD$5:$BF506,3,0)*$AE507,VLOOKUP($C507,Demanda!$A:$B,2,0)*$AE507)*IF(AT507="Phantom Alt",$BC507,TRUE)</f>
        <v>4000</v>
      </c>
      <c r="BG507" s="57">
        <f ca="1">BF507*(AP507/100)</f>
        <v>4000</v>
      </c>
      <c r="BH507" s="57">
        <f>SUMIF(Invoice!A:A,F507,Invoice!B:B)</f>
        <v>5000</v>
      </c>
      <c r="BI507" s="57">
        <f ca="1">SUMIF(AS:AS,AS507,BG:BG)</f>
        <v>4000</v>
      </c>
      <c r="BJ507" s="57">
        <f ca="1">MIN((BI507-SUMIF($AS$5:AS506,AS507,$BJ$5:BJ506)),MAX(0,BH507-SUMIF($F$5:F506,F507,$BJ$5:BJ506)))</f>
        <v>4000</v>
      </c>
      <c r="BK507" s="57">
        <f ca="1">(-SUMIF(AS:AS,AS507,BG:BG)+SUMIF(AS:AS,AS507,BJ:BJ))*(AP507=100)*AR507</f>
        <v>0</v>
      </c>
      <c r="BL507" s="57">
        <f ca="1">MAX(0,SUMIF(Invoice!A:A,F507,Invoice!B:B)-SUMIF(F:F,F507,BJ:BJ))*(COUNTIF(F:F,F507)=COUNTIF($F$5:F507,F507))</f>
        <v>1000</v>
      </c>
    </row>
    <row r="508" spans="1:64" hidden="1">
      <c r="A508" s="43">
        <v>508</v>
      </c>
      <c r="B508" s="13" t="s">
        <v>147</v>
      </c>
      <c r="C508" s="13" t="s">
        <v>146</v>
      </c>
      <c r="D508" s="13">
        <v>2</v>
      </c>
      <c r="E508" s="13">
        <v>1790</v>
      </c>
      <c r="F508" s="71" t="s">
        <v>1238</v>
      </c>
      <c r="G508" s="71" t="s">
        <v>1239</v>
      </c>
      <c r="H508" s="13" t="s">
        <v>1237</v>
      </c>
      <c r="I508" s="13" t="s">
        <v>55</v>
      </c>
      <c r="J508" s="28">
        <v>0</v>
      </c>
      <c r="K508" s="13" t="s">
        <v>150</v>
      </c>
      <c r="L508" s="13" t="s">
        <v>53</v>
      </c>
      <c r="M508" s="13">
        <v>4</v>
      </c>
      <c r="O508" s="13">
        <v>1</v>
      </c>
      <c r="P508" s="13">
        <v>2</v>
      </c>
      <c r="Q508" s="13">
        <v>3</v>
      </c>
      <c r="R508" s="13" t="s">
        <v>73</v>
      </c>
      <c r="S508" s="13" t="s">
        <v>73</v>
      </c>
      <c r="T508" s="13">
        <v>44901</v>
      </c>
      <c r="U508" s="13">
        <v>2958465</v>
      </c>
      <c r="V508" s="13" t="s">
        <v>282</v>
      </c>
      <c r="W508" s="13" t="s">
        <v>145</v>
      </c>
      <c r="Y508" s="13" t="s">
        <v>143</v>
      </c>
      <c r="Z508" s="13">
        <v>7589154</v>
      </c>
      <c r="AA508" s="13">
        <v>906</v>
      </c>
      <c r="AB508" s="13">
        <v>453</v>
      </c>
      <c r="AE508" s="51">
        <f>M508/O508</f>
        <v>4</v>
      </c>
      <c r="AG508" s="6" t="str">
        <f>C508</f>
        <v>90MB1BJ0-C1BAY0</v>
      </c>
      <c r="AH508" s="6" t="str">
        <f>IF($D508&lt;=AH$4,"",IF(AND($D507=AH$4,$D508&gt;AH$4),$F507,AH507))</f>
        <v>59MB1BJB-MB0A02S</v>
      </c>
      <c r="AI508" s="6" t="str">
        <f>IF($D508&lt;=AI$4,"",IF(AND($D507=AI$4,$D508&gt;AI$4),$F507,AI507))</f>
        <v/>
      </c>
      <c r="AJ508" s="6" t="str">
        <f>IF($D508&lt;=AJ$4,"",IF(AND($D507=AJ$4,$D508&gt;AJ$4),$F507,AJ507))</f>
        <v/>
      </c>
      <c r="AK508" s="6" t="str">
        <f>IF($D508&lt;=AK$4,"",IF(AND($D507=AK$4,$D508&gt;AK$4),$F507,AK507))</f>
        <v/>
      </c>
      <c r="AL508" s="6" t="str">
        <f>IF($D508&lt;=AL$4,"",IF(AND($D507=AL$4,$D508&gt;AL$4),$F507,AL507))</f>
        <v/>
      </c>
      <c r="AM508" s="6" t="str">
        <f>IF($D508&lt;=AM$4,"",IF(AND($D507=AM$4,$D508&gt;AM$4),$F507,AM507))</f>
        <v/>
      </c>
      <c r="AN508" s="6" t="str">
        <f>IF($D508&lt;=AN$4,"",IF(AND($D507=AN$4,$D508&gt;AN$4),$F507,AN507))</f>
        <v/>
      </c>
      <c r="AO508" s="6" t="str">
        <f>CONCATENATE(AG508," | ",AH508," | ",AI508," | ",AJ508," | ",AK508," | ",AL508," | ",AM508," | ",AN508)</f>
        <v xml:space="preserve">90MB1BJ0-C1BAY0 | 59MB1BJB-MB0A02S |  |  |  |  |  | </v>
      </c>
      <c r="AP508" s="6">
        <f>IF(TRIM(H508)="",100,J508)</f>
        <v>0</v>
      </c>
      <c r="AQ508" s="4"/>
      <c r="AR508" s="6" t="b">
        <f>NOT(TRIM(W508)&lt;&gt;"F")</f>
        <v>1</v>
      </c>
      <c r="AS508" s="6" t="str">
        <f>$B508&amp;" | "&amp;$AO508&amp;" | "&amp;IF(TRIM(H508)="","uniq"&amp;ROW(),TRIM(H508))</f>
        <v>461E | 90MB1BJ0-C1BAY0 | 59MB1BJB-MB0A02S |  |  |  |  |  |  | H9</v>
      </c>
      <c r="AT508" s="63">
        <f>IF(NOT(AR508),IF(TRIM($H508)="","Assembly","Phantom Alt"),VLOOKUP(F508,ZPCS04!B:G,6,0))</f>
        <v>1222</v>
      </c>
      <c r="AU508" s="7"/>
      <c r="AV508" s="38">
        <f ca="1">IF(TRIM($W508)="F",OFFSET($A$5,MATCH($AS508,$AS$5:$AS508,0)-1,0),$A508)</f>
        <v>507</v>
      </c>
      <c r="AW508" s="38">
        <f ca="1">IFERROR(OFFSET(ZPCS04!$A$1,MATCH(F508,ZPCS04!B:B,0)-1,0),100)</f>
        <v>2</v>
      </c>
      <c r="AX508" s="7"/>
      <c r="AY508" s="6" t="b">
        <f>SUMIF(AS:AS,AS508,AP:AP)=100</f>
        <v>1</v>
      </c>
      <c r="AZ508" s="6" t="b">
        <f>SUMIF(AS:AS,AS508,AE:AE)/COUNTIF(AS:AS,AS508)=AE508</f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>C508&amp;" | "&amp;F508</f>
        <v>90MB1BJ0-C1BAY0 | 10G213280013020</v>
      </c>
      <c r="BE508" s="55" t="str">
        <f ca="1">C508&amp;" | "&amp;OFFSET($AF508,0,8-COUNTBLANK($AG508:$AN508))</f>
        <v>90MB1BJ0-C1BAY0 | 59MB1BJB-MB0A02S</v>
      </c>
      <c r="BF508" s="57">
        <f ca="1">IFERROR(VLOOKUP($BE508,$BD$5:$BF507,3,0)*$AE508,VLOOKUP($C508,Demanda!$A:$B,2,0)*$AE508)*IF(AT508="Phantom Alt",$BC508,TRUE)</f>
        <v>4000</v>
      </c>
      <c r="BG508" s="57">
        <f ca="1">BF508*(AP508/100)</f>
        <v>0</v>
      </c>
      <c r="BH508" s="57">
        <f>SUMIF(Invoice!A:A,F508,Invoice!B:B)</f>
        <v>0</v>
      </c>
      <c r="BI508" s="57">
        <f ca="1">SUMIF(AS:AS,AS508,BG:BG)</f>
        <v>4000</v>
      </c>
      <c r="BJ508" s="57">
        <f ca="1">MIN((BI508-SUMIF($AS$5:AS507,AS508,$BJ$5:BJ507)),MAX(0,BH508-SUMIF($F$5:F507,F508,$BJ$5:BJ507)))</f>
        <v>0</v>
      </c>
      <c r="BK508" s="57">
        <f ca="1">(-SUMIF(AS:AS,AS508,BG:BG)+SUMIF(AS:AS,AS508,BJ:BJ))*(AP508=100)*AR508</f>
        <v>0</v>
      </c>
      <c r="BL508" s="57">
        <f ca="1">MAX(0,SUMIF(Invoice!A:A,F508,Invoice!B:B)-SUMIF(F:F,F508,BJ:BJ))*(COUNTIF(F:F,F508)=COUNTIF($F$5:F508,F508))</f>
        <v>0</v>
      </c>
    </row>
    <row r="509" spans="1:64" hidden="1">
      <c r="A509" s="43">
        <v>509</v>
      </c>
      <c r="B509" s="13" t="s">
        <v>147</v>
      </c>
      <c r="C509" s="13" t="s">
        <v>146</v>
      </c>
      <c r="D509" s="13">
        <v>2</v>
      </c>
      <c r="E509" s="13">
        <v>1790</v>
      </c>
      <c r="F509" s="71" t="s">
        <v>1240</v>
      </c>
      <c r="G509" s="71" t="s">
        <v>1241</v>
      </c>
      <c r="H509" s="13" t="s">
        <v>1237</v>
      </c>
      <c r="I509" s="13" t="s">
        <v>55</v>
      </c>
      <c r="J509" s="28">
        <v>0</v>
      </c>
      <c r="K509" s="13" t="s">
        <v>150</v>
      </c>
      <c r="L509" s="13" t="s">
        <v>53</v>
      </c>
      <c r="M509" s="13">
        <v>4</v>
      </c>
      <c r="O509" s="13">
        <v>1</v>
      </c>
      <c r="P509" s="13">
        <v>2</v>
      </c>
      <c r="Q509" s="13">
        <v>2</v>
      </c>
      <c r="R509" s="13" t="s">
        <v>73</v>
      </c>
      <c r="S509" s="13" t="s">
        <v>73</v>
      </c>
      <c r="T509" s="13">
        <v>44901</v>
      </c>
      <c r="U509" s="13">
        <v>2958465</v>
      </c>
      <c r="V509" s="13" t="s">
        <v>282</v>
      </c>
      <c r="W509" s="13" t="s">
        <v>145</v>
      </c>
      <c r="Y509" s="13" t="s">
        <v>143</v>
      </c>
      <c r="Z509" s="13">
        <v>7589154</v>
      </c>
      <c r="AA509" s="13">
        <v>904</v>
      </c>
      <c r="AB509" s="13">
        <v>452</v>
      </c>
      <c r="AE509" s="51">
        <f>M509/O509</f>
        <v>4</v>
      </c>
      <c r="AG509" s="6" t="str">
        <f>C509</f>
        <v>90MB1BJ0-C1BAY0</v>
      </c>
      <c r="AH509" s="6" t="str">
        <f>IF($D509&lt;=AH$4,"",IF(AND($D508=AH$4,$D509&gt;AH$4),$F508,AH508))</f>
        <v>59MB1BJB-MB0A02S</v>
      </c>
      <c r="AI509" s="6" t="str">
        <f>IF($D509&lt;=AI$4,"",IF(AND($D508=AI$4,$D509&gt;AI$4),$F508,AI508))</f>
        <v/>
      </c>
      <c r="AJ509" s="6" t="str">
        <f>IF($D509&lt;=AJ$4,"",IF(AND($D508=AJ$4,$D509&gt;AJ$4),$F508,AJ508))</f>
        <v/>
      </c>
      <c r="AK509" s="6" t="str">
        <f>IF($D509&lt;=AK$4,"",IF(AND($D508=AK$4,$D509&gt;AK$4),$F508,AK508))</f>
        <v/>
      </c>
      <c r="AL509" s="6" t="str">
        <f>IF($D509&lt;=AL$4,"",IF(AND($D508=AL$4,$D509&gt;AL$4),$F508,AL508))</f>
        <v/>
      </c>
      <c r="AM509" s="6" t="str">
        <f>IF($D509&lt;=AM$4,"",IF(AND($D508=AM$4,$D509&gt;AM$4),$F508,AM508))</f>
        <v/>
      </c>
      <c r="AN509" s="6" t="str">
        <f>IF($D509&lt;=AN$4,"",IF(AND($D508=AN$4,$D509&gt;AN$4),$F508,AN508))</f>
        <v/>
      </c>
      <c r="AO509" s="6" t="str">
        <f>CONCATENATE(AG509," | ",AH509," | ",AI509," | ",AJ509," | ",AK509," | ",AL509," | ",AM509," | ",AN509)</f>
        <v xml:space="preserve">90MB1BJ0-C1BAY0 | 59MB1BJB-MB0A02S |  |  |  |  |  | </v>
      </c>
      <c r="AP509" s="6">
        <f>IF(TRIM(H509)="",100,J509)</f>
        <v>0</v>
      </c>
      <c r="AQ509" s="4"/>
      <c r="AR509" s="6" t="b">
        <f>NOT(TRIM(W509)&lt;&gt;"F")</f>
        <v>1</v>
      </c>
      <c r="AS509" s="6" t="str">
        <f>$B509&amp;" | "&amp;$AO509&amp;" | "&amp;IF(TRIM(H509)="","uniq"&amp;ROW(),TRIM(H509))</f>
        <v>461E | 90MB1BJ0-C1BAY0 | 59MB1BJB-MB0A02S |  |  |  |  |  |  | H9</v>
      </c>
      <c r="AT509" s="63">
        <f>IF(NOT(AR509),IF(TRIM($H509)="","Assembly","Phantom Alt"),VLOOKUP(F509,ZPCS04!B:G,6,0))</f>
        <v>1222</v>
      </c>
      <c r="AU509" s="7"/>
      <c r="AV509" s="38">
        <f ca="1">IF(TRIM($W509)="F",OFFSET($A$5,MATCH($AS509,$AS$5:$AS509,0)-1,0),$A509)</f>
        <v>507</v>
      </c>
      <c r="AW509" s="38">
        <f ca="1">IFERROR(OFFSET(ZPCS04!$A$1,MATCH(F509,ZPCS04!B:B,0)-1,0),100)</f>
        <v>2</v>
      </c>
      <c r="AX509" s="7"/>
      <c r="AY509" s="6" t="b">
        <f>SUMIF(AS:AS,AS509,AP:AP)=100</f>
        <v>1</v>
      </c>
      <c r="AZ509" s="6" t="b">
        <f>SUMIF(AS:AS,AS509,AE:AE)/COUNTIF(AS:AS,AS509)=AE509</f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>C509&amp;" | "&amp;F509</f>
        <v>90MB1BJ0-C1BAY0 | 10G213280013050</v>
      </c>
      <c r="BE509" s="55" t="str">
        <f ca="1">C509&amp;" | "&amp;OFFSET($AF509,0,8-COUNTBLANK($AG509:$AN509))</f>
        <v>90MB1BJ0-C1BAY0 | 59MB1BJB-MB0A02S</v>
      </c>
      <c r="BF509" s="57">
        <f ca="1">IFERROR(VLOOKUP($BE509,$BD$5:$BF508,3,0)*$AE509,VLOOKUP($C509,Demanda!$A:$B,2,0)*$AE509)*IF(AT509="Phantom Alt",$BC509,TRUE)</f>
        <v>4000</v>
      </c>
      <c r="BG509" s="57">
        <f ca="1">BF509*(AP509/100)</f>
        <v>0</v>
      </c>
      <c r="BH509" s="57">
        <f>SUMIF(Invoice!A:A,F509,Invoice!B:B)</f>
        <v>0</v>
      </c>
      <c r="BI509" s="57">
        <f ca="1">SUMIF(AS:AS,AS509,BG:BG)</f>
        <v>4000</v>
      </c>
      <c r="BJ509" s="57">
        <f ca="1">MIN((BI509-SUMIF($AS$5:AS508,AS509,$BJ$5:BJ508)),MAX(0,BH509-SUMIF($F$5:F508,F509,$BJ$5:BJ508)))</f>
        <v>0</v>
      </c>
      <c r="BK509" s="57">
        <f ca="1">(-SUMIF(AS:AS,AS509,BG:BG)+SUMIF(AS:AS,AS509,BJ:BJ))*(AP509=100)*AR509</f>
        <v>0</v>
      </c>
      <c r="BL509" s="57">
        <f ca="1">MAX(0,SUMIF(Invoice!A:A,F509,Invoice!B:B)-SUMIF(F:F,F509,BJ:BJ))*(COUNTIF(F:F,F509)=COUNTIF($F$5:F509,F509))</f>
        <v>0</v>
      </c>
    </row>
    <row r="510" spans="1:64" hidden="1">
      <c r="A510" s="43">
        <v>510</v>
      </c>
      <c r="B510" s="13" t="s">
        <v>147</v>
      </c>
      <c r="C510" s="13" t="s">
        <v>146</v>
      </c>
      <c r="D510" s="13">
        <v>2</v>
      </c>
      <c r="E510" s="13">
        <v>1800</v>
      </c>
      <c r="F510" s="71" t="s">
        <v>1242</v>
      </c>
      <c r="G510" s="71" t="s">
        <v>1243</v>
      </c>
      <c r="H510" s="13" t="s">
        <v>1244</v>
      </c>
      <c r="I510" s="13" t="s">
        <v>54</v>
      </c>
      <c r="J510" s="28">
        <v>100</v>
      </c>
      <c r="K510" s="13" t="s">
        <v>489</v>
      </c>
      <c r="L510" s="13" t="s">
        <v>53</v>
      </c>
      <c r="M510" s="13">
        <v>18</v>
      </c>
      <c r="N510" s="13">
        <v>18</v>
      </c>
      <c r="O510" s="13">
        <v>1</v>
      </c>
      <c r="P510" s="13">
        <v>2</v>
      </c>
      <c r="Q510" s="13">
        <v>1</v>
      </c>
      <c r="R510" s="13" t="s">
        <v>122</v>
      </c>
      <c r="S510" s="13" t="s">
        <v>122</v>
      </c>
      <c r="T510" s="13">
        <v>44901</v>
      </c>
      <c r="U510" s="13">
        <v>2958465</v>
      </c>
      <c r="V510" s="13" t="s">
        <v>282</v>
      </c>
      <c r="W510" s="13" t="s">
        <v>145</v>
      </c>
      <c r="Y510" s="13" t="s">
        <v>143</v>
      </c>
      <c r="Z510" s="13">
        <v>7589154</v>
      </c>
      <c r="AA510" s="13">
        <v>908</v>
      </c>
      <c r="AB510" s="13">
        <v>454</v>
      </c>
      <c r="AE510" s="51">
        <f>M510/O510</f>
        <v>18</v>
      </c>
      <c r="AG510" s="6" t="str">
        <f>C510</f>
        <v>90MB1BJ0-C1BAY0</v>
      </c>
      <c r="AH510" s="6" t="str">
        <f>IF($D510&lt;=AH$4,"",IF(AND($D509=AH$4,$D510&gt;AH$4),$F509,AH509))</f>
        <v>59MB1BJB-MB0A02S</v>
      </c>
      <c r="AI510" s="6" t="str">
        <f>IF($D510&lt;=AI$4,"",IF(AND($D509=AI$4,$D510&gt;AI$4),$F509,AI509))</f>
        <v/>
      </c>
      <c r="AJ510" s="6" t="str">
        <f>IF($D510&lt;=AJ$4,"",IF(AND($D509=AJ$4,$D510&gt;AJ$4),$F509,AJ509))</f>
        <v/>
      </c>
      <c r="AK510" s="6" t="str">
        <f>IF($D510&lt;=AK$4,"",IF(AND($D509=AK$4,$D510&gt;AK$4),$F509,AK509))</f>
        <v/>
      </c>
      <c r="AL510" s="6" t="str">
        <f>IF($D510&lt;=AL$4,"",IF(AND($D509=AL$4,$D510&gt;AL$4),$F509,AL509))</f>
        <v/>
      </c>
      <c r="AM510" s="6" t="str">
        <f>IF($D510&lt;=AM$4,"",IF(AND($D509=AM$4,$D510&gt;AM$4),$F509,AM509))</f>
        <v/>
      </c>
      <c r="AN510" s="6" t="str">
        <f>IF($D510&lt;=AN$4,"",IF(AND($D509=AN$4,$D510&gt;AN$4),$F509,AN509))</f>
        <v/>
      </c>
      <c r="AO510" s="6" t="str">
        <f>CONCATENATE(AG510," | ",AH510," | ",AI510," | ",AJ510," | ",AK510," | ",AL510," | ",AM510," | ",AN510)</f>
        <v xml:space="preserve">90MB1BJ0-C1BAY0 | 59MB1BJB-MB0A02S |  |  |  |  |  | </v>
      </c>
      <c r="AP510" s="6">
        <f>IF(TRIM(H510)="",100,J510)</f>
        <v>100</v>
      </c>
      <c r="AQ510" s="4"/>
      <c r="AR510" s="6" t="b">
        <f>NOT(TRIM(W510)&lt;&gt;"F")</f>
        <v>1</v>
      </c>
      <c r="AS510" s="6" t="str">
        <f>$B510&amp;" | "&amp;$AO510&amp;" | "&amp;IF(TRIM(H510)="","uniq"&amp;ROW(),TRIM(H510))</f>
        <v>461E | 90MB1BJ0-C1BAY0 | 59MB1BJB-MB0A02S |  |  |  |  |  |  | I0</v>
      </c>
      <c r="AT510" s="63">
        <f>IF(NOT(AR510),IF(TRIM($H510)="","Assembly","Phantom Alt"),VLOOKUP(F510,ZPCS04!B:G,6,0))</f>
        <v>872</v>
      </c>
      <c r="AU510" s="7"/>
      <c r="AV510" s="38">
        <f ca="1">IF(TRIM($W510)="F",OFFSET($A$5,MATCH($AS510,$AS$5:$AS510,0)-1,0),$A510)</f>
        <v>510</v>
      </c>
      <c r="AW510" s="38">
        <f ca="1">IFERROR(OFFSET(ZPCS04!$A$1,MATCH(F510,ZPCS04!B:B,0)-1,0),100)</f>
        <v>1.9999997999999999</v>
      </c>
      <c r="AX510" s="7"/>
      <c r="AY510" s="6" t="b">
        <f>SUMIF(AS:AS,AS510,AP:AP)=100</f>
        <v>1</v>
      </c>
      <c r="AZ510" s="6" t="b">
        <f>SUMIF(AS:AS,AS510,AE:AE)/COUNTIF(AS:AS,AS510)=AE510</f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>C510&amp;" | "&amp;F510</f>
        <v>90MB1BJ0-C1BAY0 | 10G2132R2003010</v>
      </c>
      <c r="BE510" s="55" t="str">
        <f ca="1">C510&amp;" | "&amp;OFFSET($AF510,0,8-COUNTBLANK($AG510:$AN510))</f>
        <v>90MB1BJ0-C1BAY0 | 59MB1BJB-MB0A02S</v>
      </c>
      <c r="BF510" s="57">
        <f ca="1">IFERROR(VLOOKUP($BE510,$BD$5:$BF509,3,0)*$AE510,VLOOKUP($C510,Demanda!$A:$B,2,0)*$AE510)*IF(AT510="Phantom Alt",$BC510,TRUE)</f>
        <v>18000</v>
      </c>
      <c r="BG510" s="57">
        <f ca="1">BF510*(AP510/100)</f>
        <v>18000</v>
      </c>
      <c r="BH510" s="57">
        <f>SUMIF(Invoice!A:A,F510,Invoice!B:B)</f>
        <v>20000</v>
      </c>
      <c r="BI510" s="57">
        <f ca="1">SUMIF(AS:AS,AS510,BG:BG)</f>
        <v>18000</v>
      </c>
      <c r="BJ510" s="57">
        <f ca="1">MIN((BI510-SUMIF($AS$5:AS509,AS510,$BJ$5:BJ509)),MAX(0,BH510-SUMIF($F$5:F509,F510,$BJ$5:BJ509)))</f>
        <v>18000</v>
      </c>
      <c r="BK510" s="57">
        <f ca="1">(-SUMIF(AS:AS,AS510,BG:BG)+SUMIF(AS:AS,AS510,BJ:BJ))*(AP510=100)*AR510</f>
        <v>0</v>
      </c>
      <c r="BL510" s="57">
        <f ca="1">MAX(0,SUMIF(Invoice!A:A,F510,Invoice!B:B)-SUMIF(F:F,F510,BJ:BJ))*(COUNTIF(F:F,F510)=COUNTIF($F$5:F510,F510))</f>
        <v>2000</v>
      </c>
    </row>
    <row r="511" spans="1:64" hidden="1">
      <c r="A511" s="43">
        <v>511</v>
      </c>
      <c r="B511" s="13" t="s">
        <v>147</v>
      </c>
      <c r="C511" s="13" t="s">
        <v>146</v>
      </c>
      <c r="D511" s="13">
        <v>2</v>
      </c>
      <c r="E511" s="13">
        <v>1800</v>
      </c>
      <c r="F511" s="71" t="s">
        <v>1245</v>
      </c>
      <c r="G511" s="71" t="s">
        <v>1246</v>
      </c>
      <c r="H511" s="13" t="s">
        <v>1244</v>
      </c>
      <c r="I511" s="13" t="s">
        <v>55</v>
      </c>
      <c r="J511" s="28">
        <v>0</v>
      </c>
      <c r="K511" s="13" t="s">
        <v>489</v>
      </c>
      <c r="L511" s="13" t="s">
        <v>53</v>
      </c>
      <c r="M511" s="13">
        <v>18</v>
      </c>
      <c r="O511" s="13">
        <v>1</v>
      </c>
      <c r="P511" s="13">
        <v>2</v>
      </c>
      <c r="Q511" s="13">
        <v>3</v>
      </c>
      <c r="R511" s="13" t="s">
        <v>122</v>
      </c>
      <c r="S511" s="13" t="s">
        <v>122</v>
      </c>
      <c r="T511" s="13">
        <v>44901</v>
      </c>
      <c r="U511" s="13">
        <v>2958465</v>
      </c>
      <c r="V511" s="13" t="s">
        <v>282</v>
      </c>
      <c r="W511" s="13" t="s">
        <v>145</v>
      </c>
      <c r="Y511" s="13" t="s">
        <v>143</v>
      </c>
      <c r="Z511" s="13">
        <v>7589154</v>
      </c>
      <c r="AA511" s="13">
        <v>912</v>
      </c>
      <c r="AB511" s="13">
        <v>456</v>
      </c>
      <c r="AE511" s="51">
        <f>M511/O511</f>
        <v>18</v>
      </c>
      <c r="AG511" s="6" t="str">
        <f>C511</f>
        <v>90MB1BJ0-C1BAY0</v>
      </c>
      <c r="AH511" s="6" t="str">
        <f>IF($D511&lt;=AH$4,"",IF(AND($D510=AH$4,$D511&gt;AH$4),$F510,AH510))</f>
        <v>59MB1BJB-MB0A02S</v>
      </c>
      <c r="AI511" s="6" t="str">
        <f>IF($D511&lt;=AI$4,"",IF(AND($D510=AI$4,$D511&gt;AI$4),$F510,AI510))</f>
        <v/>
      </c>
      <c r="AJ511" s="6" t="str">
        <f>IF($D511&lt;=AJ$4,"",IF(AND($D510=AJ$4,$D511&gt;AJ$4),$F510,AJ510))</f>
        <v/>
      </c>
      <c r="AK511" s="6" t="str">
        <f>IF($D511&lt;=AK$4,"",IF(AND($D510=AK$4,$D511&gt;AK$4),$F510,AK510))</f>
        <v/>
      </c>
      <c r="AL511" s="6" t="str">
        <f>IF($D511&lt;=AL$4,"",IF(AND($D510=AL$4,$D511&gt;AL$4),$F510,AL510))</f>
        <v/>
      </c>
      <c r="AM511" s="6" t="str">
        <f>IF($D511&lt;=AM$4,"",IF(AND($D510=AM$4,$D511&gt;AM$4),$F510,AM510))</f>
        <v/>
      </c>
      <c r="AN511" s="6" t="str">
        <f>IF($D511&lt;=AN$4,"",IF(AND($D510=AN$4,$D511&gt;AN$4),$F510,AN510))</f>
        <v/>
      </c>
      <c r="AO511" s="6" t="str">
        <f>CONCATENATE(AG511," | ",AH511," | ",AI511," | ",AJ511," | ",AK511," | ",AL511," | ",AM511," | ",AN511)</f>
        <v xml:space="preserve">90MB1BJ0-C1BAY0 | 59MB1BJB-MB0A02S |  |  |  |  |  | </v>
      </c>
      <c r="AP511" s="6">
        <f>IF(TRIM(H511)="",100,J511)</f>
        <v>0</v>
      </c>
      <c r="AQ511" s="4"/>
      <c r="AR511" s="6" t="b">
        <f>NOT(TRIM(W511)&lt;&gt;"F")</f>
        <v>1</v>
      </c>
      <c r="AS511" s="6" t="str">
        <f>$B511&amp;" | "&amp;$AO511&amp;" | "&amp;IF(TRIM(H511)="","uniq"&amp;ROW(),TRIM(H511))</f>
        <v>461E | 90MB1BJ0-C1BAY0 | 59MB1BJB-MB0A02S |  |  |  |  |  |  | I0</v>
      </c>
      <c r="AT511" s="63">
        <f>IF(NOT(AR511),IF(TRIM($H511)="","Assembly","Phantom Alt"),VLOOKUP(F511,ZPCS04!B:G,6,0))</f>
        <v>872</v>
      </c>
      <c r="AU511" s="7"/>
      <c r="AV511" s="38">
        <f ca="1">IF(TRIM($W511)="F",OFFSET($A$5,MATCH($AS511,$AS$5:$AS511,0)-1,0),$A511)</f>
        <v>510</v>
      </c>
      <c r="AW511" s="38">
        <f ca="1">IFERROR(OFFSET(ZPCS04!$A$1,MATCH(F511,ZPCS04!B:B,0)-1,0),100)</f>
        <v>2</v>
      </c>
      <c r="AX511" s="7"/>
      <c r="AY511" s="6" t="b">
        <f>SUMIF(AS:AS,AS511,AP:AP)=100</f>
        <v>1</v>
      </c>
      <c r="AZ511" s="6" t="b">
        <f>SUMIF(AS:AS,AS511,AE:AE)/COUNTIF(AS:AS,AS511)=AE511</f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>C511&amp;" | "&amp;F511</f>
        <v>90MB1BJ0-C1BAY0 | 10G2132R2003020</v>
      </c>
      <c r="BE511" s="55" t="str">
        <f ca="1">C511&amp;" | "&amp;OFFSET($AF511,0,8-COUNTBLANK($AG511:$AN511))</f>
        <v>90MB1BJ0-C1BAY0 | 59MB1BJB-MB0A02S</v>
      </c>
      <c r="BF511" s="57">
        <f ca="1">IFERROR(VLOOKUP($BE511,$BD$5:$BF510,3,0)*$AE511,VLOOKUP($C511,Demanda!$A:$B,2,0)*$AE511)*IF(AT511="Phantom Alt",$BC511,TRUE)</f>
        <v>18000</v>
      </c>
      <c r="BG511" s="57">
        <f ca="1">BF511*(AP511/100)</f>
        <v>0</v>
      </c>
      <c r="BH511" s="57">
        <f>SUMIF(Invoice!A:A,F511,Invoice!B:B)</f>
        <v>0</v>
      </c>
      <c r="BI511" s="57">
        <f ca="1">SUMIF(AS:AS,AS511,BG:BG)</f>
        <v>18000</v>
      </c>
      <c r="BJ511" s="57">
        <f ca="1">MIN((BI511-SUMIF($AS$5:AS510,AS511,$BJ$5:BJ510)),MAX(0,BH511-SUMIF($F$5:F510,F511,$BJ$5:BJ510)))</f>
        <v>0</v>
      </c>
      <c r="BK511" s="57">
        <f ca="1">(-SUMIF(AS:AS,AS511,BG:BG)+SUMIF(AS:AS,AS511,BJ:BJ))*(AP511=100)*AR511</f>
        <v>0</v>
      </c>
      <c r="BL511" s="57">
        <f ca="1">MAX(0,SUMIF(Invoice!A:A,F511,Invoice!B:B)-SUMIF(F:F,F511,BJ:BJ))*(COUNTIF(F:F,F511)=COUNTIF($F$5:F511,F511))</f>
        <v>0</v>
      </c>
    </row>
    <row r="512" spans="1:64" hidden="1">
      <c r="A512" s="43">
        <v>512</v>
      </c>
      <c r="B512" s="13" t="s">
        <v>147</v>
      </c>
      <c r="C512" s="13" t="s">
        <v>146</v>
      </c>
      <c r="D512" s="13">
        <v>2</v>
      </c>
      <c r="E512" s="13">
        <v>1800</v>
      </c>
      <c r="F512" s="71" t="s">
        <v>1247</v>
      </c>
      <c r="G512" s="71" t="s">
        <v>1248</v>
      </c>
      <c r="H512" s="13" t="s">
        <v>1244</v>
      </c>
      <c r="I512" s="13" t="s">
        <v>55</v>
      </c>
      <c r="J512" s="28">
        <v>0</v>
      </c>
      <c r="K512" s="13" t="s">
        <v>150</v>
      </c>
      <c r="L512" s="13" t="s">
        <v>53</v>
      </c>
      <c r="M512" s="13">
        <v>18</v>
      </c>
      <c r="O512" s="13">
        <v>1</v>
      </c>
      <c r="P512" s="13">
        <v>2</v>
      </c>
      <c r="Q512" s="13">
        <v>2</v>
      </c>
      <c r="R512" s="13" t="s">
        <v>73</v>
      </c>
      <c r="S512" s="13" t="s">
        <v>73</v>
      </c>
      <c r="T512" s="13">
        <v>44901</v>
      </c>
      <c r="U512" s="13">
        <v>2958465</v>
      </c>
      <c r="V512" s="13" t="s">
        <v>282</v>
      </c>
      <c r="W512" s="13" t="s">
        <v>145</v>
      </c>
      <c r="Y512" s="13" t="s">
        <v>143</v>
      </c>
      <c r="Z512" s="13">
        <v>7589154</v>
      </c>
      <c r="AA512" s="13">
        <v>910</v>
      </c>
      <c r="AB512" s="13">
        <v>455</v>
      </c>
      <c r="AE512" s="51">
        <f>M512/O512</f>
        <v>18</v>
      </c>
      <c r="AG512" s="6" t="str">
        <f>C512</f>
        <v>90MB1BJ0-C1BAY0</v>
      </c>
      <c r="AH512" s="6" t="str">
        <f>IF($D512&lt;=AH$4,"",IF(AND($D511=AH$4,$D512&gt;AH$4),$F511,AH511))</f>
        <v>59MB1BJB-MB0A02S</v>
      </c>
      <c r="AI512" s="6" t="str">
        <f>IF($D512&lt;=AI$4,"",IF(AND($D511=AI$4,$D512&gt;AI$4),$F511,AI511))</f>
        <v/>
      </c>
      <c r="AJ512" s="6" t="str">
        <f>IF($D512&lt;=AJ$4,"",IF(AND($D511=AJ$4,$D512&gt;AJ$4),$F511,AJ511))</f>
        <v/>
      </c>
      <c r="AK512" s="6" t="str">
        <f>IF($D512&lt;=AK$4,"",IF(AND($D511=AK$4,$D512&gt;AK$4),$F511,AK511))</f>
        <v/>
      </c>
      <c r="AL512" s="6" t="str">
        <f>IF($D512&lt;=AL$4,"",IF(AND($D511=AL$4,$D512&gt;AL$4),$F511,AL511))</f>
        <v/>
      </c>
      <c r="AM512" s="6" t="str">
        <f>IF($D512&lt;=AM$4,"",IF(AND($D511=AM$4,$D512&gt;AM$4),$F511,AM511))</f>
        <v/>
      </c>
      <c r="AN512" s="6" t="str">
        <f>IF($D512&lt;=AN$4,"",IF(AND($D511=AN$4,$D512&gt;AN$4),$F511,AN511))</f>
        <v/>
      </c>
      <c r="AO512" s="6" t="str">
        <f>CONCATENATE(AG512," | ",AH512," | ",AI512," | ",AJ512," | ",AK512," | ",AL512," | ",AM512," | ",AN512)</f>
        <v xml:space="preserve">90MB1BJ0-C1BAY0 | 59MB1BJB-MB0A02S |  |  |  |  |  | </v>
      </c>
      <c r="AP512" s="6">
        <f>IF(TRIM(H512)="",100,J512)</f>
        <v>0</v>
      </c>
      <c r="AQ512" s="4"/>
      <c r="AR512" s="6" t="b">
        <f>NOT(TRIM(W512)&lt;&gt;"F")</f>
        <v>1</v>
      </c>
      <c r="AS512" s="6" t="str">
        <f>$B512&amp;" | "&amp;$AO512&amp;" | "&amp;IF(TRIM(H512)="","uniq"&amp;ROW(),TRIM(H512))</f>
        <v>461E | 90MB1BJ0-C1BAY0 | 59MB1BJB-MB0A02S |  |  |  |  |  |  | I0</v>
      </c>
      <c r="AT512" s="63">
        <f>IF(NOT(AR512),IF(TRIM($H512)="","Assembly","Phantom Alt"),VLOOKUP(F512,ZPCS04!B:G,6,0))</f>
        <v>872</v>
      </c>
      <c r="AU512" s="7"/>
      <c r="AV512" s="38">
        <f ca="1">IF(TRIM($W512)="F",OFFSET($A$5,MATCH($AS512,$AS$5:$AS512,0)-1,0),$A512)</f>
        <v>510</v>
      </c>
      <c r="AW512" s="38">
        <f ca="1">IFERROR(OFFSET(ZPCS04!$A$1,MATCH(F512,ZPCS04!B:B,0)-1,0),100)</f>
        <v>2</v>
      </c>
      <c r="AX512" s="7"/>
      <c r="AY512" s="6" t="b">
        <f>SUMIF(AS:AS,AS512,AP:AP)=100</f>
        <v>1</v>
      </c>
      <c r="AZ512" s="6" t="b">
        <f>SUMIF(AS:AS,AS512,AE:AE)/COUNTIF(AS:AS,AS512)=AE512</f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>C512&amp;" | "&amp;F512</f>
        <v>90MB1BJ0-C1BAY0 | 10G2132R2003050</v>
      </c>
      <c r="BE512" s="55" t="str">
        <f ca="1">C512&amp;" | "&amp;OFFSET($AF512,0,8-COUNTBLANK($AG512:$AN512))</f>
        <v>90MB1BJ0-C1BAY0 | 59MB1BJB-MB0A02S</v>
      </c>
      <c r="BF512" s="57">
        <f ca="1">IFERROR(VLOOKUP($BE512,$BD$5:$BF511,3,0)*$AE512,VLOOKUP($C512,Demanda!$A:$B,2,0)*$AE512)*IF(AT512="Phantom Alt",$BC512,TRUE)</f>
        <v>18000</v>
      </c>
      <c r="BG512" s="57">
        <f ca="1">BF512*(AP512/100)</f>
        <v>0</v>
      </c>
      <c r="BH512" s="57">
        <f>SUMIF(Invoice!A:A,F512,Invoice!B:B)</f>
        <v>0</v>
      </c>
      <c r="BI512" s="57">
        <f ca="1">SUMIF(AS:AS,AS512,BG:BG)</f>
        <v>18000</v>
      </c>
      <c r="BJ512" s="57">
        <f ca="1">MIN((BI512-SUMIF($AS$5:AS511,AS512,$BJ$5:BJ511)),MAX(0,BH512-SUMIF($F$5:F511,F512,$BJ$5:BJ511)))</f>
        <v>0</v>
      </c>
      <c r="BK512" s="57">
        <f ca="1">(-SUMIF(AS:AS,AS512,BG:BG)+SUMIF(AS:AS,AS512,BJ:BJ))*(AP512=100)*AR512</f>
        <v>0</v>
      </c>
      <c r="BL512" s="57">
        <f ca="1">MAX(0,SUMIF(Invoice!A:A,F512,Invoice!B:B)-SUMIF(F:F,F512,BJ:BJ))*(COUNTIF(F:F,F512)=COUNTIF($F$5:F512,F512))</f>
        <v>0</v>
      </c>
    </row>
    <row r="513" spans="1:64" hidden="1">
      <c r="A513" s="43">
        <v>513</v>
      </c>
      <c r="B513" s="13" t="s">
        <v>147</v>
      </c>
      <c r="C513" s="13" t="s">
        <v>146</v>
      </c>
      <c r="D513" s="13">
        <v>2</v>
      </c>
      <c r="E513" s="13">
        <v>1810</v>
      </c>
      <c r="F513" s="71" t="s">
        <v>1249</v>
      </c>
      <c r="G513" s="71" t="s">
        <v>1250</v>
      </c>
      <c r="H513" s="13" t="s">
        <v>1251</v>
      </c>
      <c r="I513" s="13" t="s">
        <v>54</v>
      </c>
      <c r="J513" s="28">
        <v>100</v>
      </c>
      <c r="K513" s="13" t="s">
        <v>489</v>
      </c>
      <c r="L513" s="13" t="s">
        <v>53</v>
      </c>
      <c r="M513" s="13">
        <v>1</v>
      </c>
      <c r="N513" s="13">
        <v>1</v>
      </c>
      <c r="O513" s="13">
        <v>1</v>
      </c>
      <c r="P513" s="13">
        <v>2</v>
      </c>
      <c r="Q513" s="13">
        <v>1</v>
      </c>
      <c r="R513" s="13" t="s">
        <v>122</v>
      </c>
      <c r="S513" s="13" t="s">
        <v>122</v>
      </c>
      <c r="T513" s="13">
        <v>44901</v>
      </c>
      <c r="U513" s="13">
        <v>2958465</v>
      </c>
      <c r="V513" s="13" t="s">
        <v>282</v>
      </c>
      <c r="W513" s="13" t="s">
        <v>145</v>
      </c>
      <c r="Y513" s="13" t="s">
        <v>143</v>
      </c>
      <c r="Z513" s="13">
        <v>7589154</v>
      </c>
      <c r="AA513" s="13">
        <v>914</v>
      </c>
      <c r="AB513" s="13">
        <v>457</v>
      </c>
      <c r="AE513" s="51">
        <f>M513/O513</f>
        <v>1</v>
      </c>
      <c r="AG513" s="6" t="str">
        <f>C513</f>
        <v>90MB1BJ0-C1BAY0</v>
      </c>
      <c r="AH513" s="6" t="str">
        <f>IF($D513&lt;=AH$4,"",IF(AND($D512=AH$4,$D513&gt;AH$4),$F512,AH512))</f>
        <v>59MB1BJB-MB0A02S</v>
      </c>
      <c r="AI513" s="6" t="str">
        <f>IF($D513&lt;=AI$4,"",IF(AND($D512=AI$4,$D513&gt;AI$4),$F512,AI512))</f>
        <v/>
      </c>
      <c r="AJ513" s="6" t="str">
        <f>IF($D513&lt;=AJ$4,"",IF(AND($D512=AJ$4,$D513&gt;AJ$4),$F512,AJ512))</f>
        <v/>
      </c>
      <c r="AK513" s="6" t="str">
        <f>IF($D513&lt;=AK$4,"",IF(AND($D512=AK$4,$D513&gt;AK$4),$F512,AK512))</f>
        <v/>
      </c>
      <c r="AL513" s="6" t="str">
        <f>IF($D513&lt;=AL$4,"",IF(AND($D512=AL$4,$D513&gt;AL$4),$F512,AL512))</f>
        <v/>
      </c>
      <c r="AM513" s="6" t="str">
        <f>IF($D513&lt;=AM$4,"",IF(AND($D512=AM$4,$D513&gt;AM$4),$F512,AM512))</f>
        <v/>
      </c>
      <c r="AN513" s="6" t="str">
        <f>IF($D513&lt;=AN$4,"",IF(AND($D512=AN$4,$D513&gt;AN$4),$F512,AN512))</f>
        <v/>
      </c>
      <c r="AO513" s="6" t="str">
        <f>CONCATENATE(AG513," | ",AH513," | ",AI513," | ",AJ513," | ",AK513," | ",AL513," | ",AM513," | ",AN513)</f>
        <v xml:space="preserve">90MB1BJ0-C1BAY0 | 59MB1BJB-MB0A02S |  |  |  |  |  | </v>
      </c>
      <c r="AP513" s="6">
        <f>IF(TRIM(H513)="",100,J513)</f>
        <v>100</v>
      </c>
      <c r="AQ513" s="4"/>
      <c r="AR513" s="6" t="b">
        <f>NOT(TRIM(W513)&lt;&gt;"F")</f>
        <v>1</v>
      </c>
      <c r="AS513" s="6" t="str">
        <f>$B513&amp;" | "&amp;$AO513&amp;" | "&amp;IF(TRIM(H513)="","uniq"&amp;ROW(),TRIM(H513))</f>
        <v>461E | 90MB1BJ0-C1BAY0 | 59MB1BJB-MB0A02S |  |  |  |  |  |  | I1</v>
      </c>
      <c r="AT513" s="63">
        <f>IF(NOT(AR513),IF(TRIM($H513)="","Assembly","Phantom Alt"),VLOOKUP(F513,ZPCS04!B:G,6,0))</f>
        <v>980</v>
      </c>
      <c r="AU513" s="7"/>
      <c r="AV513" s="38">
        <f ca="1">IF(TRIM($W513)="F",OFFSET($A$5,MATCH($AS513,$AS$5:$AS513,0)-1,0),$A513)</f>
        <v>513</v>
      </c>
      <c r="AW513" s="38">
        <f ca="1">IFERROR(OFFSET(ZPCS04!$A$1,MATCH(F513,ZPCS04!B:B,0)-1,0),100)</f>
        <v>1.9999999499999999</v>
      </c>
      <c r="AX513" s="7"/>
      <c r="AY513" s="6" t="b">
        <f>SUMIF(AS:AS,AS513,AP:AP)=100</f>
        <v>1</v>
      </c>
      <c r="AZ513" s="6" t="b">
        <f>SUMIF(AS:AS,AS513,AE:AE)/COUNTIF(AS:AS,AS513)=AE513</f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>C513&amp;" | "&amp;F513</f>
        <v>90MB1BJ0-C1BAY0 | 10G213300113010</v>
      </c>
      <c r="BE513" s="55" t="str">
        <f ca="1">C513&amp;" | "&amp;OFFSET($AF513,0,8-COUNTBLANK($AG513:$AN513))</f>
        <v>90MB1BJ0-C1BAY0 | 59MB1BJB-MB0A02S</v>
      </c>
      <c r="BF513" s="57">
        <f ca="1">IFERROR(VLOOKUP($BE513,$BD$5:$BF512,3,0)*$AE513,VLOOKUP($C513,Demanda!$A:$B,2,0)*$AE513)*IF(AT513="Phantom Alt",$BC513,TRUE)</f>
        <v>1000</v>
      </c>
      <c r="BG513" s="57">
        <f ca="1">BF513*(AP513/100)</f>
        <v>1000</v>
      </c>
      <c r="BH513" s="57">
        <f>SUMIF(Invoice!A:A,F513,Invoice!B:B)</f>
        <v>5000</v>
      </c>
      <c r="BI513" s="57">
        <f ca="1">SUMIF(AS:AS,AS513,BG:BG)</f>
        <v>1000</v>
      </c>
      <c r="BJ513" s="57">
        <f ca="1">MIN((BI513-SUMIF($AS$5:AS512,AS513,$BJ$5:BJ512)),MAX(0,BH513-SUMIF($F$5:F512,F513,$BJ$5:BJ512)))</f>
        <v>1000</v>
      </c>
      <c r="BK513" s="57">
        <f ca="1">(-SUMIF(AS:AS,AS513,BG:BG)+SUMIF(AS:AS,AS513,BJ:BJ))*(AP513=100)*AR513</f>
        <v>0</v>
      </c>
      <c r="BL513" s="57">
        <f ca="1">MAX(0,SUMIF(Invoice!A:A,F513,Invoice!B:B)-SUMIF(F:F,F513,BJ:BJ))*(COUNTIF(F:F,F513)=COUNTIF($F$5:F513,F513))</f>
        <v>4000</v>
      </c>
    </row>
    <row r="514" spans="1:64" hidden="1">
      <c r="A514" s="43">
        <v>514</v>
      </c>
      <c r="B514" s="13" t="s">
        <v>147</v>
      </c>
      <c r="C514" s="13" t="s">
        <v>146</v>
      </c>
      <c r="D514" s="13">
        <v>2</v>
      </c>
      <c r="E514" s="13">
        <v>1810</v>
      </c>
      <c r="F514" s="71" t="s">
        <v>1252</v>
      </c>
      <c r="G514" s="71" t="s">
        <v>1253</v>
      </c>
      <c r="H514" s="13" t="s">
        <v>1251</v>
      </c>
      <c r="I514" s="13" t="s">
        <v>55</v>
      </c>
      <c r="J514" s="28">
        <v>0</v>
      </c>
      <c r="K514" s="13" t="s">
        <v>489</v>
      </c>
      <c r="L514" s="13" t="s">
        <v>53</v>
      </c>
      <c r="M514" s="13">
        <v>1</v>
      </c>
      <c r="O514" s="13">
        <v>1</v>
      </c>
      <c r="P514" s="13">
        <v>2</v>
      </c>
      <c r="Q514" s="13">
        <v>2</v>
      </c>
      <c r="R514" s="13" t="s">
        <v>122</v>
      </c>
      <c r="S514" s="13" t="s">
        <v>122</v>
      </c>
      <c r="T514" s="13">
        <v>44901</v>
      </c>
      <c r="U514" s="13">
        <v>2958465</v>
      </c>
      <c r="V514" s="13" t="s">
        <v>282</v>
      </c>
      <c r="W514" s="13" t="s">
        <v>145</v>
      </c>
      <c r="Y514" s="13" t="s">
        <v>143</v>
      </c>
      <c r="Z514" s="13">
        <v>7589154</v>
      </c>
      <c r="AA514" s="13">
        <v>916</v>
      </c>
      <c r="AB514" s="13">
        <v>458</v>
      </c>
      <c r="AE514" s="51">
        <f>M514/O514</f>
        <v>1</v>
      </c>
      <c r="AG514" s="6" t="str">
        <f>C514</f>
        <v>90MB1BJ0-C1BAY0</v>
      </c>
      <c r="AH514" s="6" t="str">
        <f>IF($D514&lt;=AH$4,"",IF(AND($D513=AH$4,$D514&gt;AH$4),$F513,AH513))</f>
        <v>59MB1BJB-MB0A02S</v>
      </c>
      <c r="AI514" s="6" t="str">
        <f>IF($D514&lt;=AI$4,"",IF(AND($D513=AI$4,$D514&gt;AI$4),$F513,AI513))</f>
        <v/>
      </c>
      <c r="AJ514" s="6" t="str">
        <f>IF($D514&lt;=AJ$4,"",IF(AND($D513=AJ$4,$D514&gt;AJ$4),$F513,AJ513))</f>
        <v/>
      </c>
      <c r="AK514" s="6" t="str">
        <f>IF($D514&lt;=AK$4,"",IF(AND($D513=AK$4,$D514&gt;AK$4),$F513,AK513))</f>
        <v/>
      </c>
      <c r="AL514" s="6" t="str">
        <f>IF($D514&lt;=AL$4,"",IF(AND($D513=AL$4,$D514&gt;AL$4),$F513,AL513))</f>
        <v/>
      </c>
      <c r="AM514" s="6" t="str">
        <f>IF($D514&lt;=AM$4,"",IF(AND($D513=AM$4,$D514&gt;AM$4),$F513,AM513))</f>
        <v/>
      </c>
      <c r="AN514" s="6" t="str">
        <f>IF($D514&lt;=AN$4,"",IF(AND($D513=AN$4,$D514&gt;AN$4),$F513,AN513))</f>
        <v/>
      </c>
      <c r="AO514" s="6" t="str">
        <f>CONCATENATE(AG514," | ",AH514," | ",AI514," | ",AJ514," | ",AK514," | ",AL514," | ",AM514," | ",AN514)</f>
        <v xml:space="preserve">90MB1BJ0-C1BAY0 | 59MB1BJB-MB0A02S |  |  |  |  |  | </v>
      </c>
      <c r="AP514" s="6">
        <f>IF(TRIM(H514)="",100,J514)</f>
        <v>0</v>
      </c>
      <c r="AQ514" s="4"/>
      <c r="AR514" s="6" t="b">
        <f>NOT(TRIM(W514)&lt;&gt;"F")</f>
        <v>1</v>
      </c>
      <c r="AS514" s="6" t="str">
        <f>$B514&amp;" | "&amp;$AO514&amp;" | "&amp;IF(TRIM(H514)="","uniq"&amp;ROW(),TRIM(H514))</f>
        <v>461E | 90MB1BJ0-C1BAY0 | 59MB1BJB-MB0A02S |  |  |  |  |  |  | I1</v>
      </c>
      <c r="AT514" s="63">
        <f>IF(NOT(AR514),IF(TRIM($H514)="","Assembly","Phantom Alt"),VLOOKUP(F514,ZPCS04!B:G,6,0))</f>
        <v>980</v>
      </c>
      <c r="AU514" s="7"/>
      <c r="AV514" s="38">
        <f ca="1">IF(TRIM($W514)="F",OFFSET($A$5,MATCH($AS514,$AS$5:$AS514,0)-1,0),$A514)</f>
        <v>513</v>
      </c>
      <c r="AW514" s="38">
        <f ca="1">IFERROR(OFFSET(ZPCS04!$A$1,MATCH(F514,ZPCS04!B:B,0)-1,0),100)</f>
        <v>2</v>
      </c>
      <c r="AX514" s="7"/>
      <c r="AY514" s="6" t="b">
        <f>SUMIF(AS:AS,AS514,AP:AP)=100</f>
        <v>1</v>
      </c>
      <c r="AZ514" s="6" t="b">
        <f>SUMIF(AS:AS,AS514,AE:AE)/COUNTIF(AS:AS,AS514)=AE514</f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>C514&amp;" | "&amp;F514</f>
        <v>90MB1BJ0-C1BAY0 | 10G213300113020</v>
      </c>
      <c r="BE514" s="55" t="str">
        <f ca="1">C514&amp;" | "&amp;OFFSET($AF514,0,8-COUNTBLANK($AG514:$AN514))</f>
        <v>90MB1BJ0-C1BAY0 | 59MB1BJB-MB0A02S</v>
      </c>
      <c r="BF514" s="57">
        <f ca="1">IFERROR(VLOOKUP($BE514,$BD$5:$BF513,3,0)*$AE514,VLOOKUP($C514,Demanda!$A:$B,2,0)*$AE514)*IF(AT514="Phantom Alt",$BC514,TRUE)</f>
        <v>1000</v>
      </c>
      <c r="BG514" s="57">
        <f ca="1">BF514*(AP514/100)</f>
        <v>0</v>
      </c>
      <c r="BH514" s="57">
        <f>SUMIF(Invoice!A:A,F514,Invoice!B:B)</f>
        <v>0</v>
      </c>
      <c r="BI514" s="57">
        <f ca="1">SUMIF(AS:AS,AS514,BG:BG)</f>
        <v>1000</v>
      </c>
      <c r="BJ514" s="57">
        <f ca="1">MIN((BI514-SUMIF($AS$5:AS513,AS514,$BJ$5:BJ513)),MAX(0,BH514-SUMIF($F$5:F513,F514,$BJ$5:BJ513)))</f>
        <v>0</v>
      </c>
      <c r="BK514" s="57">
        <f ca="1">(-SUMIF(AS:AS,AS514,BG:BG)+SUMIF(AS:AS,AS514,BJ:BJ))*(AP514=100)*AR514</f>
        <v>0</v>
      </c>
      <c r="BL514" s="57">
        <f ca="1">MAX(0,SUMIF(Invoice!A:A,F514,Invoice!B:B)-SUMIF(F:F,F514,BJ:BJ))*(COUNTIF(F:F,F514)=COUNTIF($F$5:F514,F514))</f>
        <v>0</v>
      </c>
    </row>
    <row r="515" spans="1:64" hidden="1">
      <c r="A515" s="43">
        <v>515</v>
      </c>
      <c r="B515" s="13" t="s">
        <v>147</v>
      </c>
      <c r="C515" s="13" t="s">
        <v>146</v>
      </c>
      <c r="D515" s="13">
        <v>2</v>
      </c>
      <c r="E515" s="13">
        <v>1810</v>
      </c>
      <c r="F515" s="71" t="s">
        <v>1254</v>
      </c>
      <c r="G515" s="71" t="s">
        <v>1255</v>
      </c>
      <c r="H515" s="13" t="s">
        <v>1251</v>
      </c>
      <c r="I515" s="13" t="s">
        <v>55</v>
      </c>
      <c r="J515" s="28">
        <v>0</v>
      </c>
      <c r="K515" s="13" t="s">
        <v>150</v>
      </c>
      <c r="L515" s="13" t="s">
        <v>53</v>
      </c>
      <c r="M515" s="13">
        <v>1</v>
      </c>
      <c r="O515" s="13">
        <v>1</v>
      </c>
      <c r="P515" s="13">
        <v>2</v>
      </c>
      <c r="Q515" s="13">
        <v>3</v>
      </c>
      <c r="R515" s="13" t="s">
        <v>73</v>
      </c>
      <c r="S515" s="13" t="s">
        <v>73</v>
      </c>
      <c r="T515" s="13">
        <v>44901</v>
      </c>
      <c r="U515" s="13">
        <v>2958465</v>
      </c>
      <c r="V515" s="13" t="s">
        <v>282</v>
      </c>
      <c r="W515" s="13" t="s">
        <v>145</v>
      </c>
      <c r="Y515" s="13" t="s">
        <v>143</v>
      </c>
      <c r="Z515" s="13">
        <v>7589154</v>
      </c>
      <c r="AA515" s="13">
        <v>918</v>
      </c>
      <c r="AB515" s="13">
        <v>459</v>
      </c>
      <c r="AE515" s="51">
        <f>M515/O515</f>
        <v>1</v>
      </c>
      <c r="AG515" s="6" t="str">
        <f>C515</f>
        <v>90MB1BJ0-C1BAY0</v>
      </c>
      <c r="AH515" s="6" t="str">
        <f>IF($D515&lt;=AH$4,"",IF(AND($D514=AH$4,$D515&gt;AH$4),$F514,AH514))</f>
        <v>59MB1BJB-MB0A02S</v>
      </c>
      <c r="AI515" s="6" t="str">
        <f>IF($D515&lt;=AI$4,"",IF(AND($D514=AI$4,$D515&gt;AI$4),$F514,AI514))</f>
        <v/>
      </c>
      <c r="AJ515" s="6" t="str">
        <f>IF($D515&lt;=AJ$4,"",IF(AND($D514=AJ$4,$D515&gt;AJ$4),$F514,AJ514))</f>
        <v/>
      </c>
      <c r="AK515" s="6" t="str">
        <f>IF($D515&lt;=AK$4,"",IF(AND($D514=AK$4,$D515&gt;AK$4),$F514,AK514))</f>
        <v/>
      </c>
      <c r="AL515" s="6" t="str">
        <f>IF($D515&lt;=AL$4,"",IF(AND($D514=AL$4,$D515&gt;AL$4),$F514,AL514))</f>
        <v/>
      </c>
      <c r="AM515" s="6" t="str">
        <f>IF($D515&lt;=AM$4,"",IF(AND($D514=AM$4,$D515&gt;AM$4),$F514,AM514))</f>
        <v/>
      </c>
      <c r="AN515" s="6" t="str">
        <f>IF($D515&lt;=AN$4,"",IF(AND($D514=AN$4,$D515&gt;AN$4),$F514,AN514))</f>
        <v/>
      </c>
      <c r="AO515" s="6" t="str">
        <f>CONCATENATE(AG515," | ",AH515," | ",AI515," | ",AJ515," | ",AK515," | ",AL515," | ",AM515," | ",AN515)</f>
        <v xml:space="preserve">90MB1BJ0-C1BAY0 | 59MB1BJB-MB0A02S |  |  |  |  |  | </v>
      </c>
      <c r="AP515" s="6">
        <f>IF(TRIM(H515)="",100,J515)</f>
        <v>0</v>
      </c>
      <c r="AQ515" s="4"/>
      <c r="AR515" s="6" t="b">
        <f>NOT(TRIM(W515)&lt;&gt;"F")</f>
        <v>1</v>
      </c>
      <c r="AS515" s="6" t="str">
        <f>$B515&amp;" | "&amp;$AO515&amp;" | "&amp;IF(TRIM(H515)="","uniq"&amp;ROW(),TRIM(H515))</f>
        <v>461E | 90MB1BJ0-C1BAY0 | 59MB1BJB-MB0A02S |  |  |  |  |  |  | I1</v>
      </c>
      <c r="AT515" s="63">
        <f>IF(NOT(AR515),IF(TRIM($H515)="","Assembly","Phantom Alt"),VLOOKUP(F515,ZPCS04!B:G,6,0))</f>
        <v>980</v>
      </c>
      <c r="AU515" s="7"/>
      <c r="AV515" s="38">
        <f ca="1">IF(TRIM($W515)="F",OFFSET($A$5,MATCH($AS515,$AS$5:$AS515,0)-1,0),$A515)</f>
        <v>513</v>
      </c>
      <c r="AW515" s="38">
        <f ca="1">IFERROR(OFFSET(ZPCS04!$A$1,MATCH(F515,ZPCS04!B:B,0)-1,0),100)</f>
        <v>2</v>
      </c>
      <c r="AX515" s="7"/>
      <c r="AY515" s="6" t="b">
        <f>SUMIF(AS:AS,AS515,AP:AP)=100</f>
        <v>1</v>
      </c>
      <c r="AZ515" s="6" t="b">
        <f>SUMIF(AS:AS,AS515,AE:AE)/COUNTIF(AS:AS,AS515)=AE515</f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>C515&amp;" | "&amp;F515</f>
        <v>90MB1BJ0-C1BAY0 | 10G213300113050</v>
      </c>
      <c r="BE515" s="55" t="str">
        <f ca="1">C515&amp;" | "&amp;OFFSET($AF515,0,8-COUNTBLANK($AG515:$AN515))</f>
        <v>90MB1BJ0-C1BAY0 | 59MB1BJB-MB0A02S</v>
      </c>
      <c r="BF515" s="57">
        <f ca="1">IFERROR(VLOOKUP($BE515,$BD$5:$BF514,3,0)*$AE515,VLOOKUP($C515,Demanda!$A:$B,2,0)*$AE515)*IF(AT515="Phantom Alt",$BC515,TRUE)</f>
        <v>1000</v>
      </c>
      <c r="BG515" s="57">
        <f ca="1">BF515*(AP515/100)</f>
        <v>0</v>
      </c>
      <c r="BH515" s="57">
        <f>SUMIF(Invoice!A:A,F515,Invoice!B:B)</f>
        <v>0</v>
      </c>
      <c r="BI515" s="57">
        <f ca="1">SUMIF(AS:AS,AS515,BG:BG)</f>
        <v>1000</v>
      </c>
      <c r="BJ515" s="57">
        <f ca="1">MIN((BI515-SUMIF($AS$5:AS514,AS515,$BJ$5:BJ514)),MAX(0,BH515-SUMIF($F$5:F514,F515,$BJ$5:BJ514)))</f>
        <v>0</v>
      </c>
      <c r="BK515" s="57">
        <f ca="1">(-SUMIF(AS:AS,AS515,BG:BG)+SUMIF(AS:AS,AS515,BJ:BJ))*(AP515=100)*AR515</f>
        <v>0</v>
      </c>
      <c r="BL515" s="57">
        <f ca="1">MAX(0,SUMIF(Invoice!A:A,F515,Invoice!B:B)-SUMIF(F:F,F515,BJ:BJ))*(COUNTIF(F:F,F515)=COUNTIF($F$5:F515,F515))</f>
        <v>0</v>
      </c>
    </row>
    <row r="516" spans="1:64" hidden="1">
      <c r="A516" s="43">
        <v>519</v>
      </c>
      <c r="B516" s="13" t="s">
        <v>147</v>
      </c>
      <c r="C516" s="13" t="s">
        <v>146</v>
      </c>
      <c r="D516" s="13">
        <v>2</v>
      </c>
      <c r="E516" s="13">
        <v>1820</v>
      </c>
      <c r="F516" s="71" t="s">
        <v>1263</v>
      </c>
      <c r="G516" s="71" t="s">
        <v>1264</v>
      </c>
      <c r="H516" s="13" t="s">
        <v>1258</v>
      </c>
      <c r="I516" s="13" t="s">
        <v>55</v>
      </c>
      <c r="J516" s="28">
        <v>0</v>
      </c>
      <c r="K516" s="13" t="s">
        <v>150</v>
      </c>
      <c r="L516" s="13" t="s">
        <v>53</v>
      </c>
      <c r="M516" s="13">
        <v>1</v>
      </c>
      <c r="O516" s="13">
        <v>1</v>
      </c>
      <c r="P516" s="13">
        <v>2</v>
      </c>
      <c r="Q516" s="13">
        <v>3</v>
      </c>
      <c r="R516" s="13" t="s">
        <v>73</v>
      </c>
      <c r="S516" s="13" t="s">
        <v>73</v>
      </c>
      <c r="T516" s="13">
        <v>44901</v>
      </c>
      <c r="U516" s="13">
        <v>2958465</v>
      </c>
      <c r="V516" s="13" t="s">
        <v>282</v>
      </c>
      <c r="W516" s="13" t="s">
        <v>145</v>
      </c>
      <c r="Y516" s="13" t="s">
        <v>143</v>
      </c>
      <c r="Z516" s="13">
        <v>7589154</v>
      </c>
      <c r="AA516" s="13">
        <v>924</v>
      </c>
      <c r="AB516" s="13">
        <v>462</v>
      </c>
      <c r="AE516" s="51">
        <f>M516/O516</f>
        <v>1</v>
      </c>
      <c r="AG516" s="6" t="str">
        <f>C516</f>
        <v>90MB1BJ0-C1BAY0</v>
      </c>
      <c r="AH516" s="6" t="str">
        <f>IF($D516&lt;=AH$4,"",IF(AND($D515=AH$4,$D516&gt;AH$4),$F515,AH515))</f>
        <v>59MB1BJB-MB0A02S</v>
      </c>
      <c r="AI516" s="6" t="str">
        <f>IF($D516&lt;=AI$4,"",IF(AND($D515=AI$4,$D516&gt;AI$4),$F515,AI515))</f>
        <v/>
      </c>
      <c r="AJ516" s="6" t="str">
        <f>IF($D516&lt;=AJ$4,"",IF(AND($D515=AJ$4,$D516&gt;AJ$4),$F515,AJ515))</f>
        <v/>
      </c>
      <c r="AK516" s="6" t="str">
        <f>IF($D516&lt;=AK$4,"",IF(AND($D515=AK$4,$D516&gt;AK$4),$F515,AK515))</f>
        <v/>
      </c>
      <c r="AL516" s="6" t="str">
        <f>IF($D516&lt;=AL$4,"",IF(AND($D515=AL$4,$D516&gt;AL$4),$F515,AL515))</f>
        <v/>
      </c>
      <c r="AM516" s="6" t="str">
        <f>IF($D516&lt;=AM$4,"",IF(AND($D515=AM$4,$D516&gt;AM$4),$F515,AM515))</f>
        <v/>
      </c>
      <c r="AN516" s="6" t="str">
        <f>IF($D516&lt;=AN$4,"",IF(AND($D515=AN$4,$D516&gt;AN$4),$F515,AN515))</f>
        <v/>
      </c>
      <c r="AO516" s="6" t="str">
        <f>CONCATENATE(AG516," | ",AH516," | ",AI516," | ",AJ516," | ",AK516," | ",AL516," | ",AM516," | ",AN516)</f>
        <v xml:space="preserve">90MB1BJ0-C1BAY0 | 59MB1BJB-MB0A02S |  |  |  |  |  | </v>
      </c>
      <c r="AP516" s="6">
        <f>IF(TRIM(H516)="",100,J516)</f>
        <v>0</v>
      </c>
      <c r="AQ516" s="4"/>
      <c r="AR516" s="6" t="b">
        <f>NOT(TRIM(W516)&lt;&gt;"F")</f>
        <v>1</v>
      </c>
      <c r="AS516" s="6" t="str">
        <f>$B516&amp;" | "&amp;$AO516&amp;" | "&amp;IF(TRIM(H516)="","uniq"&amp;ROW(),TRIM(H516))</f>
        <v>461E | 90MB1BJ0-C1BAY0 | 59MB1BJB-MB0A02S |  |  |  |  |  |  | I2</v>
      </c>
      <c r="AT516" s="63">
        <f>IF(NOT(AR516),IF(TRIM($H516)="","Assembly","Phantom Alt"),VLOOKUP(F516,ZPCS04!B:G,6,0))</f>
        <v>1276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1.9999999499999999</v>
      </c>
      <c r="AX516" s="7"/>
      <c r="AY516" s="6" t="b">
        <f>SUMIF(AS:AS,AS516,AP:AP)=100</f>
        <v>1</v>
      </c>
      <c r="AZ516" s="6" t="b">
        <f>SUMIF(AS:AS,AS516,AE:AE)/COUNTIF(AS:AS,AS516)=AE516</f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>C516&amp;" | "&amp;F516</f>
        <v>90MB1BJ0-C1BAY0 | 10G213316213050</v>
      </c>
      <c r="BE516" s="55" t="str">
        <f ca="1">C516&amp;" | "&amp;OFFSET($AF516,0,8-COUNTBLANK($AG516:$AN516))</f>
        <v>90MB1BJ0-C1BAY0 | 59MB1BJB-MB0A02S</v>
      </c>
      <c r="BF516" s="57">
        <f ca="1">IFERROR(VLOOKUP($BE516,$BD$5:$BF515,3,0)*$AE516,VLOOKUP($C516,Demanda!$A:$B,2,0)*$AE516)*IF(AT516="Phantom Alt",$BC516,TRUE)</f>
        <v>1000</v>
      </c>
      <c r="BG516" s="57">
        <f ca="1">BF516*(AP516/100)</f>
        <v>0</v>
      </c>
      <c r="BH516" s="57">
        <f>SUMIF(Invoice!A:A,F516,Invoice!B:B)</f>
        <v>5000</v>
      </c>
      <c r="BI516" s="57">
        <f ca="1">SUMIF(AS:AS,AS516,BG:BG)</f>
        <v>1000</v>
      </c>
      <c r="BJ516" s="57">
        <f ca="1">MIN((BI516-SUMIF($AS$5:AS515,AS516,$BJ$5:BJ515)),MAX(0,BH516-SUMIF($F$5:F515,F516,$BJ$5:BJ515)))</f>
        <v>1000</v>
      </c>
      <c r="BK516" s="57">
        <f ca="1">(-SUMIF(AS:AS,AS516,BG:BG)+SUMIF(AS:AS,AS516,BJ:BJ))*(AP516=100)*AR516</f>
        <v>0</v>
      </c>
      <c r="BL516" s="57">
        <f ca="1">MAX(0,SUMIF(Invoice!A:A,F516,Invoice!B:B)-SUMIF(F:F,F516,BJ:BJ))*(COUNTIF(F:F,F516)=COUNTIF($F$5:F516,F516))</f>
        <v>4000</v>
      </c>
    </row>
    <row r="517" spans="1:64" hidden="1">
      <c r="A517" s="43">
        <v>516</v>
      </c>
      <c r="B517" s="13" t="s">
        <v>147</v>
      </c>
      <c r="C517" s="13" t="s">
        <v>146</v>
      </c>
      <c r="D517" s="13">
        <v>2</v>
      </c>
      <c r="E517" s="13">
        <v>1820</v>
      </c>
      <c r="F517" s="71" t="s">
        <v>1256</v>
      </c>
      <c r="G517" s="71" t="s">
        <v>1257</v>
      </c>
      <c r="H517" s="13" t="s">
        <v>1258</v>
      </c>
      <c r="I517" s="13" t="s">
        <v>54</v>
      </c>
      <c r="J517" s="28">
        <v>100</v>
      </c>
      <c r="K517" s="13" t="s">
        <v>150</v>
      </c>
      <c r="L517" s="13" t="s">
        <v>53</v>
      </c>
      <c r="M517" s="13">
        <v>1</v>
      </c>
      <c r="N517" s="13">
        <v>1</v>
      </c>
      <c r="O517" s="13">
        <v>1</v>
      </c>
      <c r="P517" s="13">
        <v>2</v>
      </c>
      <c r="Q517" s="13">
        <v>1</v>
      </c>
      <c r="R517" s="13" t="s">
        <v>73</v>
      </c>
      <c r="S517" s="13" t="s">
        <v>73</v>
      </c>
      <c r="T517" s="13">
        <v>44901</v>
      </c>
      <c r="U517" s="13">
        <v>2958465</v>
      </c>
      <c r="V517" s="13" t="s">
        <v>282</v>
      </c>
      <c r="W517" s="13" t="s">
        <v>145</v>
      </c>
      <c r="Y517" s="13" t="s">
        <v>143</v>
      </c>
      <c r="Z517" s="13">
        <v>7589154</v>
      </c>
      <c r="AA517" s="13">
        <v>920</v>
      </c>
      <c r="AB517" s="13">
        <v>460</v>
      </c>
      <c r="AE517" s="51">
        <f>M517/O517</f>
        <v>1</v>
      </c>
      <c r="AG517" s="6" t="str">
        <f>C517</f>
        <v>90MB1BJ0-C1BAY0</v>
      </c>
      <c r="AH517" s="6" t="str">
        <f>IF($D517&lt;=AH$4,"",IF(AND($D516=AH$4,$D517&gt;AH$4),$F516,AH516))</f>
        <v>59MB1BJB-MB0A02S</v>
      </c>
      <c r="AI517" s="6" t="str">
        <f>IF($D517&lt;=AI$4,"",IF(AND($D516=AI$4,$D517&gt;AI$4),$F516,AI516))</f>
        <v/>
      </c>
      <c r="AJ517" s="6" t="str">
        <f>IF($D517&lt;=AJ$4,"",IF(AND($D516=AJ$4,$D517&gt;AJ$4),$F516,AJ516))</f>
        <v/>
      </c>
      <c r="AK517" s="6" t="str">
        <f>IF($D517&lt;=AK$4,"",IF(AND($D516=AK$4,$D517&gt;AK$4),$F516,AK516))</f>
        <v/>
      </c>
      <c r="AL517" s="6" t="str">
        <f>IF($D517&lt;=AL$4,"",IF(AND($D516=AL$4,$D517&gt;AL$4),$F516,AL516))</f>
        <v/>
      </c>
      <c r="AM517" s="6" t="str">
        <f>IF($D517&lt;=AM$4,"",IF(AND($D516=AM$4,$D517&gt;AM$4),$F516,AM516))</f>
        <v/>
      </c>
      <c r="AN517" s="6" t="str">
        <f>IF($D517&lt;=AN$4,"",IF(AND($D516=AN$4,$D517&gt;AN$4),$F516,AN516))</f>
        <v/>
      </c>
      <c r="AO517" s="6" t="str">
        <f>CONCATENATE(AG517," | ",AH517," | ",AI517," | ",AJ517," | ",AK517," | ",AL517," | ",AM517," | ",AN517)</f>
        <v xml:space="preserve">90MB1BJ0-C1BAY0 | 59MB1BJB-MB0A02S |  |  |  |  |  | </v>
      </c>
      <c r="AP517" s="6">
        <f>IF(TRIM(H517)="",100,J517)</f>
        <v>100</v>
      </c>
      <c r="AQ517" s="4"/>
      <c r="AR517" s="6" t="b">
        <f>NOT(TRIM(W517)&lt;&gt;"F")</f>
        <v>1</v>
      </c>
      <c r="AS517" s="6" t="str">
        <f>$B517&amp;" | "&amp;$AO517&amp;" | "&amp;IF(TRIM(H517)="","uniq"&amp;ROW(),TRIM(H517))</f>
        <v>461E | 90MB1BJ0-C1BAY0 | 59MB1BJB-MB0A02S |  |  |  |  |  |  | I2</v>
      </c>
      <c r="AT517" s="63">
        <f>IF(NOT(AR517),IF(TRIM($H517)="","Assembly","Phantom Alt"),VLOOKUP(F517,ZPCS04!B:G,6,0))</f>
        <v>1276</v>
      </c>
      <c r="AU517" s="7"/>
      <c r="AV517" s="38">
        <f ca="1">IF(TRIM($W517)="F",OFFSET($A$5,MATCH($AS517,$AS$5:$AS517,0)-1,0),$A517)</f>
        <v>519</v>
      </c>
      <c r="AW517" s="38">
        <f ca="1">IFERROR(OFFSET(ZPCS04!$A$1,MATCH(F517,ZPCS04!B:B,0)-1,0),100)</f>
        <v>2</v>
      </c>
      <c r="AX517" s="7"/>
      <c r="AY517" s="6" t="b">
        <f>SUMIF(AS:AS,AS517,AP:AP)=100</f>
        <v>1</v>
      </c>
      <c r="AZ517" s="6" t="b">
        <f>SUMIF(AS:AS,AS517,AE:AE)/COUNTIF(AS:AS,AS517)=AE517</f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>C517&amp;" | "&amp;F517</f>
        <v>90MB1BJ0-C1BAY0 | 10G213316213010</v>
      </c>
      <c r="BE517" s="55" t="str">
        <f ca="1">C517&amp;" | "&amp;OFFSET($AF517,0,8-COUNTBLANK($AG517:$AN517))</f>
        <v>90MB1BJ0-C1BAY0 | 59MB1BJB-MB0A02S</v>
      </c>
      <c r="BF517" s="57">
        <f ca="1">IFERROR(VLOOKUP($BE517,$BD$5:$BF516,3,0)*$AE517,VLOOKUP($C517,Demanda!$A:$B,2,0)*$AE517)*IF(AT517="Phantom Alt",$BC517,TRUE)</f>
        <v>1000</v>
      </c>
      <c r="BG517" s="57">
        <f ca="1">BF517*(AP517/100)</f>
        <v>1000</v>
      </c>
      <c r="BH517" s="57">
        <f>SUMIF(Invoice!A:A,F517,Invoice!B:B)</f>
        <v>0</v>
      </c>
      <c r="BI517" s="57">
        <f ca="1">SUMIF(AS:AS,AS517,BG:BG)</f>
        <v>1000</v>
      </c>
      <c r="BJ517" s="57">
        <f ca="1">MIN((BI517-SUMIF($AS$5:AS516,AS517,$BJ$5:BJ516)),MAX(0,BH517-SUMIF($F$5:F516,F517,$BJ$5:BJ516)))</f>
        <v>0</v>
      </c>
      <c r="BK517" s="57">
        <f ca="1">(-SUMIF(AS:AS,AS517,BG:BG)+SUMIF(AS:AS,AS517,BJ:BJ))*(AP517=100)*AR517</f>
        <v>0</v>
      </c>
      <c r="BL517" s="57">
        <f ca="1">MAX(0,SUMIF(Invoice!A:A,F517,Invoice!B:B)-SUMIF(F:F,F517,BJ:BJ))*(COUNTIF(F:F,F517)=COUNTIF($F$5:F517,F517))</f>
        <v>0</v>
      </c>
    </row>
    <row r="518" spans="1:64" hidden="1">
      <c r="A518" s="43">
        <v>517</v>
      </c>
      <c r="B518" s="13" t="s">
        <v>147</v>
      </c>
      <c r="C518" s="13" t="s">
        <v>146</v>
      </c>
      <c r="D518" s="13">
        <v>2</v>
      </c>
      <c r="E518" s="13">
        <v>1820</v>
      </c>
      <c r="F518" s="71" t="s">
        <v>1259</v>
      </c>
      <c r="G518" s="71" t="s">
        <v>1260</v>
      </c>
      <c r="H518" s="13" t="s">
        <v>1258</v>
      </c>
      <c r="I518" s="13" t="s">
        <v>55</v>
      </c>
      <c r="J518" s="28">
        <v>0</v>
      </c>
      <c r="K518" s="13" t="s">
        <v>150</v>
      </c>
      <c r="L518" s="13" t="s">
        <v>53</v>
      </c>
      <c r="M518" s="13">
        <v>1</v>
      </c>
      <c r="O518" s="13">
        <v>1</v>
      </c>
      <c r="P518" s="13">
        <v>2</v>
      </c>
      <c r="Q518" s="13">
        <v>2</v>
      </c>
      <c r="R518" s="13" t="s">
        <v>73</v>
      </c>
      <c r="S518" s="13" t="s">
        <v>73</v>
      </c>
      <c r="T518" s="13">
        <v>44901</v>
      </c>
      <c r="U518" s="13">
        <v>2958465</v>
      </c>
      <c r="V518" s="13" t="s">
        <v>282</v>
      </c>
      <c r="W518" s="13" t="s">
        <v>145</v>
      </c>
      <c r="Y518" s="13" t="s">
        <v>143</v>
      </c>
      <c r="Z518" s="13">
        <v>7589154</v>
      </c>
      <c r="AA518" s="13">
        <v>922</v>
      </c>
      <c r="AB518" s="13">
        <v>461</v>
      </c>
      <c r="AE518" s="51">
        <f>M518/O518</f>
        <v>1</v>
      </c>
      <c r="AG518" s="6" t="str">
        <f>C518</f>
        <v>90MB1BJ0-C1BAY0</v>
      </c>
      <c r="AH518" s="6" t="str">
        <f>IF($D518&lt;=AH$4,"",IF(AND($D517=AH$4,$D518&gt;AH$4),$F517,AH517))</f>
        <v>59MB1BJB-MB0A02S</v>
      </c>
      <c r="AI518" s="6" t="str">
        <f>IF($D518&lt;=AI$4,"",IF(AND($D517=AI$4,$D518&gt;AI$4),$F517,AI517))</f>
        <v/>
      </c>
      <c r="AJ518" s="6" t="str">
        <f>IF($D518&lt;=AJ$4,"",IF(AND($D517=AJ$4,$D518&gt;AJ$4),$F517,AJ517))</f>
        <v/>
      </c>
      <c r="AK518" s="6" t="str">
        <f>IF($D518&lt;=AK$4,"",IF(AND($D517=AK$4,$D518&gt;AK$4),$F517,AK517))</f>
        <v/>
      </c>
      <c r="AL518" s="6" t="str">
        <f>IF($D518&lt;=AL$4,"",IF(AND($D517=AL$4,$D518&gt;AL$4),$F517,AL517))</f>
        <v/>
      </c>
      <c r="AM518" s="6" t="str">
        <f>IF($D518&lt;=AM$4,"",IF(AND($D517=AM$4,$D518&gt;AM$4),$F517,AM517))</f>
        <v/>
      </c>
      <c r="AN518" s="6" t="str">
        <f>IF($D518&lt;=AN$4,"",IF(AND($D517=AN$4,$D518&gt;AN$4),$F517,AN517))</f>
        <v/>
      </c>
      <c r="AO518" s="6" t="str">
        <f>CONCATENATE(AG518," | ",AH518," | ",AI518," | ",AJ518," | ",AK518," | ",AL518," | ",AM518," | ",AN518)</f>
        <v xml:space="preserve">90MB1BJ0-C1BAY0 | 59MB1BJB-MB0A02S |  |  |  |  |  | </v>
      </c>
      <c r="AP518" s="6">
        <f>IF(TRIM(H518)="",100,J518)</f>
        <v>0</v>
      </c>
      <c r="AQ518" s="4"/>
      <c r="AR518" s="6" t="b">
        <f>NOT(TRIM(W518)&lt;&gt;"F")</f>
        <v>1</v>
      </c>
      <c r="AS518" s="6" t="str">
        <f>$B518&amp;" | "&amp;$AO518&amp;" | "&amp;IF(TRIM(H518)="","uniq"&amp;ROW(),TRIM(H518))</f>
        <v>461E | 90MB1BJ0-C1BAY0 | 59MB1BJB-MB0A02S |  |  |  |  |  |  | I2</v>
      </c>
      <c r="AT518" s="63">
        <f>IF(NOT(AR518),IF(TRIM($H518)="","Assembly","Phantom Alt"),VLOOKUP(F518,ZPCS04!B:G,6,0))</f>
        <v>1276</v>
      </c>
      <c r="AU518" s="7"/>
      <c r="AV518" s="38">
        <f ca="1">IF(TRIM($W518)="F",OFFSET($A$5,MATCH($AS518,$AS$5:$AS518,0)-1,0),$A518)</f>
        <v>519</v>
      </c>
      <c r="AW518" s="38">
        <f ca="1">IFERROR(OFFSET(ZPCS04!$A$1,MATCH(F518,ZPCS04!B:B,0)-1,0),100)</f>
        <v>2</v>
      </c>
      <c r="AX518" s="7"/>
      <c r="AY518" s="6" t="b">
        <f>SUMIF(AS:AS,AS518,AP:AP)=100</f>
        <v>1</v>
      </c>
      <c r="AZ518" s="6" t="b">
        <f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>C518&amp;" | "&amp;F518</f>
        <v>90MB1BJ0-C1BAY0 | 10G213316213020</v>
      </c>
      <c r="BE518" s="55" t="str">
        <f ca="1">C518&amp;" | "&amp;OFFSET($AF518,0,8-COUNTBLANK($AG518:$AN518))</f>
        <v>90MB1BJ0-C1BAY0 | 59MB1BJB-MB0A02S</v>
      </c>
      <c r="BF518" s="57">
        <f ca="1">IFERROR(VLOOKUP($BE518,$BD$5:$BF517,3,0)*$AE518,VLOOKUP($C518,Demanda!$A:$B,2,0)*$AE518)*IF(AT518="Phantom Alt",$BC518,TRUE)</f>
        <v>1000</v>
      </c>
      <c r="BG518" s="57">
        <f ca="1">BF518*(AP518/100)</f>
        <v>0</v>
      </c>
      <c r="BH518" s="57">
        <f>SUMIF(Invoice!A:A,F518,Invoice!B:B)</f>
        <v>0</v>
      </c>
      <c r="BI518" s="57">
        <f ca="1">SUMIF(AS:AS,AS518,BG:BG)</f>
        <v>1000</v>
      </c>
      <c r="BJ518" s="57">
        <f ca="1">MIN((BI518-SUMIF($AS$5:AS517,AS518,$BJ$5:BJ517)),MAX(0,BH518-SUMIF($F$5:F517,F518,$BJ$5:BJ517)))</f>
        <v>0</v>
      </c>
      <c r="BK518" s="57">
        <f ca="1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4" hidden="1">
      <c r="A519" s="43">
        <v>518</v>
      </c>
      <c r="B519" s="13" t="s">
        <v>147</v>
      </c>
      <c r="C519" s="13" t="s">
        <v>146</v>
      </c>
      <c r="D519" s="13">
        <v>2</v>
      </c>
      <c r="E519" s="13">
        <v>1820</v>
      </c>
      <c r="F519" s="71" t="s">
        <v>1261</v>
      </c>
      <c r="G519" s="71" t="s">
        <v>1262</v>
      </c>
      <c r="H519" s="13" t="s">
        <v>1258</v>
      </c>
      <c r="I519" s="13" t="s">
        <v>55</v>
      </c>
      <c r="J519" s="28">
        <v>0</v>
      </c>
      <c r="K519" s="13" t="s">
        <v>150</v>
      </c>
      <c r="L519" s="13" t="s">
        <v>53</v>
      </c>
      <c r="M519" s="13">
        <v>1</v>
      </c>
      <c r="O519" s="13">
        <v>1</v>
      </c>
      <c r="P519" s="13">
        <v>2</v>
      </c>
      <c r="Q519" s="13">
        <v>4</v>
      </c>
      <c r="R519" s="13" t="s">
        <v>73</v>
      </c>
      <c r="S519" s="13" t="s">
        <v>73</v>
      </c>
      <c r="T519" s="13">
        <v>44901</v>
      </c>
      <c r="U519" s="13">
        <v>2958465</v>
      </c>
      <c r="V519" s="13" t="s">
        <v>282</v>
      </c>
      <c r="W519" s="13" t="s">
        <v>145</v>
      </c>
      <c r="Y519" s="13" t="s">
        <v>143</v>
      </c>
      <c r="Z519" s="13">
        <v>7589154</v>
      </c>
      <c r="AA519" s="13">
        <v>926</v>
      </c>
      <c r="AB519" s="13">
        <v>463</v>
      </c>
      <c r="AE519" s="51">
        <f>M519/O519</f>
        <v>1</v>
      </c>
      <c r="AG519" s="6" t="str">
        <f>C519</f>
        <v>90MB1BJ0-C1BAY0</v>
      </c>
      <c r="AH519" s="6" t="str">
        <f>IF($D519&lt;=AH$4,"",IF(AND($D518=AH$4,$D519&gt;AH$4),$F518,AH518))</f>
        <v>59MB1BJB-MB0A02S</v>
      </c>
      <c r="AI519" s="6" t="str">
        <f>IF($D519&lt;=AI$4,"",IF(AND($D518=AI$4,$D519&gt;AI$4),$F518,AI518))</f>
        <v/>
      </c>
      <c r="AJ519" s="6" t="str">
        <f>IF($D519&lt;=AJ$4,"",IF(AND($D518=AJ$4,$D519&gt;AJ$4),$F518,AJ518))</f>
        <v/>
      </c>
      <c r="AK519" s="6" t="str">
        <f>IF($D519&lt;=AK$4,"",IF(AND($D518=AK$4,$D519&gt;AK$4),$F518,AK518))</f>
        <v/>
      </c>
      <c r="AL519" s="6" t="str">
        <f>IF($D519&lt;=AL$4,"",IF(AND($D518=AL$4,$D519&gt;AL$4),$F518,AL518))</f>
        <v/>
      </c>
      <c r="AM519" s="6" t="str">
        <f>IF($D519&lt;=AM$4,"",IF(AND($D518=AM$4,$D519&gt;AM$4),$F518,AM518))</f>
        <v/>
      </c>
      <c r="AN519" s="6" t="str">
        <f>IF($D519&lt;=AN$4,"",IF(AND($D518=AN$4,$D519&gt;AN$4),$F518,AN518))</f>
        <v/>
      </c>
      <c r="AO519" s="6" t="str">
        <f>CONCATENATE(AG519," | ",AH519," | ",AI519," | ",AJ519," | ",AK519," | ",AL519," | ",AM519," | ",AN519)</f>
        <v xml:space="preserve">90MB1BJ0-C1BAY0 | 59MB1BJB-MB0A02S |  |  |  |  |  | </v>
      </c>
      <c r="AP519" s="6">
        <f>IF(TRIM(H519)="",100,J519)</f>
        <v>0</v>
      </c>
      <c r="AQ519" s="4"/>
      <c r="AR519" s="6" t="b">
        <f>NOT(TRIM(W519)&lt;&gt;"F")</f>
        <v>1</v>
      </c>
      <c r="AS519" s="6" t="str">
        <f>$B519&amp;" | "&amp;$AO519&amp;" | "&amp;IF(TRIM(H519)="","uniq"&amp;ROW(),TRIM(H519))</f>
        <v>461E | 90MB1BJ0-C1BAY0 | 59MB1BJB-MB0A02S |  |  |  |  |  |  | I2</v>
      </c>
      <c r="AT519" s="63">
        <f>IF(NOT(AR519),IF(TRIM($H519)="","Assembly","Phantom Alt"),VLOOKUP(F519,ZPCS04!B:G,6,0))</f>
        <v>1276</v>
      </c>
      <c r="AU519" s="7"/>
      <c r="AV519" s="38">
        <f ca="1">IF(TRIM($W519)="F",OFFSET($A$5,MATCH($AS519,$AS$5:$AS519,0)-1,0),$A519)</f>
        <v>519</v>
      </c>
      <c r="AW519" s="38">
        <f ca="1">IFERROR(OFFSET(ZPCS04!$A$1,MATCH(F519,ZPCS04!B:B,0)-1,0),100)</f>
        <v>2</v>
      </c>
      <c r="AX519" s="7"/>
      <c r="AY519" s="6" t="b">
        <f>SUMIF(AS:AS,AS519,AP:AP)=100</f>
        <v>1</v>
      </c>
      <c r="AZ519" s="6" t="b">
        <f>SUMIF(AS:AS,AS519,AE:AE)/COUNTIF(AS:AS,AS519)=AE519</f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>C519&amp;" | "&amp;F519</f>
        <v>90MB1BJ0-C1BAY0 | 10G213316213030</v>
      </c>
      <c r="BE519" s="55" t="str">
        <f ca="1">C519&amp;" | "&amp;OFFSET($AF519,0,8-COUNTBLANK($AG519:$AN519))</f>
        <v>90MB1BJ0-C1BAY0 | 59MB1BJB-MB0A02S</v>
      </c>
      <c r="BF519" s="57">
        <f ca="1">IFERROR(VLOOKUP($BE519,$BD$5:$BF518,3,0)*$AE519,VLOOKUP($C519,Demanda!$A:$B,2,0)*$AE519)*IF(AT519="Phantom Alt",$BC519,TRUE)</f>
        <v>1000</v>
      </c>
      <c r="BG519" s="57">
        <f ca="1">BF519*(AP519/100)</f>
        <v>0</v>
      </c>
      <c r="BH519" s="57">
        <f>SUMIF(Invoice!A:A,F519,Invoice!B:B)</f>
        <v>0</v>
      </c>
      <c r="BI519" s="57">
        <f ca="1">SUMIF(AS:AS,AS519,BG:BG)</f>
        <v>1000</v>
      </c>
      <c r="BJ519" s="57">
        <f ca="1">MIN((BI519-SUMIF($AS$5:AS518,AS519,$BJ$5:BJ518)),MAX(0,BH519-SUMIF($F$5:F518,F519,$BJ$5:BJ518)))</f>
        <v>0</v>
      </c>
      <c r="BK519" s="57">
        <f ca="1">(-SUMIF(AS:AS,AS519,BG:BG)+SUMIF(AS:AS,AS519,BJ:BJ))*(AP519=100)*AR519</f>
        <v>0</v>
      </c>
      <c r="BL519" s="57">
        <f ca="1">MAX(0,SUMIF(Invoice!A:A,F519,Invoice!B:B)-SUMIF(F:F,F519,BJ:BJ))*(COUNTIF(F:F,F519)=COUNTIF($F$5:F519,F519))</f>
        <v>0</v>
      </c>
    </row>
    <row r="520" spans="1:64" hidden="1">
      <c r="A520" s="43">
        <v>520</v>
      </c>
      <c r="B520" s="13" t="s">
        <v>147</v>
      </c>
      <c r="C520" s="13" t="s">
        <v>146</v>
      </c>
      <c r="D520" s="13">
        <v>2</v>
      </c>
      <c r="E520" s="13">
        <v>1830</v>
      </c>
      <c r="F520" s="71" t="s">
        <v>1265</v>
      </c>
      <c r="G520" s="71" t="s">
        <v>1266</v>
      </c>
      <c r="H520" s="13" t="s">
        <v>1267</v>
      </c>
      <c r="I520" s="13" t="s">
        <v>54</v>
      </c>
      <c r="J520" s="28">
        <v>100</v>
      </c>
      <c r="K520" s="13" t="s">
        <v>150</v>
      </c>
      <c r="L520" s="13" t="s">
        <v>53</v>
      </c>
      <c r="M520" s="13">
        <v>4</v>
      </c>
      <c r="N520" s="13">
        <v>4</v>
      </c>
      <c r="O520" s="13">
        <v>1</v>
      </c>
      <c r="P520" s="13">
        <v>2</v>
      </c>
      <c r="Q520" s="13">
        <v>1</v>
      </c>
      <c r="R520" s="13" t="s">
        <v>73</v>
      </c>
      <c r="S520" s="13" t="s">
        <v>73</v>
      </c>
      <c r="T520" s="13">
        <v>44901</v>
      </c>
      <c r="U520" s="13">
        <v>2958465</v>
      </c>
      <c r="V520" s="13" t="s">
        <v>282</v>
      </c>
      <c r="W520" s="13" t="s">
        <v>145</v>
      </c>
      <c r="Y520" s="13" t="s">
        <v>143</v>
      </c>
      <c r="Z520" s="13">
        <v>7589154</v>
      </c>
      <c r="AA520" s="13">
        <v>928</v>
      </c>
      <c r="AB520" s="13">
        <v>464</v>
      </c>
      <c r="AE520" s="51">
        <f>M520/O520</f>
        <v>4</v>
      </c>
      <c r="AG520" s="6" t="str">
        <f>C520</f>
        <v>90MB1BJ0-C1BAY0</v>
      </c>
      <c r="AH520" s="6" t="str">
        <f>IF($D520&lt;=AH$4,"",IF(AND($D519=AH$4,$D520&gt;AH$4),$F519,AH519))</f>
        <v>59MB1BJB-MB0A02S</v>
      </c>
      <c r="AI520" s="6" t="str">
        <f>IF($D520&lt;=AI$4,"",IF(AND($D519=AI$4,$D520&gt;AI$4),$F519,AI519))</f>
        <v/>
      </c>
      <c r="AJ520" s="6" t="str">
        <f>IF($D520&lt;=AJ$4,"",IF(AND($D519=AJ$4,$D520&gt;AJ$4),$F519,AJ519))</f>
        <v/>
      </c>
      <c r="AK520" s="6" t="str">
        <f>IF($D520&lt;=AK$4,"",IF(AND($D519=AK$4,$D520&gt;AK$4),$F519,AK519))</f>
        <v/>
      </c>
      <c r="AL520" s="6" t="str">
        <f>IF($D520&lt;=AL$4,"",IF(AND($D519=AL$4,$D520&gt;AL$4),$F519,AL519))</f>
        <v/>
      </c>
      <c r="AM520" s="6" t="str">
        <f>IF($D520&lt;=AM$4,"",IF(AND($D519=AM$4,$D520&gt;AM$4),$F519,AM519))</f>
        <v/>
      </c>
      <c r="AN520" s="6" t="str">
        <f>IF($D520&lt;=AN$4,"",IF(AND($D519=AN$4,$D520&gt;AN$4),$F519,AN519))</f>
        <v/>
      </c>
      <c r="AO520" s="6" t="str">
        <f>CONCATENATE(AG520," | ",AH520," | ",AI520," | ",AJ520," | ",AK520," | ",AL520," | ",AM520," | ",AN520)</f>
        <v xml:space="preserve">90MB1BJ0-C1BAY0 | 59MB1BJB-MB0A02S |  |  |  |  |  | </v>
      </c>
      <c r="AP520" s="6">
        <f>IF(TRIM(H520)="",100,J520)</f>
        <v>100</v>
      </c>
      <c r="AQ520" s="4"/>
      <c r="AR520" s="6" t="b">
        <f>NOT(TRIM(W520)&lt;&gt;"F")</f>
        <v>1</v>
      </c>
      <c r="AS520" s="6" t="str">
        <f>$B520&amp;" | "&amp;$AO520&amp;" | "&amp;IF(TRIM(H520)="","uniq"&amp;ROW(),TRIM(H520))</f>
        <v>461E | 90MB1BJ0-C1BAY0 | 59MB1BJB-MB0A02S |  |  |  |  |  |  | I3</v>
      </c>
      <c r="AT520" s="63">
        <f>IF(NOT(AR520),IF(TRIM($H520)="","Assembly","Phantom Alt"),VLOOKUP(F520,ZPCS04!B:G,6,0))</f>
        <v>1226</v>
      </c>
      <c r="AU520" s="7"/>
      <c r="AV520" s="38">
        <f ca="1">IF(TRIM($W520)="F",OFFSET($A$5,MATCH($AS520,$AS$5:$AS520,0)-1,0),$A520)</f>
        <v>520</v>
      </c>
      <c r="AW520" s="38">
        <f ca="1">IFERROR(OFFSET(ZPCS04!$A$1,MATCH(F520,ZPCS04!B:B,0)-1,0),100)</f>
        <v>1.9999999499999999</v>
      </c>
      <c r="AX520" s="7"/>
      <c r="AY520" s="6" t="b">
        <f>SUMIF(AS:AS,AS520,AP:AP)=100</f>
        <v>1</v>
      </c>
      <c r="AZ520" s="6" t="b">
        <f>SUMIF(AS:AS,AS520,AE:AE)/COUNTIF(AS:AS,AS520)=AE520</f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>C520&amp;" | "&amp;F520</f>
        <v>90MB1BJ0-C1BAY0 | 10G213357013010</v>
      </c>
      <c r="BE520" s="55" t="str">
        <f ca="1">C520&amp;" | "&amp;OFFSET($AF520,0,8-COUNTBLANK($AG520:$AN520))</f>
        <v>90MB1BJ0-C1BAY0 | 59MB1BJB-MB0A02S</v>
      </c>
      <c r="BF520" s="57">
        <f ca="1">IFERROR(VLOOKUP($BE520,$BD$5:$BF519,3,0)*$AE520,VLOOKUP($C520,Demanda!$A:$B,2,0)*$AE520)*IF(AT520="Phantom Alt",$BC520,TRUE)</f>
        <v>4000</v>
      </c>
      <c r="BG520" s="57">
        <f ca="1">BF520*(AP520/100)</f>
        <v>4000</v>
      </c>
      <c r="BH520" s="57">
        <f>SUMIF(Invoice!A:A,F520,Invoice!B:B)</f>
        <v>5000</v>
      </c>
      <c r="BI520" s="57">
        <f ca="1">SUMIF(AS:AS,AS520,BG:BG)</f>
        <v>4000</v>
      </c>
      <c r="BJ520" s="57">
        <f ca="1">MIN((BI520-SUMIF($AS$5:AS519,AS520,$BJ$5:BJ519)),MAX(0,BH520-SUMIF($F$5:F519,F520,$BJ$5:BJ519)))</f>
        <v>4000</v>
      </c>
      <c r="BK520" s="57">
        <f ca="1">(-SUMIF(AS:AS,AS520,BG:BG)+SUMIF(AS:AS,AS520,BJ:BJ))*(AP520=100)*AR520</f>
        <v>0</v>
      </c>
      <c r="BL520" s="57">
        <f ca="1">MAX(0,SUMIF(Invoice!A:A,F520,Invoice!B:B)-SUMIF(F:F,F520,BJ:BJ))*(COUNTIF(F:F,F520)=COUNTIF($F$5:F520,F520))</f>
        <v>1000</v>
      </c>
    </row>
    <row r="521" spans="1:64" hidden="1">
      <c r="A521" s="43">
        <v>521</v>
      </c>
      <c r="B521" s="13" t="s">
        <v>147</v>
      </c>
      <c r="C521" s="13" t="s">
        <v>146</v>
      </c>
      <c r="D521" s="13">
        <v>2</v>
      </c>
      <c r="E521" s="13">
        <v>1830</v>
      </c>
      <c r="F521" s="71" t="s">
        <v>1268</v>
      </c>
      <c r="G521" s="71" t="s">
        <v>1269</v>
      </c>
      <c r="H521" s="13" t="s">
        <v>1267</v>
      </c>
      <c r="I521" s="13" t="s">
        <v>55</v>
      </c>
      <c r="J521" s="28">
        <v>0</v>
      </c>
      <c r="K521" s="13" t="s">
        <v>150</v>
      </c>
      <c r="L521" s="13" t="s">
        <v>53</v>
      </c>
      <c r="M521" s="13">
        <v>4</v>
      </c>
      <c r="O521" s="13">
        <v>1</v>
      </c>
      <c r="P521" s="13">
        <v>2</v>
      </c>
      <c r="Q521" s="13">
        <v>2</v>
      </c>
      <c r="R521" s="13" t="s">
        <v>73</v>
      </c>
      <c r="S521" s="13" t="s">
        <v>73</v>
      </c>
      <c r="T521" s="13">
        <v>44901</v>
      </c>
      <c r="U521" s="13">
        <v>2958465</v>
      </c>
      <c r="V521" s="13" t="s">
        <v>282</v>
      </c>
      <c r="W521" s="13" t="s">
        <v>145</v>
      </c>
      <c r="Y521" s="13" t="s">
        <v>143</v>
      </c>
      <c r="Z521" s="13">
        <v>7589154</v>
      </c>
      <c r="AA521" s="13">
        <v>930</v>
      </c>
      <c r="AB521" s="13">
        <v>465</v>
      </c>
      <c r="AE521" s="51">
        <f>M521/O521</f>
        <v>4</v>
      </c>
      <c r="AG521" s="6" t="str">
        <f>C521</f>
        <v>90MB1BJ0-C1BAY0</v>
      </c>
      <c r="AH521" s="6" t="str">
        <f>IF($D521&lt;=AH$4,"",IF(AND($D520=AH$4,$D521&gt;AH$4),$F520,AH520))</f>
        <v>59MB1BJB-MB0A02S</v>
      </c>
      <c r="AI521" s="6" t="str">
        <f>IF($D521&lt;=AI$4,"",IF(AND($D520=AI$4,$D521&gt;AI$4),$F520,AI520))</f>
        <v/>
      </c>
      <c r="AJ521" s="6" t="str">
        <f>IF($D521&lt;=AJ$4,"",IF(AND($D520=AJ$4,$D521&gt;AJ$4),$F520,AJ520))</f>
        <v/>
      </c>
      <c r="AK521" s="6" t="str">
        <f>IF($D521&lt;=AK$4,"",IF(AND($D520=AK$4,$D521&gt;AK$4),$F520,AK520))</f>
        <v/>
      </c>
      <c r="AL521" s="6" t="str">
        <f>IF($D521&lt;=AL$4,"",IF(AND($D520=AL$4,$D521&gt;AL$4),$F520,AL520))</f>
        <v/>
      </c>
      <c r="AM521" s="6" t="str">
        <f>IF($D521&lt;=AM$4,"",IF(AND($D520=AM$4,$D521&gt;AM$4),$F520,AM520))</f>
        <v/>
      </c>
      <c r="AN521" s="6" t="str">
        <f>IF($D521&lt;=AN$4,"",IF(AND($D520=AN$4,$D521&gt;AN$4),$F520,AN520))</f>
        <v/>
      </c>
      <c r="AO521" s="6" t="str">
        <f>CONCATENATE(AG521," | ",AH521," | ",AI521," | ",AJ521," | ",AK521," | ",AL521," | ",AM521," | ",AN521)</f>
        <v xml:space="preserve">90MB1BJ0-C1BAY0 | 59MB1BJB-MB0A02S |  |  |  |  |  | </v>
      </c>
      <c r="AP521" s="6">
        <f>IF(TRIM(H521)="",100,J521)</f>
        <v>0</v>
      </c>
      <c r="AQ521" s="4"/>
      <c r="AR521" s="6" t="b">
        <f>NOT(TRIM(W521)&lt;&gt;"F")</f>
        <v>1</v>
      </c>
      <c r="AS521" s="6" t="str">
        <f>$B521&amp;" | "&amp;$AO521&amp;" | "&amp;IF(TRIM(H521)="","uniq"&amp;ROW(),TRIM(H521))</f>
        <v>461E | 90MB1BJ0-C1BAY0 | 59MB1BJB-MB0A02S |  |  |  |  |  |  | I3</v>
      </c>
      <c r="AT521" s="63">
        <f>IF(NOT(AR521),IF(TRIM($H521)="","Assembly","Phantom Alt"),VLOOKUP(F521,ZPCS04!B:G,6,0))</f>
        <v>1226</v>
      </c>
      <c r="AU521" s="7"/>
      <c r="AV521" s="38">
        <f ca="1">IF(TRIM($W521)="F",OFFSET($A$5,MATCH($AS521,$AS$5:$AS521,0)-1,0),$A521)</f>
        <v>520</v>
      </c>
      <c r="AW521" s="38">
        <f ca="1">IFERROR(OFFSET(ZPCS04!$A$1,MATCH(F521,ZPCS04!B:B,0)-1,0),100)</f>
        <v>2</v>
      </c>
      <c r="AX521" s="7"/>
      <c r="AY521" s="6" t="b">
        <f>SUMIF(AS:AS,AS521,AP:AP)=100</f>
        <v>1</v>
      </c>
      <c r="AZ521" s="6" t="b">
        <f>SUMIF(AS:AS,AS521,AE:AE)/COUNTIF(AS:AS,AS521)=AE521</f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>C521&amp;" | "&amp;F521</f>
        <v>90MB1BJ0-C1BAY0 | 10G213357013020</v>
      </c>
      <c r="BE521" s="55" t="str">
        <f ca="1">C521&amp;" | "&amp;OFFSET($AF521,0,8-COUNTBLANK($AG521:$AN521))</f>
        <v>90MB1BJ0-C1BAY0 | 59MB1BJB-MB0A02S</v>
      </c>
      <c r="BF521" s="57">
        <f ca="1">IFERROR(VLOOKUP($BE521,$BD$5:$BF520,3,0)*$AE521,VLOOKUP($C521,Demanda!$A:$B,2,0)*$AE521)*IF(AT521="Phantom Alt",$BC521,TRUE)</f>
        <v>4000</v>
      </c>
      <c r="BG521" s="57">
        <f ca="1">BF521*(AP521/100)</f>
        <v>0</v>
      </c>
      <c r="BH521" s="57">
        <f>SUMIF(Invoice!A:A,F521,Invoice!B:B)</f>
        <v>0</v>
      </c>
      <c r="BI521" s="57">
        <f ca="1">SUMIF(AS:AS,AS521,BG:BG)</f>
        <v>4000</v>
      </c>
      <c r="BJ521" s="57">
        <f ca="1">MIN((BI521-SUMIF($AS$5:AS520,AS521,$BJ$5:BJ520)),MAX(0,BH521-SUMIF($F$5:F520,F521,$BJ$5:BJ520)))</f>
        <v>0</v>
      </c>
      <c r="BK521" s="57">
        <f ca="1">(-SUMIF(AS:AS,AS521,BG:BG)+SUMIF(AS:AS,AS521,BJ:BJ))*(AP521=100)*AR521</f>
        <v>0</v>
      </c>
      <c r="BL521" s="57">
        <f ca="1">MAX(0,SUMIF(Invoice!A:A,F521,Invoice!B:B)-SUMIF(F:F,F521,BJ:BJ))*(COUNTIF(F:F,F521)=COUNTIF($F$5:F521,F521))</f>
        <v>0</v>
      </c>
    </row>
    <row r="522" spans="1:64" hidden="1">
      <c r="A522" s="43">
        <v>522</v>
      </c>
      <c r="B522" s="13" t="s">
        <v>147</v>
      </c>
      <c r="C522" s="13" t="s">
        <v>146</v>
      </c>
      <c r="D522" s="13">
        <v>2</v>
      </c>
      <c r="E522" s="13">
        <v>1830</v>
      </c>
      <c r="F522" s="71" t="s">
        <v>1270</v>
      </c>
      <c r="G522" s="71" t="s">
        <v>1271</v>
      </c>
      <c r="H522" s="13" t="s">
        <v>1267</v>
      </c>
      <c r="I522" s="13" t="s">
        <v>55</v>
      </c>
      <c r="J522" s="28">
        <v>0</v>
      </c>
      <c r="K522" s="13" t="s">
        <v>150</v>
      </c>
      <c r="L522" s="13" t="s">
        <v>53</v>
      </c>
      <c r="M522" s="13">
        <v>4</v>
      </c>
      <c r="O522" s="13">
        <v>1</v>
      </c>
      <c r="P522" s="13">
        <v>2</v>
      </c>
      <c r="Q522" s="13">
        <v>3</v>
      </c>
      <c r="R522" s="13" t="s">
        <v>73</v>
      </c>
      <c r="S522" s="13" t="s">
        <v>73</v>
      </c>
      <c r="T522" s="13">
        <v>44901</v>
      </c>
      <c r="U522" s="13">
        <v>2958465</v>
      </c>
      <c r="V522" s="13" t="s">
        <v>282</v>
      </c>
      <c r="W522" s="13" t="s">
        <v>145</v>
      </c>
      <c r="Y522" s="13" t="s">
        <v>143</v>
      </c>
      <c r="Z522" s="13">
        <v>7589154</v>
      </c>
      <c r="AA522" s="13">
        <v>932</v>
      </c>
      <c r="AB522" s="13">
        <v>466</v>
      </c>
      <c r="AE522" s="51">
        <f>M522/O522</f>
        <v>4</v>
      </c>
      <c r="AG522" s="6" t="str">
        <f>C522</f>
        <v>90MB1BJ0-C1BAY0</v>
      </c>
      <c r="AH522" s="6" t="str">
        <f>IF($D522&lt;=AH$4,"",IF(AND($D521=AH$4,$D522&gt;AH$4),$F521,AH521))</f>
        <v>59MB1BJB-MB0A02S</v>
      </c>
      <c r="AI522" s="6" t="str">
        <f>IF($D522&lt;=AI$4,"",IF(AND($D521=AI$4,$D522&gt;AI$4),$F521,AI521))</f>
        <v/>
      </c>
      <c r="AJ522" s="6" t="str">
        <f>IF($D522&lt;=AJ$4,"",IF(AND($D521=AJ$4,$D522&gt;AJ$4),$F521,AJ521))</f>
        <v/>
      </c>
      <c r="AK522" s="6" t="str">
        <f>IF($D522&lt;=AK$4,"",IF(AND($D521=AK$4,$D522&gt;AK$4),$F521,AK521))</f>
        <v/>
      </c>
      <c r="AL522" s="6" t="str">
        <f>IF($D522&lt;=AL$4,"",IF(AND($D521=AL$4,$D522&gt;AL$4),$F521,AL521))</f>
        <v/>
      </c>
      <c r="AM522" s="6" t="str">
        <f>IF($D522&lt;=AM$4,"",IF(AND($D521=AM$4,$D522&gt;AM$4),$F521,AM521))</f>
        <v/>
      </c>
      <c r="AN522" s="6" t="str">
        <f>IF($D522&lt;=AN$4,"",IF(AND($D521=AN$4,$D522&gt;AN$4),$F521,AN521))</f>
        <v/>
      </c>
      <c r="AO522" s="6" t="str">
        <f>CONCATENATE(AG522," | ",AH522," | ",AI522," | ",AJ522," | ",AK522," | ",AL522," | ",AM522," | ",AN522)</f>
        <v xml:space="preserve">90MB1BJ0-C1BAY0 | 59MB1BJB-MB0A02S |  |  |  |  |  | </v>
      </c>
      <c r="AP522" s="6">
        <f>IF(TRIM(H522)="",100,J522)</f>
        <v>0</v>
      </c>
      <c r="AQ522" s="4"/>
      <c r="AR522" s="6" t="b">
        <f>NOT(TRIM(W522)&lt;&gt;"F")</f>
        <v>1</v>
      </c>
      <c r="AS522" s="6" t="str">
        <f>$B522&amp;" | "&amp;$AO522&amp;" | "&amp;IF(TRIM(H522)="","uniq"&amp;ROW(),TRIM(H522))</f>
        <v>461E | 90MB1BJ0-C1BAY0 | 59MB1BJB-MB0A02S |  |  |  |  |  |  | I3</v>
      </c>
      <c r="AT522" s="63">
        <f>IF(NOT(AR522),IF(TRIM($H522)="","Assembly","Phantom Alt"),VLOOKUP(F522,ZPCS04!B:G,6,0))</f>
        <v>1226</v>
      </c>
      <c r="AU522" s="7"/>
      <c r="AV522" s="38">
        <f ca="1">IF(TRIM($W522)="F",OFFSET($A$5,MATCH($AS522,$AS$5:$AS522,0)-1,0),$A522)</f>
        <v>520</v>
      </c>
      <c r="AW522" s="38">
        <f ca="1">IFERROR(OFFSET(ZPCS04!$A$1,MATCH(F522,ZPCS04!B:B,0)-1,0),100)</f>
        <v>2</v>
      </c>
      <c r="AX522" s="7"/>
      <c r="AY522" s="6" t="b">
        <f>SUMIF(AS:AS,AS522,AP:AP)=100</f>
        <v>1</v>
      </c>
      <c r="AZ522" s="6" t="b">
        <f>SUMIF(AS:AS,AS522,AE:AE)/COUNTIF(AS:AS,AS522)=AE522</f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>C522&amp;" | "&amp;F522</f>
        <v>90MB1BJ0-C1BAY0 | 10G213357013050</v>
      </c>
      <c r="BE522" s="55" t="str">
        <f ca="1">C522&amp;" | "&amp;OFFSET($AF522,0,8-COUNTBLANK($AG522:$AN522))</f>
        <v>90MB1BJ0-C1BAY0 | 59MB1BJB-MB0A02S</v>
      </c>
      <c r="BF522" s="57">
        <f ca="1">IFERROR(VLOOKUP($BE522,$BD$5:$BF521,3,0)*$AE522,VLOOKUP($C522,Demanda!$A:$B,2,0)*$AE522)*IF(AT522="Phantom Alt",$BC522,TRUE)</f>
        <v>4000</v>
      </c>
      <c r="BG522" s="57">
        <f ca="1">BF522*(AP522/100)</f>
        <v>0</v>
      </c>
      <c r="BH522" s="57">
        <f>SUMIF(Invoice!A:A,F522,Invoice!B:B)</f>
        <v>0</v>
      </c>
      <c r="BI522" s="57">
        <f ca="1">SUMIF(AS:AS,AS522,BG:BG)</f>
        <v>4000</v>
      </c>
      <c r="BJ522" s="57">
        <f ca="1">MIN((BI522-SUMIF($AS$5:AS521,AS522,$BJ$5:BJ521)),MAX(0,BH522-SUMIF($F$5:F521,F522,$BJ$5:BJ521)))</f>
        <v>0</v>
      </c>
      <c r="BK522" s="57">
        <f ca="1">(-SUMIF(AS:AS,AS522,BG:BG)+SUMIF(AS:AS,AS522,BJ:BJ))*(AP522=100)*AR522</f>
        <v>0</v>
      </c>
      <c r="BL522" s="57">
        <f ca="1">MAX(0,SUMIF(Invoice!A:A,F522,Invoice!B:B)-SUMIF(F:F,F522,BJ:BJ))*(COUNTIF(F:F,F522)=COUNTIF($F$5:F522,F522))</f>
        <v>0</v>
      </c>
    </row>
    <row r="523" spans="1:64" hidden="1">
      <c r="A523" s="43">
        <v>523</v>
      </c>
      <c r="B523" s="13" t="s">
        <v>147</v>
      </c>
      <c r="C523" s="13" t="s">
        <v>146</v>
      </c>
      <c r="D523" s="13">
        <v>2</v>
      </c>
      <c r="E523" s="13">
        <v>1840</v>
      </c>
      <c r="F523" s="71" t="s">
        <v>1272</v>
      </c>
      <c r="G523" s="71" t="s">
        <v>1273</v>
      </c>
      <c r="H523" s="13" t="s">
        <v>1274</v>
      </c>
      <c r="I523" s="13" t="s">
        <v>54</v>
      </c>
      <c r="J523" s="28">
        <v>100</v>
      </c>
      <c r="K523" s="13" t="s">
        <v>150</v>
      </c>
      <c r="L523" s="13" t="s">
        <v>53</v>
      </c>
      <c r="M523" s="13">
        <v>1</v>
      </c>
      <c r="N523" s="13">
        <v>1</v>
      </c>
      <c r="O523" s="13">
        <v>1</v>
      </c>
      <c r="P523" s="13">
        <v>2</v>
      </c>
      <c r="Q523" s="13">
        <v>1</v>
      </c>
      <c r="R523" s="13" t="s">
        <v>73</v>
      </c>
      <c r="S523" s="13" t="s">
        <v>73</v>
      </c>
      <c r="T523" s="13">
        <v>44901</v>
      </c>
      <c r="U523" s="13">
        <v>2958465</v>
      </c>
      <c r="V523" s="13" t="s">
        <v>282</v>
      </c>
      <c r="W523" s="13" t="s">
        <v>145</v>
      </c>
      <c r="Y523" s="13" t="s">
        <v>143</v>
      </c>
      <c r="Z523" s="13">
        <v>7589154</v>
      </c>
      <c r="AA523" s="13">
        <v>934</v>
      </c>
      <c r="AB523" s="13">
        <v>467</v>
      </c>
      <c r="AE523" s="51">
        <f>M523/O523</f>
        <v>1</v>
      </c>
      <c r="AG523" s="6" t="str">
        <f>C523</f>
        <v>90MB1BJ0-C1BAY0</v>
      </c>
      <c r="AH523" s="6" t="str">
        <f>IF($D523&lt;=AH$4,"",IF(AND($D522=AH$4,$D523&gt;AH$4),$F522,AH522))</f>
        <v>59MB1BJB-MB0A02S</v>
      </c>
      <c r="AI523" s="6" t="str">
        <f>IF($D523&lt;=AI$4,"",IF(AND($D522=AI$4,$D523&gt;AI$4),$F522,AI522))</f>
        <v/>
      </c>
      <c r="AJ523" s="6" t="str">
        <f>IF($D523&lt;=AJ$4,"",IF(AND($D522=AJ$4,$D523&gt;AJ$4),$F522,AJ522))</f>
        <v/>
      </c>
      <c r="AK523" s="6" t="str">
        <f>IF($D523&lt;=AK$4,"",IF(AND($D522=AK$4,$D523&gt;AK$4),$F522,AK522))</f>
        <v/>
      </c>
      <c r="AL523" s="6" t="str">
        <f>IF($D523&lt;=AL$4,"",IF(AND($D522=AL$4,$D523&gt;AL$4),$F522,AL522))</f>
        <v/>
      </c>
      <c r="AM523" s="6" t="str">
        <f>IF($D523&lt;=AM$4,"",IF(AND($D522=AM$4,$D523&gt;AM$4),$F522,AM522))</f>
        <v/>
      </c>
      <c r="AN523" s="6" t="str">
        <f>IF($D523&lt;=AN$4,"",IF(AND($D522=AN$4,$D523&gt;AN$4),$F522,AN522))</f>
        <v/>
      </c>
      <c r="AO523" s="6" t="str">
        <f>CONCATENATE(AG523," | ",AH523," | ",AI523," | ",AJ523," | ",AK523," | ",AL523," | ",AM523," | ",AN523)</f>
        <v xml:space="preserve">90MB1BJ0-C1BAY0 | 59MB1BJB-MB0A02S |  |  |  |  |  | </v>
      </c>
      <c r="AP523" s="6">
        <f>IF(TRIM(H523)="",100,J523)</f>
        <v>100</v>
      </c>
      <c r="AQ523" s="4"/>
      <c r="AR523" s="6" t="b">
        <f>NOT(TRIM(W523)&lt;&gt;"F")</f>
        <v>1</v>
      </c>
      <c r="AS523" s="6" t="str">
        <f>$B523&amp;" | "&amp;$AO523&amp;" | "&amp;IF(TRIM(H523)="","uniq"&amp;ROW(),TRIM(H523))</f>
        <v>461E | 90MB1BJ0-C1BAY0 | 59MB1BJB-MB0A02S |  |  |  |  |  |  | I4</v>
      </c>
      <c r="AT523" s="63">
        <f>IF(NOT(AR523),IF(TRIM($H523)="","Assembly","Phantom Alt"),VLOOKUP(F523,ZPCS04!B:G,6,0))</f>
        <v>719</v>
      </c>
      <c r="AU523" s="7"/>
      <c r="AV523" s="38">
        <f ca="1">IF(TRIM($W523)="F",OFFSET($A$5,MATCH($AS523,$AS$5:$AS523,0)-1,0),$A523)</f>
        <v>523</v>
      </c>
      <c r="AW523" s="38">
        <f ca="1">IFERROR(OFFSET(ZPCS04!$A$1,MATCH(F523,ZPCS04!B:B,0)-1,0),100)</f>
        <v>1.9999999499999999</v>
      </c>
      <c r="AX523" s="7"/>
      <c r="AY523" s="6" t="b">
        <f>SUMIF(AS:AS,AS523,AP:AP)=100</f>
        <v>1</v>
      </c>
      <c r="AZ523" s="6" t="b">
        <f>SUMIF(AS:AS,AS523,AE:AE)/COUNTIF(AS:AS,AS523)=AE523</f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>C523&amp;" | "&amp;F523</f>
        <v>90MB1BJ0-C1BAY0 | 10G213402213010</v>
      </c>
      <c r="BE523" s="55" t="str">
        <f ca="1">C523&amp;" | "&amp;OFFSET($AF523,0,8-COUNTBLANK($AG523:$AN523))</f>
        <v>90MB1BJ0-C1BAY0 | 59MB1BJB-MB0A02S</v>
      </c>
      <c r="BF523" s="57">
        <f ca="1">IFERROR(VLOOKUP($BE523,$BD$5:$BF522,3,0)*$AE523,VLOOKUP($C523,Demanda!$A:$B,2,0)*$AE523)*IF(AT523="Phantom Alt",$BC523,TRUE)</f>
        <v>1000</v>
      </c>
      <c r="BG523" s="57">
        <f ca="1">BF523*(AP523/100)</f>
        <v>1000</v>
      </c>
      <c r="BH523" s="57">
        <f>SUMIF(Invoice!A:A,F523,Invoice!B:B)</f>
        <v>5000</v>
      </c>
      <c r="BI523" s="57">
        <f ca="1">SUMIF(AS:AS,AS523,BG:BG)</f>
        <v>1000</v>
      </c>
      <c r="BJ523" s="57">
        <f ca="1">MIN((BI523-SUMIF($AS$5:AS522,AS523,$BJ$5:BJ522)),MAX(0,BH523-SUMIF($F$5:F522,F523,$BJ$5:BJ522)))</f>
        <v>1000</v>
      </c>
      <c r="BK523" s="57">
        <f ca="1">(-SUMIF(AS:AS,AS523,BG:BG)+SUMIF(AS:AS,AS523,BJ:BJ))*(AP523=100)*AR523</f>
        <v>0</v>
      </c>
      <c r="BL523" s="57">
        <f ca="1">MAX(0,SUMIF(Invoice!A:A,F523,Invoice!B:B)-SUMIF(F:F,F523,BJ:BJ))*(COUNTIF(F:F,F523)=COUNTIF($F$5:F523,F523))</f>
        <v>4000</v>
      </c>
    </row>
    <row r="524" spans="1:64" hidden="1">
      <c r="A524" s="43">
        <v>524</v>
      </c>
      <c r="B524" s="13" t="s">
        <v>147</v>
      </c>
      <c r="C524" s="13" t="s">
        <v>146</v>
      </c>
      <c r="D524" s="13">
        <v>2</v>
      </c>
      <c r="E524" s="13">
        <v>1840</v>
      </c>
      <c r="F524" s="71" t="s">
        <v>1275</v>
      </c>
      <c r="G524" s="71" t="s">
        <v>1276</v>
      </c>
      <c r="H524" s="13" t="s">
        <v>1274</v>
      </c>
      <c r="I524" s="13" t="s">
        <v>55</v>
      </c>
      <c r="J524" s="28">
        <v>0</v>
      </c>
      <c r="K524" s="13" t="s">
        <v>150</v>
      </c>
      <c r="L524" s="13" t="s">
        <v>53</v>
      </c>
      <c r="M524" s="13">
        <v>1</v>
      </c>
      <c r="O524" s="13">
        <v>1</v>
      </c>
      <c r="P524" s="13">
        <v>2</v>
      </c>
      <c r="Q524" s="13">
        <v>2</v>
      </c>
      <c r="R524" s="13" t="s">
        <v>73</v>
      </c>
      <c r="S524" s="13" t="s">
        <v>73</v>
      </c>
      <c r="T524" s="13">
        <v>44901</v>
      </c>
      <c r="U524" s="13">
        <v>2958465</v>
      </c>
      <c r="V524" s="13" t="s">
        <v>282</v>
      </c>
      <c r="W524" s="13" t="s">
        <v>145</v>
      </c>
      <c r="Y524" s="13" t="s">
        <v>143</v>
      </c>
      <c r="Z524" s="13">
        <v>7589154</v>
      </c>
      <c r="AA524" s="13">
        <v>936</v>
      </c>
      <c r="AB524" s="13">
        <v>468</v>
      </c>
      <c r="AE524" s="51">
        <f>M524/O524</f>
        <v>1</v>
      </c>
      <c r="AG524" s="6" t="str">
        <f>C524</f>
        <v>90MB1BJ0-C1BAY0</v>
      </c>
      <c r="AH524" s="6" t="str">
        <f>IF($D524&lt;=AH$4,"",IF(AND($D523=AH$4,$D524&gt;AH$4),$F523,AH523))</f>
        <v>59MB1BJB-MB0A02S</v>
      </c>
      <c r="AI524" s="6" t="str">
        <f>IF($D524&lt;=AI$4,"",IF(AND($D523=AI$4,$D524&gt;AI$4),$F523,AI523))</f>
        <v/>
      </c>
      <c r="AJ524" s="6" t="str">
        <f>IF($D524&lt;=AJ$4,"",IF(AND($D523=AJ$4,$D524&gt;AJ$4),$F523,AJ523))</f>
        <v/>
      </c>
      <c r="AK524" s="6" t="str">
        <f>IF($D524&lt;=AK$4,"",IF(AND($D523=AK$4,$D524&gt;AK$4),$F523,AK523))</f>
        <v/>
      </c>
      <c r="AL524" s="6" t="str">
        <f>IF($D524&lt;=AL$4,"",IF(AND($D523=AL$4,$D524&gt;AL$4),$F523,AL523))</f>
        <v/>
      </c>
      <c r="AM524" s="6" t="str">
        <f>IF($D524&lt;=AM$4,"",IF(AND($D523=AM$4,$D524&gt;AM$4),$F523,AM523))</f>
        <v/>
      </c>
      <c r="AN524" s="6" t="str">
        <f>IF($D524&lt;=AN$4,"",IF(AND($D523=AN$4,$D524&gt;AN$4),$F523,AN523))</f>
        <v/>
      </c>
      <c r="AO524" s="6" t="str">
        <f>CONCATENATE(AG524," | ",AH524," | ",AI524," | ",AJ524," | ",AK524," | ",AL524," | ",AM524," | ",AN524)</f>
        <v xml:space="preserve">90MB1BJ0-C1BAY0 | 59MB1BJB-MB0A02S |  |  |  |  |  | </v>
      </c>
      <c r="AP524" s="6">
        <f>IF(TRIM(H524)="",100,J524)</f>
        <v>0</v>
      </c>
      <c r="AQ524" s="4"/>
      <c r="AR524" s="6" t="b">
        <f>NOT(TRIM(W524)&lt;&gt;"F")</f>
        <v>1</v>
      </c>
      <c r="AS524" s="6" t="str">
        <f>$B524&amp;" | "&amp;$AO524&amp;" | "&amp;IF(TRIM(H524)="","uniq"&amp;ROW(),TRIM(H524))</f>
        <v>461E | 90MB1BJ0-C1BAY0 | 59MB1BJB-MB0A02S |  |  |  |  |  |  | I4</v>
      </c>
      <c r="AT524" s="63">
        <f>IF(NOT(AR524),IF(TRIM($H524)="","Assembly","Phantom Alt"),VLOOKUP(F524,ZPCS04!B:G,6,0))</f>
        <v>719</v>
      </c>
      <c r="AU524" s="7"/>
      <c r="AV524" s="38">
        <f ca="1">IF(TRIM($W524)="F",OFFSET($A$5,MATCH($AS524,$AS$5:$AS524,0)-1,0),$A524)</f>
        <v>523</v>
      </c>
      <c r="AW524" s="38">
        <f ca="1">IFERROR(OFFSET(ZPCS04!$A$1,MATCH(F524,ZPCS04!B:B,0)-1,0),100)</f>
        <v>2</v>
      </c>
      <c r="AX524" s="7"/>
      <c r="AY524" s="6" t="b">
        <f>SUMIF(AS:AS,AS524,AP:AP)=100</f>
        <v>1</v>
      </c>
      <c r="AZ524" s="6" t="b">
        <f>SUMIF(AS:AS,AS524,AE:AE)/COUNTIF(AS:AS,AS524)=AE524</f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>C524&amp;" | "&amp;F524</f>
        <v>90MB1BJ0-C1BAY0 | 10G213402213020</v>
      </c>
      <c r="BE524" s="55" t="str">
        <f ca="1">C524&amp;" | "&amp;OFFSET($AF524,0,8-COUNTBLANK($AG524:$AN524))</f>
        <v>90MB1BJ0-C1BAY0 | 59MB1BJB-MB0A02S</v>
      </c>
      <c r="BF524" s="57">
        <f ca="1">IFERROR(VLOOKUP($BE524,$BD$5:$BF523,3,0)*$AE524,VLOOKUP($C524,Demanda!$A:$B,2,0)*$AE524)*IF(AT524="Phantom Alt",$BC524,TRUE)</f>
        <v>1000</v>
      </c>
      <c r="BG524" s="57">
        <f ca="1">BF524*(AP524/100)</f>
        <v>0</v>
      </c>
      <c r="BH524" s="57">
        <f>SUMIF(Invoice!A:A,F524,Invoice!B:B)</f>
        <v>0</v>
      </c>
      <c r="BI524" s="57">
        <f ca="1">SUMIF(AS:AS,AS524,BG:BG)</f>
        <v>1000</v>
      </c>
      <c r="BJ524" s="57">
        <f ca="1">MIN((BI524-SUMIF($AS$5:AS523,AS524,$BJ$5:BJ523)),MAX(0,BH524-SUMIF($F$5:F523,F524,$BJ$5:BJ523)))</f>
        <v>0</v>
      </c>
      <c r="BK524" s="57">
        <f ca="1">(-SUMIF(AS:AS,AS524,BG:BG)+SUMIF(AS:AS,AS524,BJ:BJ))*(AP524=100)*AR524</f>
        <v>0</v>
      </c>
      <c r="BL524" s="57">
        <f ca="1">MAX(0,SUMIF(Invoice!A:A,F524,Invoice!B:B)-SUMIF(F:F,F524,BJ:BJ))*(COUNTIF(F:F,F524)=COUNTIF($F$5:F524,F524))</f>
        <v>0</v>
      </c>
    </row>
    <row r="525" spans="1:64" hidden="1">
      <c r="A525" s="43">
        <v>525</v>
      </c>
      <c r="B525" s="13" t="s">
        <v>147</v>
      </c>
      <c r="C525" s="13" t="s">
        <v>146</v>
      </c>
      <c r="D525" s="13">
        <v>2</v>
      </c>
      <c r="E525" s="13">
        <v>1840</v>
      </c>
      <c r="F525" s="71" t="s">
        <v>1277</v>
      </c>
      <c r="G525" s="71" t="s">
        <v>1278</v>
      </c>
      <c r="H525" s="13" t="s">
        <v>1274</v>
      </c>
      <c r="I525" s="13" t="s">
        <v>55</v>
      </c>
      <c r="J525" s="28">
        <v>0</v>
      </c>
      <c r="K525" s="13" t="s">
        <v>150</v>
      </c>
      <c r="L525" s="13" t="s">
        <v>53</v>
      </c>
      <c r="M525" s="13">
        <v>1</v>
      </c>
      <c r="O525" s="13">
        <v>1</v>
      </c>
      <c r="P525" s="13">
        <v>2</v>
      </c>
      <c r="Q525" s="13">
        <v>3</v>
      </c>
      <c r="R525" s="13" t="s">
        <v>73</v>
      </c>
      <c r="S525" s="13" t="s">
        <v>73</v>
      </c>
      <c r="T525" s="13">
        <v>44901</v>
      </c>
      <c r="U525" s="13">
        <v>2958465</v>
      </c>
      <c r="V525" s="13" t="s">
        <v>282</v>
      </c>
      <c r="W525" s="13" t="s">
        <v>145</v>
      </c>
      <c r="Y525" s="13" t="s">
        <v>143</v>
      </c>
      <c r="Z525" s="13">
        <v>7589154</v>
      </c>
      <c r="AA525" s="13">
        <v>938</v>
      </c>
      <c r="AB525" s="13">
        <v>469</v>
      </c>
      <c r="AE525" s="51">
        <f>M525/O525</f>
        <v>1</v>
      </c>
      <c r="AG525" s="6" t="str">
        <f>C525</f>
        <v>90MB1BJ0-C1BAY0</v>
      </c>
      <c r="AH525" s="6" t="str">
        <f>IF($D525&lt;=AH$4,"",IF(AND($D524=AH$4,$D525&gt;AH$4),$F524,AH524))</f>
        <v>59MB1BJB-MB0A02S</v>
      </c>
      <c r="AI525" s="6" t="str">
        <f>IF($D525&lt;=AI$4,"",IF(AND($D524=AI$4,$D525&gt;AI$4),$F524,AI524))</f>
        <v/>
      </c>
      <c r="AJ525" s="6" t="str">
        <f>IF($D525&lt;=AJ$4,"",IF(AND($D524=AJ$4,$D525&gt;AJ$4),$F524,AJ524))</f>
        <v/>
      </c>
      <c r="AK525" s="6" t="str">
        <f>IF($D525&lt;=AK$4,"",IF(AND($D524=AK$4,$D525&gt;AK$4),$F524,AK524))</f>
        <v/>
      </c>
      <c r="AL525" s="6" t="str">
        <f>IF($D525&lt;=AL$4,"",IF(AND($D524=AL$4,$D525&gt;AL$4),$F524,AL524))</f>
        <v/>
      </c>
      <c r="AM525" s="6" t="str">
        <f>IF($D525&lt;=AM$4,"",IF(AND($D524=AM$4,$D525&gt;AM$4),$F524,AM524))</f>
        <v/>
      </c>
      <c r="AN525" s="6" t="str">
        <f>IF($D525&lt;=AN$4,"",IF(AND($D524=AN$4,$D525&gt;AN$4),$F524,AN524))</f>
        <v/>
      </c>
      <c r="AO525" s="6" t="str">
        <f>CONCATENATE(AG525," | ",AH525," | ",AI525," | ",AJ525," | ",AK525," | ",AL525," | ",AM525," | ",AN525)</f>
        <v xml:space="preserve">90MB1BJ0-C1BAY0 | 59MB1BJB-MB0A02S |  |  |  |  |  | </v>
      </c>
      <c r="AP525" s="6">
        <f>IF(TRIM(H525)="",100,J525)</f>
        <v>0</v>
      </c>
      <c r="AQ525" s="4"/>
      <c r="AR525" s="6" t="b">
        <f>NOT(TRIM(W525)&lt;&gt;"F")</f>
        <v>1</v>
      </c>
      <c r="AS525" s="6" t="str">
        <f>$B525&amp;" | "&amp;$AO525&amp;" | "&amp;IF(TRIM(H525)="","uniq"&amp;ROW(),TRIM(H525))</f>
        <v>461E | 90MB1BJ0-C1BAY0 | 59MB1BJB-MB0A02S |  |  |  |  |  |  | I4</v>
      </c>
      <c r="AT525" s="63">
        <f>IF(NOT(AR525),IF(TRIM($H525)="","Assembly","Phantom Alt"),VLOOKUP(F525,ZPCS04!B:G,6,0))</f>
        <v>719</v>
      </c>
      <c r="AU525" s="7"/>
      <c r="AV525" s="38">
        <f ca="1">IF(TRIM($W525)="F",OFFSET($A$5,MATCH($AS525,$AS$5:$AS525,0)-1,0),$A525)</f>
        <v>523</v>
      </c>
      <c r="AW525" s="38">
        <f ca="1">IFERROR(OFFSET(ZPCS04!$A$1,MATCH(F525,ZPCS04!B:B,0)-1,0),100)</f>
        <v>2</v>
      </c>
      <c r="AX525" s="7"/>
      <c r="AY525" s="6" t="b">
        <f>SUMIF(AS:AS,AS525,AP:AP)=100</f>
        <v>1</v>
      </c>
      <c r="AZ525" s="6" t="b">
        <f>SUMIF(AS:AS,AS525,AE:AE)/COUNTIF(AS:AS,AS525)=AE525</f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>C525&amp;" | "&amp;F525</f>
        <v>90MB1BJ0-C1BAY0 | 10G213402213050</v>
      </c>
      <c r="BE525" s="55" t="str">
        <f ca="1">C525&amp;" | "&amp;OFFSET($AF525,0,8-COUNTBLANK($AG525:$AN525))</f>
        <v>90MB1BJ0-C1BAY0 | 59MB1BJB-MB0A02S</v>
      </c>
      <c r="BF525" s="57">
        <f ca="1">IFERROR(VLOOKUP($BE525,$BD$5:$BF524,3,0)*$AE525,VLOOKUP($C525,Demanda!$A:$B,2,0)*$AE525)*IF(AT525="Phantom Alt",$BC525,TRUE)</f>
        <v>1000</v>
      </c>
      <c r="BG525" s="57">
        <f ca="1">BF525*(AP525/100)</f>
        <v>0</v>
      </c>
      <c r="BH525" s="57">
        <f>SUMIF(Invoice!A:A,F525,Invoice!B:B)</f>
        <v>0</v>
      </c>
      <c r="BI525" s="57">
        <f ca="1">SUMIF(AS:AS,AS525,BG:BG)</f>
        <v>1000</v>
      </c>
      <c r="BJ525" s="57">
        <f ca="1">MIN((BI525-SUMIF($AS$5:AS524,AS525,$BJ$5:BJ524)),MAX(0,BH525-SUMIF($F$5:F524,F525,$BJ$5:BJ524)))</f>
        <v>0</v>
      </c>
      <c r="BK525" s="57">
        <f ca="1">(-SUMIF(AS:AS,AS525,BG:BG)+SUMIF(AS:AS,AS525,BJ:BJ))*(AP525=100)*AR525</f>
        <v>0</v>
      </c>
      <c r="BL525" s="57">
        <f ca="1">MAX(0,SUMIF(Invoice!A:A,F525,Invoice!B:B)-SUMIF(F:F,F525,BJ:BJ))*(COUNTIF(F:F,F525)=COUNTIF($F$5:F525,F525))</f>
        <v>0</v>
      </c>
    </row>
    <row r="526" spans="1:64" hidden="1">
      <c r="A526" s="43">
        <v>526</v>
      </c>
      <c r="B526" s="13" t="s">
        <v>147</v>
      </c>
      <c r="C526" s="13" t="s">
        <v>146</v>
      </c>
      <c r="D526" s="13">
        <v>2</v>
      </c>
      <c r="E526" s="13">
        <v>1850</v>
      </c>
      <c r="F526" s="71" t="s">
        <v>1279</v>
      </c>
      <c r="G526" s="71" t="s">
        <v>1280</v>
      </c>
      <c r="H526" s="13" t="s">
        <v>1281</v>
      </c>
      <c r="I526" s="13" t="s">
        <v>55</v>
      </c>
      <c r="J526" s="28">
        <v>0</v>
      </c>
      <c r="K526" s="13" t="s">
        <v>150</v>
      </c>
      <c r="L526" s="13" t="s">
        <v>53</v>
      </c>
      <c r="M526" s="13">
        <v>3</v>
      </c>
      <c r="O526" s="13">
        <v>1</v>
      </c>
      <c r="P526" s="13">
        <v>2</v>
      </c>
      <c r="Q526" s="13">
        <v>2</v>
      </c>
      <c r="R526" s="13" t="s">
        <v>73</v>
      </c>
      <c r="S526" s="13" t="s">
        <v>73</v>
      </c>
      <c r="T526" s="13">
        <v>44901</v>
      </c>
      <c r="U526" s="13">
        <v>2958465</v>
      </c>
      <c r="V526" s="13" t="s">
        <v>282</v>
      </c>
      <c r="W526" s="13" t="s">
        <v>145</v>
      </c>
      <c r="Y526" s="13" t="s">
        <v>143</v>
      </c>
      <c r="Z526" s="13">
        <v>7589154</v>
      </c>
      <c r="AA526" s="13">
        <v>942</v>
      </c>
      <c r="AB526" s="13">
        <v>471</v>
      </c>
      <c r="AE526" s="51">
        <f>M526/O526</f>
        <v>3</v>
      </c>
      <c r="AG526" s="6" t="str">
        <f>C526</f>
        <v>90MB1BJ0-C1BAY0</v>
      </c>
      <c r="AH526" s="6" t="str">
        <f>IF($D526&lt;=AH$4,"",IF(AND($D525=AH$4,$D526&gt;AH$4),$F525,AH525))</f>
        <v>59MB1BJB-MB0A02S</v>
      </c>
      <c r="AI526" s="6" t="str">
        <f>IF($D526&lt;=AI$4,"",IF(AND($D525=AI$4,$D526&gt;AI$4),$F525,AI525))</f>
        <v/>
      </c>
      <c r="AJ526" s="6" t="str">
        <f>IF($D526&lt;=AJ$4,"",IF(AND($D525=AJ$4,$D526&gt;AJ$4),$F525,AJ525))</f>
        <v/>
      </c>
      <c r="AK526" s="6" t="str">
        <f>IF($D526&lt;=AK$4,"",IF(AND($D525=AK$4,$D526&gt;AK$4),$F525,AK525))</f>
        <v/>
      </c>
      <c r="AL526" s="6" t="str">
        <f>IF($D526&lt;=AL$4,"",IF(AND($D525=AL$4,$D526&gt;AL$4),$F525,AL525))</f>
        <v/>
      </c>
      <c r="AM526" s="6" t="str">
        <f>IF($D526&lt;=AM$4,"",IF(AND($D525=AM$4,$D526&gt;AM$4),$F525,AM525))</f>
        <v/>
      </c>
      <c r="AN526" s="6" t="str">
        <f>IF($D526&lt;=AN$4,"",IF(AND($D525=AN$4,$D526&gt;AN$4),$F525,AN525))</f>
        <v/>
      </c>
      <c r="AO526" s="6" t="str">
        <f>CONCATENATE(AG526," | ",AH526," | ",AI526," | ",AJ526," | ",AK526," | ",AL526," | ",AM526," | ",AN526)</f>
        <v xml:space="preserve">90MB1BJ0-C1BAY0 | 59MB1BJB-MB0A02S |  |  |  |  |  | </v>
      </c>
      <c r="AP526" s="6">
        <f>IF(TRIM(H526)="",100,J526)</f>
        <v>0</v>
      </c>
      <c r="AQ526" s="4"/>
      <c r="AR526" s="6" t="b">
        <f>NOT(TRIM(W526)&lt;&gt;"F")</f>
        <v>1</v>
      </c>
      <c r="AS526" s="6" t="str">
        <f>$B526&amp;" | "&amp;$AO526&amp;" | "&amp;IF(TRIM(H526)="","uniq"&amp;ROW(),TRIM(H526))</f>
        <v>461E | 90MB1BJ0-C1BAY0 | 59MB1BJB-MB0A02S |  |  |  |  |  |  | I5</v>
      </c>
      <c r="AT526" s="63">
        <f>IF(NOT(AR526),IF(TRIM($H526)="","Assembly","Phantom Alt"),VLOOKUP(F526,ZPCS04!B:G,6,0))</f>
        <v>873</v>
      </c>
      <c r="AU526" s="7"/>
      <c r="AV526" s="38">
        <f ca="1">IF(TRIM($W526)="F",OFFSET($A$5,MATCH($AS526,$AS$5:$AS526,0)-1,0),$A526)</f>
        <v>526</v>
      </c>
      <c r="AW526" s="38">
        <f ca="1">IFERROR(OFFSET(ZPCS04!$A$1,MATCH(F526,ZPCS04!B:B,0)-1,0),100)</f>
        <v>1.9999999499999999</v>
      </c>
      <c r="AX526" s="7"/>
      <c r="AY526" s="6" t="b">
        <f>SUMIF(AS:AS,AS526,AP:AP)=100</f>
        <v>1</v>
      </c>
      <c r="AZ526" s="6" t="b">
        <f>SUMIF(AS:AS,AS526,AE:AE)/COUNTIF(AS:AS,AS526)=AE526</f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>C526&amp;" | "&amp;F526</f>
        <v>90MB1BJ0-C1BAY0 | 10G213412113010</v>
      </c>
      <c r="BE526" s="55" t="str">
        <f ca="1">C526&amp;" | "&amp;OFFSET($AF526,0,8-COUNTBLANK($AG526:$AN526))</f>
        <v>90MB1BJ0-C1BAY0 | 59MB1BJB-MB0A02S</v>
      </c>
      <c r="BF526" s="57">
        <f ca="1">IFERROR(VLOOKUP($BE526,$BD$5:$BF525,3,0)*$AE526,VLOOKUP($C526,Demanda!$A:$B,2,0)*$AE526)*IF(AT526="Phantom Alt",$BC526,TRUE)</f>
        <v>3000</v>
      </c>
      <c r="BG526" s="57">
        <f ca="1">BF526*(AP526/100)</f>
        <v>0</v>
      </c>
      <c r="BH526" s="57">
        <f>SUMIF(Invoice!A:A,F526,Invoice!B:B)</f>
        <v>5000</v>
      </c>
      <c r="BI526" s="57">
        <f ca="1">SUMIF(AS:AS,AS526,BG:BG)</f>
        <v>3000</v>
      </c>
      <c r="BJ526" s="57">
        <f ca="1">MIN((BI526-SUMIF($AS$5:AS525,AS526,$BJ$5:BJ525)),MAX(0,BH526-SUMIF($F$5:F525,F526,$BJ$5:BJ525)))</f>
        <v>3000</v>
      </c>
      <c r="BK526" s="57">
        <f ca="1">(-SUMIF(AS:AS,AS526,BG:BG)+SUMIF(AS:AS,AS526,BJ:BJ))*(AP526=100)*AR526</f>
        <v>0</v>
      </c>
      <c r="BL526" s="57">
        <f ca="1">MAX(0,SUMIF(Invoice!A:A,F526,Invoice!B:B)-SUMIF(F:F,F526,BJ:BJ))*(COUNTIF(F:F,F526)=COUNTIF($F$5:F526,F526))</f>
        <v>2000</v>
      </c>
    </row>
    <row r="527" spans="1:64" hidden="1">
      <c r="A527" s="43">
        <v>527</v>
      </c>
      <c r="B527" s="13" t="s">
        <v>147</v>
      </c>
      <c r="C527" s="13" t="s">
        <v>146</v>
      </c>
      <c r="D527" s="13">
        <v>2</v>
      </c>
      <c r="E527" s="13">
        <v>1850</v>
      </c>
      <c r="F527" s="71" t="s">
        <v>1282</v>
      </c>
      <c r="G527" s="71" t="s">
        <v>1283</v>
      </c>
      <c r="H527" s="13" t="s">
        <v>1281</v>
      </c>
      <c r="I527" s="13" t="s">
        <v>55</v>
      </c>
      <c r="J527" s="28">
        <v>0</v>
      </c>
      <c r="K527" s="13" t="s">
        <v>150</v>
      </c>
      <c r="L527" s="13" t="s">
        <v>53</v>
      </c>
      <c r="M527" s="13">
        <v>3</v>
      </c>
      <c r="O527" s="13">
        <v>1</v>
      </c>
      <c r="P527" s="13">
        <v>2</v>
      </c>
      <c r="Q527" s="13">
        <v>3</v>
      </c>
      <c r="R527" s="13" t="s">
        <v>73</v>
      </c>
      <c r="S527" s="13" t="s">
        <v>73</v>
      </c>
      <c r="T527" s="13">
        <v>44901</v>
      </c>
      <c r="U527" s="13">
        <v>2958465</v>
      </c>
      <c r="V527" s="13" t="s">
        <v>282</v>
      </c>
      <c r="W527" s="13" t="s">
        <v>145</v>
      </c>
      <c r="Y527" s="13" t="s">
        <v>143</v>
      </c>
      <c r="Z527" s="13">
        <v>7589154</v>
      </c>
      <c r="AA527" s="13">
        <v>944</v>
      </c>
      <c r="AB527" s="13">
        <v>472</v>
      </c>
      <c r="AE527" s="51">
        <f>M527/O527</f>
        <v>3</v>
      </c>
      <c r="AG527" s="6" t="str">
        <f>C527</f>
        <v>90MB1BJ0-C1BAY0</v>
      </c>
      <c r="AH527" s="6" t="str">
        <f>IF($D527&lt;=AH$4,"",IF(AND($D526=AH$4,$D527&gt;AH$4),$F526,AH526))</f>
        <v>59MB1BJB-MB0A02S</v>
      </c>
      <c r="AI527" s="6" t="str">
        <f>IF($D527&lt;=AI$4,"",IF(AND($D526=AI$4,$D527&gt;AI$4),$F526,AI526))</f>
        <v/>
      </c>
      <c r="AJ527" s="6" t="str">
        <f>IF($D527&lt;=AJ$4,"",IF(AND($D526=AJ$4,$D527&gt;AJ$4),$F526,AJ526))</f>
        <v/>
      </c>
      <c r="AK527" s="6" t="str">
        <f>IF($D527&lt;=AK$4,"",IF(AND($D526=AK$4,$D527&gt;AK$4),$F526,AK526))</f>
        <v/>
      </c>
      <c r="AL527" s="6" t="str">
        <f>IF($D527&lt;=AL$4,"",IF(AND($D526=AL$4,$D527&gt;AL$4),$F526,AL526))</f>
        <v/>
      </c>
      <c r="AM527" s="6" t="str">
        <f>IF($D527&lt;=AM$4,"",IF(AND($D526=AM$4,$D527&gt;AM$4),$F526,AM526))</f>
        <v/>
      </c>
      <c r="AN527" s="6" t="str">
        <f>IF($D527&lt;=AN$4,"",IF(AND($D526=AN$4,$D527&gt;AN$4),$F526,AN526))</f>
        <v/>
      </c>
      <c r="AO527" s="6" t="str">
        <f>CONCATENATE(AG527," | ",AH527," | ",AI527," | ",AJ527," | ",AK527," | ",AL527," | ",AM527," | ",AN527)</f>
        <v xml:space="preserve">90MB1BJ0-C1BAY0 | 59MB1BJB-MB0A02S |  |  |  |  |  | </v>
      </c>
      <c r="AP527" s="6">
        <f>IF(TRIM(H527)="",100,J527)</f>
        <v>0</v>
      </c>
      <c r="AQ527" s="4"/>
      <c r="AR527" s="6" t="b">
        <f>NOT(TRIM(W527)&lt;&gt;"F")</f>
        <v>1</v>
      </c>
      <c r="AS527" s="6" t="str">
        <f>$B527&amp;" | "&amp;$AO527&amp;" | "&amp;IF(TRIM(H527)="","uniq"&amp;ROW(),TRIM(H527))</f>
        <v>461E | 90MB1BJ0-C1BAY0 | 59MB1BJB-MB0A02S |  |  |  |  |  |  | I5</v>
      </c>
      <c r="AT527" s="63">
        <f>IF(NOT(AR527),IF(TRIM($H527)="","Assembly","Phantom Alt"),VLOOKUP(F527,ZPCS04!B:G,6,0))</f>
        <v>873</v>
      </c>
      <c r="AU527" s="7"/>
      <c r="AV527" s="38">
        <f ca="1">IF(TRIM($W527)="F",OFFSET($A$5,MATCH($AS527,$AS$5:$AS527,0)-1,0),$A527)</f>
        <v>526</v>
      </c>
      <c r="AW527" s="38">
        <f ca="1">IFERROR(OFFSET(ZPCS04!$A$1,MATCH(F527,ZPCS04!B:B,0)-1,0),100)</f>
        <v>2</v>
      </c>
      <c r="AX527" s="7"/>
      <c r="AY527" s="6" t="b">
        <f>SUMIF(AS:AS,AS527,AP:AP)=100</f>
        <v>1</v>
      </c>
      <c r="AZ527" s="6" t="b">
        <f>SUMIF(AS:AS,AS527,AE:AE)/COUNTIF(AS:AS,AS527)=AE527</f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>C527&amp;" | "&amp;F527</f>
        <v>90MB1BJ0-C1BAY0 | 10G213412113020</v>
      </c>
      <c r="BE527" s="55" t="str">
        <f ca="1">C527&amp;" | "&amp;OFFSET($AF527,0,8-COUNTBLANK($AG527:$AN527))</f>
        <v>90MB1BJ0-C1BAY0 | 59MB1BJB-MB0A02S</v>
      </c>
      <c r="BF527" s="57">
        <f ca="1">IFERROR(VLOOKUP($BE527,$BD$5:$BF526,3,0)*$AE527,VLOOKUP($C527,Demanda!$A:$B,2,0)*$AE527)*IF(AT527="Phantom Alt",$BC527,TRUE)</f>
        <v>3000</v>
      </c>
      <c r="BG527" s="57">
        <f ca="1">BF527*(AP527/100)</f>
        <v>0</v>
      </c>
      <c r="BH527" s="57">
        <f>SUMIF(Invoice!A:A,F527,Invoice!B:B)</f>
        <v>0</v>
      </c>
      <c r="BI527" s="57">
        <f ca="1">SUMIF(AS:AS,AS527,BG:BG)</f>
        <v>3000</v>
      </c>
      <c r="BJ527" s="57">
        <f ca="1">MIN((BI527-SUMIF($AS$5:AS526,AS527,$BJ$5:BJ526)),MAX(0,BH527-SUMIF($F$5:F526,F527,$BJ$5:BJ526)))</f>
        <v>0</v>
      </c>
      <c r="BK527" s="57">
        <f ca="1">(-SUMIF(AS:AS,AS527,BG:BG)+SUMIF(AS:AS,AS527,BJ:BJ))*(AP527=100)*AR527</f>
        <v>0</v>
      </c>
      <c r="BL527" s="57">
        <f ca="1">MAX(0,SUMIF(Invoice!A:A,F527,Invoice!B:B)-SUMIF(F:F,F527,BJ:BJ))*(COUNTIF(F:F,F527)=COUNTIF($F$5:F527,F527))</f>
        <v>0</v>
      </c>
    </row>
    <row r="528" spans="1:64" hidden="1">
      <c r="A528" s="43">
        <v>528</v>
      </c>
      <c r="B528" s="13" t="s">
        <v>147</v>
      </c>
      <c r="C528" s="13" t="s">
        <v>146</v>
      </c>
      <c r="D528" s="13">
        <v>2</v>
      </c>
      <c r="E528" s="13">
        <v>1850</v>
      </c>
      <c r="F528" s="71" t="s">
        <v>1284</v>
      </c>
      <c r="G528" s="71" t="s">
        <v>1285</v>
      </c>
      <c r="H528" s="13" t="s">
        <v>1281</v>
      </c>
      <c r="I528" s="13" t="s">
        <v>54</v>
      </c>
      <c r="J528" s="28">
        <v>100</v>
      </c>
      <c r="K528" s="13" t="s">
        <v>150</v>
      </c>
      <c r="L528" s="13" t="s">
        <v>53</v>
      </c>
      <c r="M528" s="13">
        <v>3</v>
      </c>
      <c r="N528" s="13">
        <v>3</v>
      </c>
      <c r="O528" s="13">
        <v>1</v>
      </c>
      <c r="P528" s="13">
        <v>2</v>
      </c>
      <c r="Q528" s="13">
        <v>1</v>
      </c>
      <c r="R528" s="13" t="s">
        <v>73</v>
      </c>
      <c r="S528" s="13" t="s">
        <v>73</v>
      </c>
      <c r="T528" s="13">
        <v>44901</v>
      </c>
      <c r="U528" s="13">
        <v>2958465</v>
      </c>
      <c r="V528" s="13" t="s">
        <v>282</v>
      </c>
      <c r="W528" s="13" t="s">
        <v>145</v>
      </c>
      <c r="Y528" s="13" t="s">
        <v>143</v>
      </c>
      <c r="Z528" s="13">
        <v>7589154</v>
      </c>
      <c r="AA528" s="13">
        <v>940</v>
      </c>
      <c r="AB528" s="13">
        <v>470</v>
      </c>
      <c r="AE528" s="51">
        <f>M528/O528</f>
        <v>3</v>
      </c>
      <c r="AG528" s="6" t="str">
        <f>C528</f>
        <v>90MB1BJ0-C1BAY0</v>
      </c>
      <c r="AH528" s="6" t="str">
        <f>IF($D528&lt;=AH$4,"",IF(AND($D527=AH$4,$D528&gt;AH$4),$F527,AH527))</f>
        <v>59MB1BJB-MB0A02S</v>
      </c>
      <c r="AI528" s="6" t="str">
        <f>IF($D528&lt;=AI$4,"",IF(AND($D527=AI$4,$D528&gt;AI$4),$F527,AI527))</f>
        <v/>
      </c>
      <c r="AJ528" s="6" t="str">
        <f>IF($D528&lt;=AJ$4,"",IF(AND($D527=AJ$4,$D528&gt;AJ$4),$F527,AJ527))</f>
        <v/>
      </c>
      <c r="AK528" s="6" t="str">
        <f>IF($D528&lt;=AK$4,"",IF(AND($D527=AK$4,$D528&gt;AK$4),$F527,AK527))</f>
        <v/>
      </c>
      <c r="AL528" s="6" t="str">
        <f>IF($D528&lt;=AL$4,"",IF(AND($D527=AL$4,$D528&gt;AL$4),$F527,AL527))</f>
        <v/>
      </c>
      <c r="AM528" s="6" t="str">
        <f>IF($D528&lt;=AM$4,"",IF(AND($D527=AM$4,$D528&gt;AM$4),$F527,AM527))</f>
        <v/>
      </c>
      <c r="AN528" s="6" t="str">
        <f>IF($D528&lt;=AN$4,"",IF(AND($D527=AN$4,$D528&gt;AN$4),$F527,AN527))</f>
        <v/>
      </c>
      <c r="AO528" s="6" t="str">
        <f>CONCATENATE(AG528," | ",AH528," | ",AI528," | ",AJ528," | ",AK528," | ",AL528," | ",AM528," | ",AN528)</f>
        <v xml:space="preserve">90MB1BJ0-C1BAY0 | 59MB1BJB-MB0A02S |  |  |  |  |  | </v>
      </c>
      <c r="AP528" s="6">
        <f>IF(TRIM(H528)="",100,J528)</f>
        <v>100</v>
      </c>
      <c r="AQ528" s="4"/>
      <c r="AR528" s="6" t="b">
        <f>NOT(TRIM(W528)&lt;&gt;"F")</f>
        <v>1</v>
      </c>
      <c r="AS528" s="6" t="str">
        <f>$B528&amp;" | "&amp;$AO528&amp;" | "&amp;IF(TRIM(H528)="","uniq"&amp;ROW(),TRIM(H528))</f>
        <v>461E | 90MB1BJ0-C1BAY0 | 59MB1BJB-MB0A02S |  |  |  |  |  |  | I5</v>
      </c>
      <c r="AT528" s="63">
        <f>IF(NOT(AR528),IF(TRIM($H528)="","Assembly","Phantom Alt"),VLOOKUP(F528,ZPCS04!B:G,6,0))</f>
        <v>873</v>
      </c>
      <c r="AU528" s="7"/>
      <c r="AV528" s="38">
        <f ca="1">IF(TRIM($W528)="F",OFFSET($A$5,MATCH($AS528,$AS$5:$AS528,0)-1,0),$A528)</f>
        <v>526</v>
      </c>
      <c r="AW528" s="38">
        <f ca="1">IFERROR(OFFSET(ZPCS04!$A$1,MATCH(F528,ZPCS04!B:B,0)-1,0),100)</f>
        <v>2</v>
      </c>
      <c r="AX528" s="7"/>
      <c r="AY528" s="6" t="b">
        <f>SUMIF(AS:AS,AS528,AP:AP)=100</f>
        <v>1</v>
      </c>
      <c r="AZ528" s="6" t="b">
        <f>SUMIF(AS:AS,AS528,AE:AE)/COUNTIF(AS:AS,AS528)=AE528</f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>C528&amp;" | "&amp;F528</f>
        <v>90MB1BJ0-C1BAY0 | 10G213412113050</v>
      </c>
      <c r="BE528" s="55" t="str">
        <f ca="1">C528&amp;" | "&amp;OFFSET($AF528,0,8-COUNTBLANK($AG528:$AN528))</f>
        <v>90MB1BJ0-C1BAY0 | 59MB1BJB-MB0A02S</v>
      </c>
      <c r="BF528" s="57">
        <f ca="1">IFERROR(VLOOKUP($BE528,$BD$5:$BF527,3,0)*$AE528,VLOOKUP($C528,Demanda!$A:$B,2,0)*$AE528)*IF(AT528="Phantom Alt",$BC528,TRUE)</f>
        <v>3000</v>
      </c>
      <c r="BG528" s="57">
        <f ca="1">BF528*(AP528/100)</f>
        <v>3000</v>
      </c>
      <c r="BH528" s="57">
        <f>SUMIF(Invoice!A:A,F528,Invoice!B:B)</f>
        <v>0</v>
      </c>
      <c r="BI528" s="57">
        <f ca="1">SUMIF(AS:AS,AS528,BG:BG)</f>
        <v>3000</v>
      </c>
      <c r="BJ528" s="57">
        <f ca="1">MIN((BI528-SUMIF($AS$5:AS527,AS528,$BJ$5:BJ527)),MAX(0,BH528-SUMIF($F$5:F527,F528,$BJ$5:BJ527)))</f>
        <v>0</v>
      </c>
      <c r="BK528" s="57">
        <f ca="1">(-SUMIF(AS:AS,AS528,BG:BG)+SUMIF(AS:AS,AS528,BJ:BJ))*(AP528=100)*AR528</f>
        <v>0</v>
      </c>
      <c r="BL528" s="57">
        <f ca="1">MAX(0,SUMIF(Invoice!A:A,F528,Invoice!B:B)-SUMIF(F:F,F528,BJ:BJ))*(COUNTIF(F:F,F528)=COUNTIF($F$5:F528,F528))</f>
        <v>0</v>
      </c>
    </row>
    <row r="529" spans="1:64" hidden="1">
      <c r="A529" s="43">
        <v>529</v>
      </c>
      <c r="B529" s="13" t="s">
        <v>147</v>
      </c>
      <c r="C529" s="13" t="s">
        <v>146</v>
      </c>
      <c r="D529" s="13">
        <v>2</v>
      </c>
      <c r="E529" s="13">
        <v>1860</v>
      </c>
      <c r="F529" s="71" t="s">
        <v>1286</v>
      </c>
      <c r="G529" s="71" t="s">
        <v>1287</v>
      </c>
      <c r="H529" s="13" t="s">
        <v>1288</v>
      </c>
      <c r="I529" s="13" t="s">
        <v>54</v>
      </c>
      <c r="J529" s="28">
        <v>100</v>
      </c>
      <c r="K529" s="13" t="s">
        <v>150</v>
      </c>
      <c r="L529" s="13" t="s">
        <v>53</v>
      </c>
      <c r="M529" s="13">
        <v>1</v>
      </c>
      <c r="N529" s="13">
        <v>1</v>
      </c>
      <c r="O529" s="13">
        <v>1</v>
      </c>
      <c r="P529" s="13">
        <v>2</v>
      </c>
      <c r="Q529" s="13">
        <v>1</v>
      </c>
      <c r="R529" s="13" t="s">
        <v>73</v>
      </c>
      <c r="S529" s="13" t="s">
        <v>73</v>
      </c>
      <c r="T529" s="13">
        <v>44901</v>
      </c>
      <c r="U529" s="13">
        <v>2958465</v>
      </c>
      <c r="V529" s="13" t="s">
        <v>282</v>
      </c>
      <c r="W529" s="13" t="s">
        <v>145</v>
      </c>
      <c r="Y529" s="13" t="s">
        <v>143</v>
      </c>
      <c r="Z529" s="13">
        <v>7589154</v>
      </c>
      <c r="AA529" s="13">
        <v>946</v>
      </c>
      <c r="AB529" s="13">
        <v>473</v>
      </c>
      <c r="AE529" s="51">
        <f>M529/O529</f>
        <v>1</v>
      </c>
      <c r="AG529" s="6" t="str">
        <f>C529</f>
        <v>90MB1BJ0-C1BAY0</v>
      </c>
      <c r="AH529" s="6" t="str">
        <f>IF($D529&lt;=AH$4,"",IF(AND($D528=AH$4,$D529&gt;AH$4),$F528,AH528))</f>
        <v>59MB1BJB-MB0A02S</v>
      </c>
      <c r="AI529" s="6" t="str">
        <f>IF($D529&lt;=AI$4,"",IF(AND($D528=AI$4,$D529&gt;AI$4),$F528,AI528))</f>
        <v/>
      </c>
      <c r="AJ529" s="6" t="str">
        <f>IF($D529&lt;=AJ$4,"",IF(AND($D528=AJ$4,$D529&gt;AJ$4),$F528,AJ528))</f>
        <v/>
      </c>
      <c r="AK529" s="6" t="str">
        <f>IF($D529&lt;=AK$4,"",IF(AND($D528=AK$4,$D529&gt;AK$4),$F528,AK528))</f>
        <v/>
      </c>
      <c r="AL529" s="6" t="str">
        <f>IF($D529&lt;=AL$4,"",IF(AND($D528=AL$4,$D529&gt;AL$4),$F528,AL528))</f>
        <v/>
      </c>
      <c r="AM529" s="6" t="str">
        <f>IF($D529&lt;=AM$4,"",IF(AND($D528=AM$4,$D529&gt;AM$4),$F528,AM528))</f>
        <v/>
      </c>
      <c r="AN529" s="6" t="str">
        <f>IF($D529&lt;=AN$4,"",IF(AND($D528=AN$4,$D529&gt;AN$4),$F528,AN528))</f>
        <v/>
      </c>
      <c r="AO529" s="6" t="str">
        <f>CONCATENATE(AG529," | ",AH529," | ",AI529," | ",AJ529," | ",AK529," | ",AL529," | ",AM529," | ",AN529)</f>
        <v xml:space="preserve">90MB1BJ0-C1BAY0 | 59MB1BJB-MB0A02S |  |  |  |  |  | </v>
      </c>
      <c r="AP529" s="6">
        <f>IF(TRIM(H529)="",100,J529)</f>
        <v>100</v>
      </c>
      <c r="AQ529" s="4"/>
      <c r="AR529" s="6" t="b">
        <f>NOT(TRIM(W529)&lt;&gt;"F")</f>
        <v>1</v>
      </c>
      <c r="AS529" s="6" t="str">
        <f>$B529&amp;" | "&amp;$AO529&amp;" | "&amp;IF(TRIM(H529)="","uniq"&amp;ROW(),TRIM(H529))</f>
        <v>461E | 90MB1BJ0-C1BAY0 | 59MB1BJB-MB0A02S |  |  |  |  |  |  | I6</v>
      </c>
      <c r="AT529" s="63">
        <f>IF(NOT(AR529),IF(TRIM($H529)="","Assembly","Phantom Alt"),VLOOKUP(F529,ZPCS04!B:G,6,0))</f>
        <v>720</v>
      </c>
      <c r="AU529" s="7"/>
      <c r="AV529" s="38">
        <f ca="1">IF(TRIM($W529)="F",OFFSET($A$5,MATCH($AS529,$AS$5:$AS529,0)-1,0),$A529)</f>
        <v>529</v>
      </c>
      <c r="AW529" s="38">
        <f ca="1">IFERROR(OFFSET(ZPCS04!$A$1,MATCH(F529,ZPCS04!B:B,0)-1,0),100)</f>
        <v>1.9999999499999999</v>
      </c>
      <c r="AX529" s="7"/>
      <c r="AY529" s="6" t="b">
        <f>SUMIF(AS:AS,AS529,AP:AP)=100</f>
        <v>1</v>
      </c>
      <c r="AZ529" s="6" t="b">
        <f>SUMIF(AS:AS,AS529,AE:AE)/COUNTIF(AS:AS,AS529)=AE529</f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>C529&amp;" | "&amp;F529</f>
        <v>90MB1BJ0-C1BAY0 | 10G213470113010</v>
      </c>
      <c r="BE529" s="55" t="str">
        <f ca="1">C529&amp;" | "&amp;OFFSET($AF529,0,8-COUNTBLANK($AG529:$AN529))</f>
        <v>90MB1BJ0-C1BAY0 | 59MB1BJB-MB0A02S</v>
      </c>
      <c r="BF529" s="57">
        <f ca="1">IFERROR(VLOOKUP($BE529,$BD$5:$BF528,3,0)*$AE529,VLOOKUP($C529,Demanda!$A:$B,2,0)*$AE529)*IF(AT529="Phantom Alt",$BC529,TRUE)</f>
        <v>1000</v>
      </c>
      <c r="BG529" s="57">
        <f ca="1">BF529*(AP529/100)</f>
        <v>1000</v>
      </c>
      <c r="BH529" s="57">
        <f>SUMIF(Invoice!A:A,F529,Invoice!B:B)</f>
        <v>5000</v>
      </c>
      <c r="BI529" s="57">
        <f ca="1">SUMIF(AS:AS,AS529,BG:BG)</f>
        <v>1000</v>
      </c>
      <c r="BJ529" s="57">
        <f ca="1">MIN((BI529-SUMIF($AS$5:AS528,AS529,$BJ$5:BJ528)),MAX(0,BH529-SUMIF($F$5:F528,F529,$BJ$5:BJ528)))</f>
        <v>1000</v>
      </c>
      <c r="BK529" s="57">
        <f ca="1">(-SUMIF(AS:AS,AS529,BG:BG)+SUMIF(AS:AS,AS529,BJ:BJ))*(AP529=100)*AR529</f>
        <v>0</v>
      </c>
      <c r="BL529" s="57">
        <f ca="1">MAX(0,SUMIF(Invoice!A:A,F529,Invoice!B:B)-SUMIF(F:F,F529,BJ:BJ))*(COUNTIF(F:F,F529)=COUNTIF($F$5:F529,F529))</f>
        <v>4000</v>
      </c>
    </row>
    <row r="530" spans="1:64" hidden="1">
      <c r="A530" s="43">
        <v>530</v>
      </c>
      <c r="B530" s="13" t="s">
        <v>147</v>
      </c>
      <c r="C530" s="13" t="s">
        <v>146</v>
      </c>
      <c r="D530" s="13">
        <v>2</v>
      </c>
      <c r="E530" s="13">
        <v>1860</v>
      </c>
      <c r="F530" s="71" t="s">
        <v>1289</v>
      </c>
      <c r="G530" s="71" t="s">
        <v>1290</v>
      </c>
      <c r="H530" s="13" t="s">
        <v>1288</v>
      </c>
      <c r="I530" s="13" t="s">
        <v>55</v>
      </c>
      <c r="J530" s="28">
        <v>0</v>
      </c>
      <c r="K530" s="13" t="s">
        <v>150</v>
      </c>
      <c r="L530" s="13" t="s">
        <v>53</v>
      </c>
      <c r="M530" s="13">
        <v>1</v>
      </c>
      <c r="O530" s="13">
        <v>1</v>
      </c>
      <c r="P530" s="13">
        <v>2</v>
      </c>
      <c r="Q530" s="13">
        <v>2</v>
      </c>
      <c r="R530" s="13" t="s">
        <v>73</v>
      </c>
      <c r="S530" s="13" t="s">
        <v>73</v>
      </c>
      <c r="T530" s="13">
        <v>44901</v>
      </c>
      <c r="U530" s="13">
        <v>2958465</v>
      </c>
      <c r="V530" s="13" t="s">
        <v>282</v>
      </c>
      <c r="W530" s="13" t="s">
        <v>145</v>
      </c>
      <c r="Y530" s="13" t="s">
        <v>143</v>
      </c>
      <c r="Z530" s="13">
        <v>7589154</v>
      </c>
      <c r="AA530" s="13">
        <v>948</v>
      </c>
      <c r="AB530" s="13">
        <v>474</v>
      </c>
      <c r="AE530" s="51">
        <f>M530/O530</f>
        <v>1</v>
      </c>
      <c r="AG530" s="6" t="str">
        <f>C530</f>
        <v>90MB1BJ0-C1BAY0</v>
      </c>
      <c r="AH530" s="6" t="str">
        <f>IF($D530&lt;=AH$4,"",IF(AND($D529=AH$4,$D530&gt;AH$4),$F529,AH529))</f>
        <v>59MB1BJB-MB0A02S</v>
      </c>
      <c r="AI530" s="6" t="str">
        <f>IF($D530&lt;=AI$4,"",IF(AND($D529=AI$4,$D530&gt;AI$4),$F529,AI529))</f>
        <v/>
      </c>
      <c r="AJ530" s="6" t="str">
        <f>IF($D530&lt;=AJ$4,"",IF(AND($D529=AJ$4,$D530&gt;AJ$4),$F529,AJ529))</f>
        <v/>
      </c>
      <c r="AK530" s="6" t="str">
        <f>IF($D530&lt;=AK$4,"",IF(AND($D529=AK$4,$D530&gt;AK$4),$F529,AK529))</f>
        <v/>
      </c>
      <c r="AL530" s="6" t="str">
        <f>IF($D530&lt;=AL$4,"",IF(AND($D529=AL$4,$D530&gt;AL$4),$F529,AL529))</f>
        <v/>
      </c>
      <c r="AM530" s="6" t="str">
        <f>IF($D530&lt;=AM$4,"",IF(AND($D529=AM$4,$D530&gt;AM$4),$F529,AM529))</f>
        <v/>
      </c>
      <c r="AN530" s="6" t="str">
        <f>IF($D530&lt;=AN$4,"",IF(AND($D529=AN$4,$D530&gt;AN$4),$F529,AN529))</f>
        <v/>
      </c>
      <c r="AO530" s="6" t="str">
        <f>CONCATENATE(AG530," | ",AH530," | ",AI530," | ",AJ530," | ",AK530," | ",AL530," | ",AM530," | ",AN530)</f>
        <v xml:space="preserve">90MB1BJ0-C1BAY0 | 59MB1BJB-MB0A02S |  |  |  |  |  | </v>
      </c>
      <c r="AP530" s="6">
        <f>IF(TRIM(H530)="",100,J530)</f>
        <v>0</v>
      </c>
      <c r="AQ530" s="4"/>
      <c r="AR530" s="6" t="b">
        <f>NOT(TRIM(W530)&lt;&gt;"F")</f>
        <v>1</v>
      </c>
      <c r="AS530" s="6" t="str">
        <f>$B530&amp;" | "&amp;$AO530&amp;" | "&amp;IF(TRIM(H530)="","uniq"&amp;ROW(),TRIM(H530))</f>
        <v>461E | 90MB1BJ0-C1BAY0 | 59MB1BJB-MB0A02S |  |  |  |  |  |  | I6</v>
      </c>
      <c r="AT530" s="63">
        <f>IF(NOT(AR530),IF(TRIM($H530)="","Assembly","Phantom Alt"),VLOOKUP(F530,ZPCS04!B:G,6,0))</f>
        <v>720</v>
      </c>
      <c r="AU530" s="7"/>
      <c r="AV530" s="38">
        <f ca="1">IF(TRIM($W530)="F",OFFSET($A$5,MATCH($AS530,$AS$5:$AS530,0)-1,0),$A530)</f>
        <v>529</v>
      </c>
      <c r="AW530" s="38">
        <f ca="1">IFERROR(OFFSET(ZPCS04!$A$1,MATCH(F530,ZPCS04!B:B,0)-1,0),100)</f>
        <v>2</v>
      </c>
      <c r="AX530" s="7"/>
      <c r="AY530" s="6" t="b">
        <f>SUMIF(AS:AS,AS530,AP:AP)=100</f>
        <v>1</v>
      </c>
      <c r="AZ530" s="6" t="b">
        <f>SUMIF(AS:AS,AS530,AE:AE)/COUNTIF(AS:AS,AS530)=AE530</f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>C530&amp;" | "&amp;F530</f>
        <v>90MB1BJ0-C1BAY0 | 10G213470113020</v>
      </c>
      <c r="BE530" s="55" t="str">
        <f ca="1">C530&amp;" | "&amp;OFFSET($AF530,0,8-COUNTBLANK($AG530:$AN530))</f>
        <v>90MB1BJ0-C1BAY0 | 59MB1BJB-MB0A02S</v>
      </c>
      <c r="BF530" s="57">
        <f ca="1">IFERROR(VLOOKUP($BE530,$BD$5:$BF529,3,0)*$AE530,VLOOKUP($C530,Demanda!$A:$B,2,0)*$AE530)*IF(AT530="Phantom Alt",$BC530,TRUE)</f>
        <v>1000</v>
      </c>
      <c r="BG530" s="57">
        <f ca="1">BF530*(AP530/100)</f>
        <v>0</v>
      </c>
      <c r="BH530" s="57">
        <f>SUMIF(Invoice!A:A,F530,Invoice!B:B)</f>
        <v>0</v>
      </c>
      <c r="BI530" s="57">
        <f ca="1">SUMIF(AS:AS,AS530,BG:BG)</f>
        <v>1000</v>
      </c>
      <c r="BJ530" s="57">
        <f ca="1">MIN((BI530-SUMIF($AS$5:AS529,AS530,$BJ$5:BJ529)),MAX(0,BH530-SUMIF($F$5:F529,F530,$BJ$5:BJ529)))</f>
        <v>0</v>
      </c>
      <c r="BK530" s="57">
        <f ca="1">(-SUMIF(AS:AS,AS530,BG:BG)+SUMIF(AS:AS,AS530,BJ:BJ))*(AP530=100)*AR530</f>
        <v>0</v>
      </c>
      <c r="BL530" s="57">
        <f ca="1">MAX(0,SUMIF(Invoice!A:A,F530,Invoice!B:B)-SUMIF(F:F,F530,BJ:BJ))*(COUNTIF(F:F,F530)=COUNTIF($F$5:F530,F530))</f>
        <v>0</v>
      </c>
    </row>
    <row r="531" spans="1:64" hidden="1">
      <c r="A531" s="43">
        <v>531</v>
      </c>
      <c r="B531" s="13" t="s">
        <v>147</v>
      </c>
      <c r="C531" s="13" t="s">
        <v>146</v>
      </c>
      <c r="D531" s="13">
        <v>2</v>
      </c>
      <c r="E531" s="13">
        <v>1860</v>
      </c>
      <c r="F531" s="71" t="s">
        <v>1291</v>
      </c>
      <c r="G531" s="71" t="s">
        <v>1292</v>
      </c>
      <c r="H531" s="13" t="s">
        <v>1288</v>
      </c>
      <c r="I531" s="13" t="s">
        <v>55</v>
      </c>
      <c r="J531" s="28">
        <v>0</v>
      </c>
      <c r="K531" s="13" t="s">
        <v>150</v>
      </c>
      <c r="L531" s="13" t="s">
        <v>53</v>
      </c>
      <c r="M531" s="13">
        <v>1</v>
      </c>
      <c r="O531" s="13">
        <v>1</v>
      </c>
      <c r="P531" s="13">
        <v>2</v>
      </c>
      <c r="Q531" s="13">
        <v>3</v>
      </c>
      <c r="R531" s="13" t="s">
        <v>73</v>
      </c>
      <c r="S531" s="13" t="s">
        <v>73</v>
      </c>
      <c r="T531" s="13">
        <v>44901</v>
      </c>
      <c r="U531" s="13">
        <v>2958465</v>
      </c>
      <c r="V531" s="13" t="s">
        <v>282</v>
      </c>
      <c r="W531" s="13" t="s">
        <v>145</v>
      </c>
      <c r="Y531" s="13" t="s">
        <v>143</v>
      </c>
      <c r="Z531" s="13">
        <v>7589154</v>
      </c>
      <c r="AA531" s="13">
        <v>950</v>
      </c>
      <c r="AB531" s="13">
        <v>475</v>
      </c>
      <c r="AE531" s="51">
        <f>M531/O531</f>
        <v>1</v>
      </c>
      <c r="AG531" s="6" t="str">
        <f>C531</f>
        <v>90MB1BJ0-C1BAY0</v>
      </c>
      <c r="AH531" s="6" t="str">
        <f>IF($D531&lt;=AH$4,"",IF(AND($D530=AH$4,$D531&gt;AH$4),$F530,AH530))</f>
        <v>59MB1BJB-MB0A02S</v>
      </c>
      <c r="AI531" s="6" t="str">
        <f>IF($D531&lt;=AI$4,"",IF(AND($D530=AI$4,$D531&gt;AI$4),$F530,AI530))</f>
        <v/>
      </c>
      <c r="AJ531" s="6" t="str">
        <f>IF($D531&lt;=AJ$4,"",IF(AND($D530=AJ$4,$D531&gt;AJ$4),$F530,AJ530))</f>
        <v/>
      </c>
      <c r="AK531" s="6" t="str">
        <f>IF($D531&lt;=AK$4,"",IF(AND($D530=AK$4,$D531&gt;AK$4),$F530,AK530))</f>
        <v/>
      </c>
      <c r="AL531" s="6" t="str">
        <f>IF($D531&lt;=AL$4,"",IF(AND($D530=AL$4,$D531&gt;AL$4),$F530,AL530))</f>
        <v/>
      </c>
      <c r="AM531" s="6" t="str">
        <f>IF($D531&lt;=AM$4,"",IF(AND($D530=AM$4,$D531&gt;AM$4),$F530,AM530))</f>
        <v/>
      </c>
      <c r="AN531" s="6" t="str">
        <f>IF($D531&lt;=AN$4,"",IF(AND($D530=AN$4,$D531&gt;AN$4),$F530,AN530))</f>
        <v/>
      </c>
      <c r="AO531" s="6" t="str">
        <f>CONCATENATE(AG531," | ",AH531," | ",AI531," | ",AJ531," | ",AK531," | ",AL531," | ",AM531," | ",AN531)</f>
        <v xml:space="preserve">90MB1BJ0-C1BAY0 | 59MB1BJB-MB0A02S |  |  |  |  |  | </v>
      </c>
      <c r="AP531" s="6">
        <f>IF(TRIM(H531)="",100,J531)</f>
        <v>0</v>
      </c>
      <c r="AQ531" s="4"/>
      <c r="AR531" s="6" t="b">
        <f>NOT(TRIM(W531)&lt;&gt;"F")</f>
        <v>1</v>
      </c>
      <c r="AS531" s="6" t="str">
        <f>$B531&amp;" | "&amp;$AO531&amp;" | "&amp;IF(TRIM(H531)="","uniq"&amp;ROW(),TRIM(H531))</f>
        <v>461E | 90MB1BJ0-C1BAY0 | 59MB1BJB-MB0A02S |  |  |  |  |  |  | I6</v>
      </c>
      <c r="AT531" s="63">
        <f>IF(NOT(AR531),IF(TRIM($H531)="","Assembly","Phantom Alt"),VLOOKUP(F531,ZPCS04!B:G,6,0))</f>
        <v>720</v>
      </c>
      <c r="AU531" s="7"/>
      <c r="AV531" s="38">
        <f ca="1">IF(TRIM($W531)="F",OFFSET($A$5,MATCH($AS531,$AS$5:$AS531,0)-1,0),$A531)</f>
        <v>529</v>
      </c>
      <c r="AW531" s="38">
        <f ca="1">IFERROR(OFFSET(ZPCS04!$A$1,MATCH(F531,ZPCS04!B:B,0)-1,0),100)</f>
        <v>2</v>
      </c>
      <c r="AX531" s="7"/>
      <c r="AY531" s="6" t="b">
        <f>SUMIF(AS:AS,AS531,AP:AP)=100</f>
        <v>1</v>
      </c>
      <c r="AZ531" s="6" t="b">
        <f>SUMIF(AS:AS,AS531,AE:AE)/COUNTIF(AS:AS,AS531)=AE531</f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>C531&amp;" | "&amp;F531</f>
        <v>90MB1BJ0-C1BAY0 | 10G213470113050</v>
      </c>
      <c r="BE531" s="55" t="str">
        <f ca="1">C531&amp;" | "&amp;OFFSET($AF531,0,8-COUNTBLANK($AG531:$AN531))</f>
        <v>90MB1BJ0-C1BAY0 | 59MB1BJB-MB0A02S</v>
      </c>
      <c r="BF531" s="57">
        <f ca="1">IFERROR(VLOOKUP($BE531,$BD$5:$BF530,3,0)*$AE531,VLOOKUP($C531,Demanda!$A:$B,2,0)*$AE531)*IF(AT531="Phantom Alt",$BC531,TRUE)</f>
        <v>1000</v>
      </c>
      <c r="BG531" s="57">
        <f ca="1">BF531*(AP531/100)</f>
        <v>0</v>
      </c>
      <c r="BH531" s="57">
        <f>SUMIF(Invoice!A:A,F531,Invoice!B:B)</f>
        <v>0</v>
      </c>
      <c r="BI531" s="57">
        <f ca="1">SUMIF(AS:AS,AS531,BG:BG)</f>
        <v>1000</v>
      </c>
      <c r="BJ531" s="57">
        <f ca="1">MIN((BI531-SUMIF($AS$5:AS530,AS531,$BJ$5:BJ530)),MAX(0,BH531-SUMIF($F$5:F530,F531,$BJ$5:BJ530)))</f>
        <v>0</v>
      </c>
      <c r="BK531" s="57">
        <f ca="1">(-SUMIF(AS:AS,AS531,BG:BG)+SUMIF(AS:AS,AS531,BJ:BJ))*(AP531=100)*AR531</f>
        <v>0</v>
      </c>
      <c r="BL531" s="57">
        <f ca="1">MAX(0,SUMIF(Invoice!A:A,F531,Invoice!B:B)-SUMIF(F:F,F531,BJ:BJ))*(COUNTIF(F:F,F531)=COUNTIF($F$5:F531,F531))</f>
        <v>0</v>
      </c>
    </row>
    <row r="532" spans="1:64" hidden="1">
      <c r="A532" s="43">
        <v>533</v>
      </c>
      <c r="B532" s="13" t="s">
        <v>147</v>
      </c>
      <c r="C532" s="13" t="s">
        <v>146</v>
      </c>
      <c r="D532" s="13">
        <v>2</v>
      </c>
      <c r="E532" s="13">
        <v>1870</v>
      </c>
      <c r="F532" s="71" t="s">
        <v>1296</v>
      </c>
      <c r="G532" s="71" t="s">
        <v>1297</v>
      </c>
      <c r="H532" s="13" t="s">
        <v>1295</v>
      </c>
      <c r="I532" s="13" t="s">
        <v>55</v>
      </c>
      <c r="J532" s="28">
        <v>0</v>
      </c>
      <c r="K532" s="13" t="s">
        <v>150</v>
      </c>
      <c r="L532" s="13" t="s">
        <v>53</v>
      </c>
      <c r="M532" s="13">
        <v>4</v>
      </c>
      <c r="O532" s="13">
        <v>1</v>
      </c>
      <c r="P532" s="13">
        <v>2</v>
      </c>
      <c r="Q532" s="13">
        <v>3</v>
      </c>
      <c r="R532" s="13" t="s">
        <v>73</v>
      </c>
      <c r="S532" s="13" t="s">
        <v>73</v>
      </c>
      <c r="T532" s="13">
        <v>44901</v>
      </c>
      <c r="U532" s="13">
        <v>2958465</v>
      </c>
      <c r="V532" s="13" t="s">
        <v>282</v>
      </c>
      <c r="W532" s="13" t="s">
        <v>145</v>
      </c>
      <c r="Y532" s="13" t="s">
        <v>143</v>
      </c>
      <c r="Z532" s="13">
        <v>7589154</v>
      </c>
      <c r="AA532" s="13">
        <v>956</v>
      </c>
      <c r="AB532" s="13">
        <v>478</v>
      </c>
      <c r="AE532" s="51">
        <f>M532/O532</f>
        <v>4</v>
      </c>
      <c r="AG532" s="6" t="str">
        <f>C532</f>
        <v>90MB1BJ0-C1BAY0</v>
      </c>
      <c r="AH532" s="6" t="str">
        <f>IF($D532&lt;=AH$4,"",IF(AND($D531=AH$4,$D532&gt;AH$4),$F531,AH531))</f>
        <v>59MB1BJB-MB0A02S</v>
      </c>
      <c r="AI532" s="6" t="str">
        <f>IF($D532&lt;=AI$4,"",IF(AND($D531=AI$4,$D532&gt;AI$4),$F531,AI531))</f>
        <v/>
      </c>
      <c r="AJ532" s="6" t="str">
        <f>IF($D532&lt;=AJ$4,"",IF(AND($D531=AJ$4,$D532&gt;AJ$4),$F531,AJ531))</f>
        <v/>
      </c>
      <c r="AK532" s="6" t="str">
        <f>IF($D532&lt;=AK$4,"",IF(AND($D531=AK$4,$D532&gt;AK$4),$F531,AK531))</f>
        <v/>
      </c>
      <c r="AL532" s="6" t="str">
        <f>IF($D532&lt;=AL$4,"",IF(AND($D531=AL$4,$D532&gt;AL$4),$F531,AL531))</f>
        <v/>
      </c>
      <c r="AM532" s="6" t="str">
        <f>IF($D532&lt;=AM$4,"",IF(AND($D531=AM$4,$D532&gt;AM$4),$F531,AM531))</f>
        <v/>
      </c>
      <c r="AN532" s="6" t="str">
        <f>IF($D532&lt;=AN$4,"",IF(AND($D531=AN$4,$D532&gt;AN$4),$F531,AN531))</f>
        <v/>
      </c>
      <c r="AO532" s="6" t="str">
        <f>CONCATENATE(AG532," | ",AH532," | ",AI532," | ",AJ532," | ",AK532," | ",AL532," | ",AM532," | ",AN532)</f>
        <v xml:space="preserve">90MB1BJ0-C1BAY0 | 59MB1BJB-MB0A02S |  |  |  |  |  | </v>
      </c>
      <c r="AP532" s="6">
        <f>IF(TRIM(H532)="",100,J532)</f>
        <v>0</v>
      </c>
      <c r="AQ532" s="4"/>
      <c r="AR532" s="6" t="b">
        <f>NOT(TRIM(W532)&lt;&gt;"F")</f>
        <v>1</v>
      </c>
      <c r="AS532" s="6" t="str">
        <f>$B532&amp;" | "&amp;$AO532&amp;" | "&amp;IF(TRIM(H532)="","uniq"&amp;ROW(),TRIM(H532))</f>
        <v>461E | 90MB1BJ0-C1BAY0 | 59MB1BJB-MB0A02S |  |  |  |  |  |  | I7</v>
      </c>
      <c r="AT532" s="63">
        <f>IF(NOT(AR532),IF(TRIM($H532)="","Assembly","Phantom Alt"),VLOOKUP(F532,ZPCS04!B:G,6,0))</f>
        <v>874</v>
      </c>
      <c r="AU532" s="7"/>
      <c r="AV532" s="38">
        <f ca="1">IF(TRIM($W532)="F",OFFSET($A$5,MATCH($AS532,$AS$5:$AS532,0)-1,0),$A532)</f>
        <v>533</v>
      </c>
      <c r="AW532" s="38">
        <f ca="1">IFERROR(OFFSET(ZPCS04!$A$1,MATCH(F532,ZPCS04!B:B,0)-1,0),100)</f>
        <v>1.9999999499999999</v>
      </c>
      <c r="AX532" s="7"/>
      <c r="AY532" s="6" t="b">
        <f>SUMIF(AS:AS,AS532,AP:AP)=100</f>
        <v>1</v>
      </c>
      <c r="AZ532" s="6" t="b">
        <f>SUMIF(AS:AS,AS532,AE:AE)/COUNTIF(AS:AS,AS532)=AE532</f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>C532&amp;" | "&amp;F532</f>
        <v>90MB1BJ0-C1BAY0 | 10G213499013020</v>
      </c>
      <c r="BE532" s="55" t="str">
        <f ca="1">C532&amp;" | "&amp;OFFSET($AF532,0,8-COUNTBLANK($AG532:$AN532))</f>
        <v>90MB1BJ0-C1BAY0 | 59MB1BJB-MB0A02S</v>
      </c>
      <c r="BF532" s="57">
        <f ca="1">IFERROR(VLOOKUP($BE532,$BD$5:$BF531,3,0)*$AE532,VLOOKUP($C532,Demanda!$A:$B,2,0)*$AE532)*IF(AT532="Phantom Alt",$BC532,TRUE)</f>
        <v>4000</v>
      </c>
      <c r="BG532" s="57">
        <f ca="1">BF532*(AP532/100)</f>
        <v>0</v>
      </c>
      <c r="BH532" s="57">
        <f>SUMIF(Invoice!A:A,F532,Invoice!B:B)</f>
        <v>5000</v>
      </c>
      <c r="BI532" s="57">
        <f ca="1">SUMIF(AS:AS,AS532,BG:BG)</f>
        <v>4000</v>
      </c>
      <c r="BJ532" s="57">
        <f ca="1">MIN((BI532-SUMIF($AS$5:AS531,AS532,$BJ$5:BJ531)),MAX(0,BH532-SUMIF($F$5:F531,F532,$BJ$5:BJ531)))</f>
        <v>4000</v>
      </c>
      <c r="BK532" s="57">
        <f ca="1">(-SUMIF(AS:AS,AS532,BG:BG)+SUMIF(AS:AS,AS532,BJ:BJ))*(AP532=100)*AR532</f>
        <v>0</v>
      </c>
      <c r="BL532" s="57">
        <f ca="1">MAX(0,SUMIF(Invoice!A:A,F532,Invoice!B:B)-SUMIF(F:F,F532,BJ:BJ))*(COUNTIF(F:F,F532)=COUNTIF($F$5:F532,F532))</f>
        <v>1000</v>
      </c>
    </row>
    <row r="533" spans="1:64" hidden="1">
      <c r="A533" s="43">
        <v>532</v>
      </c>
      <c r="B533" s="13" t="s">
        <v>147</v>
      </c>
      <c r="C533" s="13" t="s">
        <v>146</v>
      </c>
      <c r="D533" s="13">
        <v>2</v>
      </c>
      <c r="E533" s="13">
        <v>1870</v>
      </c>
      <c r="F533" s="71" t="s">
        <v>1293</v>
      </c>
      <c r="G533" s="71" t="s">
        <v>1294</v>
      </c>
      <c r="H533" s="13" t="s">
        <v>1295</v>
      </c>
      <c r="I533" s="13" t="s">
        <v>54</v>
      </c>
      <c r="J533" s="28">
        <v>100</v>
      </c>
      <c r="K533" s="13" t="s">
        <v>150</v>
      </c>
      <c r="L533" s="13" t="s">
        <v>53</v>
      </c>
      <c r="M533" s="13">
        <v>4</v>
      </c>
      <c r="N533" s="13">
        <v>4</v>
      </c>
      <c r="O533" s="13">
        <v>1</v>
      </c>
      <c r="P533" s="13">
        <v>2</v>
      </c>
      <c r="Q533" s="13">
        <v>1</v>
      </c>
      <c r="R533" s="13" t="s">
        <v>73</v>
      </c>
      <c r="S533" s="13" t="s">
        <v>73</v>
      </c>
      <c r="T533" s="13">
        <v>44901</v>
      </c>
      <c r="U533" s="13">
        <v>2958465</v>
      </c>
      <c r="V533" s="13" t="s">
        <v>282</v>
      </c>
      <c r="W533" s="13" t="s">
        <v>145</v>
      </c>
      <c r="Y533" s="13" t="s">
        <v>143</v>
      </c>
      <c r="Z533" s="13">
        <v>7589154</v>
      </c>
      <c r="AA533" s="13">
        <v>952</v>
      </c>
      <c r="AB533" s="13">
        <v>476</v>
      </c>
      <c r="AE533" s="51">
        <f>M533/O533</f>
        <v>4</v>
      </c>
      <c r="AG533" s="6" t="str">
        <f>C533</f>
        <v>90MB1BJ0-C1BAY0</v>
      </c>
      <c r="AH533" s="6" t="str">
        <f>IF($D533&lt;=AH$4,"",IF(AND($D532=AH$4,$D533&gt;AH$4),$F532,AH532))</f>
        <v>59MB1BJB-MB0A02S</v>
      </c>
      <c r="AI533" s="6" t="str">
        <f>IF($D533&lt;=AI$4,"",IF(AND($D532=AI$4,$D533&gt;AI$4),$F532,AI532))</f>
        <v/>
      </c>
      <c r="AJ533" s="6" t="str">
        <f>IF($D533&lt;=AJ$4,"",IF(AND($D532=AJ$4,$D533&gt;AJ$4),$F532,AJ532))</f>
        <v/>
      </c>
      <c r="AK533" s="6" t="str">
        <f>IF($D533&lt;=AK$4,"",IF(AND($D532=AK$4,$D533&gt;AK$4),$F532,AK532))</f>
        <v/>
      </c>
      <c r="AL533" s="6" t="str">
        <f>IF($D533&lt;=AL$4,"",IF(AND($D532=AL$4,$D533&gt;AL$4),$F532,AL532))</f>
        <v/>
      </c>
      <c r="AM533" s="6" t="str">
        <f>IF($D533&lt;=AM$4,"",IF(AND($D532=AM$4,$D533&gt;AM$4),$F532,AM532))</f>
        <v/>
      </c>
      <c r="AN533" s="6" t="str">
        <f>IF($D533&lt;=AN$4,"",IF(AND($D532=AN$4,$D533&gt;AN$4),$F532,AN532))</f>
        <v/>
      </c>
      <c r="AO533" s="6" t="str">
        <f>CONCATENATE(AG533," | ",AH533," | ",AI533," | ",AJ533," | ",AK533," | ",AL533," | ",AM533," | ",AN533)</f>
        <v xml:space="preserve">90MB1BJ0-C1BAY0 | 59MB1BJB-MB0A02S |  |  |  |  |  | </v>
      </c>
      <c r="AP533" s="6">
        <f>IF(TRIM(H533)="",100,J533)</f>
        <v>100</v>
      </c>
      <c r="AQ533" s="4"/>
      <c r="AR533" s="6" t="b">
        <f>NOT(TRIM(W533)&lt;&gt;"F")</f>
        <v>1</v>
      </c>
      <c r="AS533" s="6" t="str">
        <f>$B533&amp;" | "&amp;$AO533&amp;" | "&amp;IF(TRIM(H533)="","uniq"&amp;ROW(),TRIM(H533))</f>
        <v>461E | 90MB1BJ0-C1BAY0 | 59MB1BJB-MB0A02S |  |  |  |  |  |  | I7</v>
      </c>
      <c r="AT533" s="63">
        <f>IF(NOT(AR533),IF(TRIM($H533)="","Assembly","Phantom Alt"),VLOOKUP(F533,ZPCS04!B:G,6,0))</f>
        <v>874</v>
      </c>
      <c r="AU533" s="7"/>
      <c r="AV533" s="38">
        <f ca="1">IF(TRIM($W533)="F",OFFSET($A$5,MATCH($AS533,$AS$5:$AS533,0)-1,0),$A533)</f>
        <v>533</v>
      </c>
      <c r="AW533" s="38">
        <f ca="1">IFERROR(OFFSET(ZPCS04!$A$1,MATCH(F533,ZPCS04!B:B,0)-1,0),100)</f>
        <v>2</v>
      </c>
      <c r="AX533" s="7"/>
      <c r="AY533" s="6" t="b">
        <f>SUMIF(AS:AS,AS533,AP:AP)=100</f>
        <v>1</v>
      </c>
      <c r="AZ533" s="6" t="b">
        <f>SUMIF(AS:AS,AS533,AE:AE)/COUNTIF(AS:AS,AS533)=AE533</f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>C533&amp;" | "&amp;F533</f>
        <v>90MB1BJ0-C1BAY0 | 10G213499013010</v>
      </c>
      <c r="BE533" s="55" t="str">
        <f ca="1">C533&amp;" | "&amp;OFFSET($AF533,0,8-COUNTBLANK($AG533:$AN533))</f>
        <v>90MB1BJ0-C1BAY0 | 59MB1BJB-MB0A02S</v>
      </c>
      <c r="BF533" s="57">
        <f ca="1">IFERROR(VLOOKUP($BE533,$BD$5:$BF532,3,0)*$AE533,VLOOKUP($C533,Demanda!$A:$B,2,0)*$AE533)*IF(AT533="Phantom Alt",$BC533,TRUE)</f>
        <v>4000</v>
      </c>
      <c r="BG533" s="57">
        <f ca="1">BF533*(AP533/100)</f>
        <v>4000</v>
      </c>
      <c r="BH533" s="57">
        <f>SUMIF(Invoice!A:A,F533,Invoice!B:B)</f>
        <v>0</v>
      </c>
      <c r="BI533" s="57">
        <f ca="1">SUMIF(AS:AS,AS533,BG:BG)</f>
        <v>4000</v>
      </c>
      <c r="BJ533" s="57">
        <f ca="1">MIN((BI533-SUMIF($AS$5:AS532,AS533,$BJ$5:BJ532)),MAX(0,BH533-SUMIF($F$5:F532,F533,$BJ$5:BJ532)))</f>
        <v>0</v>
      </c>
      <c r="BK533" s="57">
        <f ca="1">(-SUMIF(AS:AS,AS533,BG:BG)+SUMIF(AS:AS,AS533,BJ:BJ))*(AP533=100)*AR533</f>
        <v>0</v>
      </c>
      <c r="BL533" s="57">
        <f ca="1">MAX(0,SUMIF(Invoice!A:A,F533,Invoice!B:B)-SUMIF(F:F,F533,BJ:BJ))*(COUNTIF(F:F,F533)=COUNTIF($F$5:F533,F533))</f>
        <v>0</v>
      </c>
    </row>
    <row r="534" spans="1:64" hidden="1">
      <c r="A534" s="43">
        <v>534</v>
      </c>
      <c r="B534" s="13" t="s">
        <v>147</v>
      </c>
      <c r="C534" s="13" t="s">
        <v>146</v>
      </c>
      <c r="D534" s="13">
        <v>2</v>
      </c>
      <c r="E534" s="13">
        <v>1870</v>
      </c>
      <c r="F534" s="71" t="s">
        <v>1298</v>
      </c>
      <c r="G534" s="71" t="s">
        <v>1299</v>
      </c>
      <c r="H534" s="13" t="s">
        <v>1295</v>
      </c>
      <c r="I534" s="13" t="s">
        <v>55</v>
      </c>
      <c r="J534" s="28">
        <v>0</v>
      </c>
      <c r="K534" s="13" t="s">
        <v>150</v>
      </c>
      <c r="L534" s="13" t="s">
        <v>53</v>
      </c>
      <c r="M534" s="13">
        <v>4</v>
      </c>
      <c r="O534" s="13">
        <v>1</v>
      </c>
      <c r="P534" s="13">
        <v>2</v>
      </c>
      <c r="Q534" s="13">
        <v>2</v>
      </c>
      <c r="R534" s="13" t="s">
        <v>73</v>
      </c>
      <c r="S534" s="13" t="s">
        <v>73</v>
      </c>
      <c r="T534" s="13">
        <v>44901</v>
      </c>
      <c r="U534" s="13">
        <v>2958465</v>
      </c>
      <c r="V534" s="13" t="s">
        <v>282</v>
      </c>
      <c r="W534" s="13" t="s">
        <v>145</v>
      </c>
      <c r="Y534" s="13" t="s">
        <v>143</v>
      </c>
      <c r="Z534" s="13">
        <v>7589154</v>
      </c>
      <c r="AA534" s="13">
        <v>954</v>
      </c>
      <c r="AB534" s="13">
        <v>477</v>
      </c>
      <c r="AE534" s="51">
        <f>M534/O534</f>
        <v>4</v>
      </c>
      <c r="AG534" s="6" t="str">
        <f>C534</f>
        <v>90MB1BJ0-C1BAY0</v>
      </c>
      <c r="AH534" s="6" t="str">
        <f>IF($D534&lt;=AH$4,"",IF(AND($D533=AH$4,$D534&gt;AH$4),$F533,AH533))</f>
        <v>59MB1BJB-MB0A02S</v>
      </c>
      <c r="AI534" s="6" t="str">
        <f>IF($D534&lt;=AI$4,"",IF(AND($D533=AI$4,$D534&gt;AI$4),$F533,AI533))</f>
        <v/>
      </c>
      <c r="AJ534" s="6" t="str">
        <f>IF($D534&lt;=AJ$4,"",IF(AND($D533=AJ$4,$D534&gt;AJ$4),$F533,AJ533))</f>
        <v/>
      </c>
      <c r="AK534" s="6" t="str">
        <f>IF($D534&lt;=AK$4,"",IF(AND($D533=AK$4,$D534&gt;AK$4),$F533,AK533))</f>
        <v/>
      </c>
      <c r="AL534" s="6" t="str">
        <f>IF($D534&lt;=AL$4,"",IF(AND($D533=AL$4,$D534&gt;AL$4),$F533,AL533))</f>
        <v/>
      </c>
      <c r="AM534" s="6" t="str">
        <f>IF($D534&lt;=AM$4,"",IF(AND($D533=AM$4,$D534&gt;AM$4),$F533,AM533))</f>
        <v/>
      </c>
      <c r="AN534" s="6" t="str">
        <f>IF($D534&lt;=AN$4,"",IF(AND($D533=AN$4,$D534&gt;AN$4),$F533,AN533))</f>
        <v/>
      </c>
      <c r="AO534" s="6" t="str">
        <f>CONCATENATE(AG534," | ",AH534," | ",AI534," | ",AJ534," | ",AK534," | ",AL534," | ",AM534," | ",AN534)</f>
        <v xml:space="preserve">90MB1BJ0-C1BAY0 | 59MB1BJB-MB0A02S |  |  |  |  |  | </v>
      </c>
      <c r="AP534" s="6">
        <f>IF(TRIM(H534)="",100,J534)</f>
        <v>0</v>
      </c>
      <c r="AQ534" s="4"/>
      <c r="AR534" s="6" t="b">
        <f>NOT(TRIM(W534)&lt;&gt;"F")</f>
        <v>1</v>
      </c>
      <c r="AS534" s="6" t="str">
        <f>$B534&amp;" | "&amp;$AO534&amp;" | "&amp;IF(TRIM(H534)="","uniq"&amp;ROW(),TRIM(H534))</f>
        <v>461E | 90MB1BJ0-C1BAY0 | 59MB1BJB-MB0A02S |  |  |  |  |  |  | I7</v>
      </c>
      <c r="AT534" s="63">
        <f>IF(NOT(AR534),IF(TRIM($H534)="","Assembly","Phantom Alt"),VLOOKUP(F534,ZPCS04!B:G,6,0))</f>
        <v>874</v>
      </c>
      <c r="AU534" s="7"/>
      <c r="AV534" s="38">
        <f ca="1">IF(TRIM($W534)="F",OFFSET($A$5,MATCH($AS534,$AS$5:$AS534,0)-1,0),$A534)</f>
        <v>533</v>
      </c>
      <c r="AW534" s="38">
        <f ca="1">IFERROR(OFFSET(ZPCS04!$A$1,MATCH(F534,ZPCS04!B:B,0)-1,0),100)</f>
        <v>2</v>
      </c>
      <c r="AX534" s="7"/>
      <c r="AY534" s="6" t="b">
        <f>SUMIF(AS:AS,AS534,AP:AP)=100</f>
        <v>1</v>
      </c>
      <c r="AZ534" s="6" t="b">
        <f>SUMIF(AS:AS,AS534,AE:AE)/COUNTIF(AS:AS,AS534)=AE534</f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>C534&amp;" | "&amp;F534</f>
        <v>90MB1BJ0-C1BAY0 | 10G213499013050</v>
      </c>
      <c r="BE534" s="55" t="str">
        <f ca="1">C534&amp;" | "&amp;OFFSET($AF534,0,8-COUNTBLANK($AG534:$AN534))</f>
        <v>90MB1BJ0-C1BAY0 | 59MB1BJB-MB0A02S</v>
      </c>
      <c r="BF534" s="57">
        <f ca="1">IFERROR(VLOOKUP($BE534,$BD$5:$BF533,3,0)*$AE534,VLOOKUP($C534,Demanda!$A:$B,2,0)*$AE534)*IF(AT534="Phantom Alt",$BC534,TRUE)</f>
        <v>4000</v>
      </c>
      <c r="BG534" s="57">
        <f ca="1">BF534*(AP534/100)</f>
        <v>0</v>
      </c>
      <c r="BH534" s="57">
        <f>SUMIF(Invoice!A:A,F534,Invoice!B:B)</f>
        <v>0</v>
      </c>
      <c r="BI534" s="57">
        <f ca="1">SUMIF(AS:AS,AS534,BG:BG)</f>
        <v>4000</v>
      </c>
      <c r="BJ534" s="57">
        <f ca="1">MIN((BI534-SUMIF($AS$5:AS533,AS534,$BJ$5:BJ533)),MAX(0,BH534-SUMIF($F$5:F533,F534,$BJ$5:BJ533)))</f>
        <v>0</v>
      </c>
      <c r="BK534" s="57">
        <f ca="1">(-SUMIF(AS:AS,AS534,BG:BG)+SUMIF(AS:AS,AS534,BJ:BJ))*(AP534=100)*AR534</f>
        <v>0</v>
      </c>
      <c r="BL534" s="57">
        <f ca="1">MAX(0,SUMIF(Invoice!A:A,F534,Invoice!B:B)-SUMIF(F:F,F534,BJ:BJ))*(COUNTIF(F:F,F534)=COUNTIF($F$5:F534,F534))</f>
        <v>0</v>
      </c>
    </row>
    <row r="535" spans="1:64" hidden="1">
      <c r="A535" s="43">
        <v>535</v>
      </c>
      <c r="B535" s="13" t="s">
        <v>147</v>
      </c>
      <c r="C535" s="13" t="s">
        <v>146</v>
      </c>
      <c r="D535" s="13">
        <v>2</v>
      </c>
      <c r="E535" s="13">
        <v>1880</v>
      </c>
      <c r="F535" s="71" t="s">
        <v>1300</v>
      </c>
      <c r="G535" s="71" t="s">
        <v>1301</v>
      </c>
      <c r="H535" s="13" t="s">
        <v>1302</v>
      </c>
      <c r="I535" s="13" t="s">
        <v>55</v>
      </c>
      <c r="J535" s="28">
        <v>0</v>
      </c>
      <c r="K535" s="13" t="s">
        <v>150</v>
      </c>
      <c r="L535" s="13" t="s">
        <v>53</v>
      </c>
      <c r="M535" s="13">
        <v>2</v>
      </c>
      <c r="O535" s="13">
        <v>1</v>
      </c>
      <c r="P535" s="13">
        <v>2</v>
      </c>
      <c r="Q535" s="13">
        <v>3</v>
      </c>
      <c r="R535" s="13" t="s">
        <v>73</v>
      </c>
      <c r="S535" s="13" t="s">
        <v>73</v>
      </c>
      <c r="T535" s="13">
        <v>44901</v>
      </c>
      <c r="U535" s="13">
        <v>2958465</v>
      </c>
      <c r="V535" s="13" t="s">
        <v>282</v>
      </c>
      <c r="W535" s="13" t="s">
        <v>145</v>
      </c>
      <c r="Y535" s="13" t="s">
        <v>143</v>
      </c>
      <c r="Z535" s="13">
        <v>7589154</v>
      </c>
      <c r="AA535" s="13">
        <v>962</v>
      </c>
      <c r="AB535" s="13">
        <v>481</v>
      </c>
      <c r="AE535" s="51">
        <f>M535/O535</f>
        <v>2</v>
      </c>
      <c r="AG535" s="6" t="str">
        <f>C535</f>
        <v>90MB1BJ0-C1BAY0</v>
      </c>
      <c r="AH535" s="6" t="str">
        <f>IF($D535&lt;=AH$4,"",IF(AND($D534=AH$4,$D535&gt;AH$4),$F534,AH534))</f>
        <v>59MB1BJB-MB0A02S</v>
      </c>
      <c r="AI535" s="6" t="str">
        <f>IF($D535&lt;=AI$4,"",IF(AND($D534=AI$4,$D535&gt;AI$4),$F534,AI534))</f>
        <v/>
      </c>
      <c r="AJ535" s="6" t="str">
        <f>IF($D535&lt;=AJ$4,"",IF(AND($D534=AJ$4,$D535&gt;AJ$4),$F534,AJ534))</f>
        <v/>
      </c>
      <c r="AK535" s="6" t="str">
        <f>IF($D535&lt;=AK$4,"",IF(AND($D534=AK$4,$D535&gt;AK$4),$F534,AK534))</f>
        <v/>
      </c>
      <c r="AL535" s="6" t="str">
        <f>IF($D535&lt;=AL$4,"",IF(AND($D534=AL$4,$D535&gt;AL$4),$F534,AL534))</f>
        <v/>
      </c>
      <c r="AM535" s="6" t="str">
        <f>IF($D535&lt;=AM$4,"",IF(AND($D534=AM$4,$D535&gt;AM$4),$F534,AM534))</f>
        <v/>
      </c>
      <c r="AN535" s="6" t="str">
        <f>IF($D535&lt;=AN$4,"",IF(AND($D534=AN$4,$D535&gt;AN$4),$F534,AN534))</f>
        <v/>
      </c>
      <c r="AO535" s="6" t="str">
        <f>CONCATENATE(AG535," | ",AH535," | ",AI535," | ",AJ535," | ",AK535," | ",AL535," | ",AM535," | ",AN535)</f>
        <v xml:space="preserve">90MB1BJ0-C1BAY0 | 59MB1BJB-MB0A02S |  |  |  |  |  | </v>
      </c>
      <c r="AP535" s="6">
        <f>IF(TRIM(H535)="",100,J535)</f>
        <v>0</v>
      </c>
      <c r="AQ535" s="4"/>
      <c r="AR535" s="6" t="b">
        <f>NOT(TRIM(W535)&lt;&gt;"F")</f>
        <v>1</v>
      </c>
      <c r="AS535" s="6" t="str">
        <f>$B535&amp;" | "&amp;$AO535&amp;" | "&amp;IF(TRIM(H535)="","uniq"&amp;ROW(),TRIM(H535))</f>
        <v>461E | 90MB1BJ0-C1BAY0 | 59MB1BJB-MB0A02S |  |  |  |  |  |  | I8</v>
      </c>
      <c r="AT535" s="63">
        <f>IF(NOT(AR535),IF(TRIM($H535)="","Assembly","Phantom Alt"),VLOOKUP(F535,ZPCS04!B:G,6,0))</f>
        <v>875</v>
      </c>
      <c r="AU535" s="7"/>
      <c r="AV535" s="38">
        <f ca="1">IF(TRIM($W535)="F",OFFSET($A$5,MATCH($AS535,$AS$5:$AS535,0)-1,0),$A535)</f>
        <v>535</v>
      </c>
      <c r="AW535" s="38">
        <f ca="1">IFERROR(OFFSET(ZPCS04!$A$1,MATCH(F535,ZPCS04!B:B,0)-1,0),100)</f>
        <v>1.9999999499999999</v>
      </c>
      <c r="AX535" s="7"/>
      <c r="AY535" s="6" t="b">
        <f>SUMIF(AS:AS,AS535,AP:AP)=100</f>
        <v>1</v>
      </c>
      <c r="AZ535" s="6" t="b">
        <f>SUMIF(AS:AS,AS535,AE:AE)/COUNTIF(AS:AS,AS535)=AE535</f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>C535&amp;" | "&amp;F535</f>
        <v>90MB1BJ0-C1BAY0 | 10G213549113010</v>
      </c>
      <c r="BE535" s="55" t="str">
        <f ca="1">C535&amp;" | "&amp;OFFSET($AF535,0,8-COUNTBLANK($AG535:$AN535))</f>
        <v>90MB1BJ0-C1BAY0 | 59MB1BJB-MB0A02S</v>
      </c>
      <c r="BF535" s="57">
        <f ca="1">IFERROR(VLOOKUP($BE535,$BD$5:$BF534,3,0)*$AE535,VLOOKUP($C535,Demanda!$A:$B,2,0)*$AE535)*IF(AT535="Phantom Alt",$BC535,TRUE)</f>
        <v>2000</v>
      </c>
      <c r="BG535" s="57">
        <f ca="1">BF535*(AP535/100)</f>
        <v>0</v>
      </c>
      <c r="BH535" s="57">
        <f>SUMIF(Invoice!A:A,F535,Invoice!B:B)</f>
        <v>5000</v>
      </c>
      <c r="BI535" s="57">
        <f ca="1">SUMIF(AS:AS,AS535,BG:BG)</f>
        <v>2000</v>
      </c>
      <c r="BJ535" s="57">
        <f ca="1">MIN((BI535-SUMIF($AS$5:AS534,AS535,$BJ$5:BJ534)),MAX(0,BH535-SUMIF($F$5:F534,F535,$BJ$5:BJ534)))</f>
        <v>2000</v>
      </c>
      <c r="BK535" s="57">
        <f ca="1">(-SUMIF(AS:AS,AS535,BG:BG)+SUMIF(AS:AS,AS535,BJ:BJ))*(AP535=100)*AR535</f>
        <v>0</v>
      </c>
      <c r="BL535" s="57">
        <f ca="1">MAX(0,SUMIF(Invoice!A:A,F535,Invoice!B:B)-SUMIF(F:F,F535,BJ:BJ))*(COUNTIF(F:F,F535)=COUNTIF($F$5:F535,F535))</f>
        <v>3000</v>
      </c>
    </row>
    <row r="536" spans="1:64" hidden="1">
      <c r="A536" s="43">
        <v>536</v>
      </c>
      <c r="B536" s="13" t="s">
        <v>147</v>
      </c>
      <c r="C536" s="13" t="s">
        <v>146</v>
      </c>
      <c r="D536" s="13">
        <v>2</v>
      </c>
      <c r="E536" s="13">
        <v>1880</v>
      </c>
      <c r="F536" s="71" t="s">
        <v>1303</v>
      </c>
      <c r="G536" s="71" t="s">
        <v>1304</v>
      </c>
      <c r="H536" s="13" t="s">
        <v>1302</v>
      </c>
      <c r="I536" s="13" t="s">
        <v>55</v>
      </c>
      <c r="J536" s="28">
        <v>0</v>
      </c>
      <c r="K536" s="13" t="s">
        <v>150</v>
      </c>
      <c r="L536" s="13" t="s">
        <v>53</v>
      </c>
      <c r="M536" s="13">
        <v>2</v>
      </c>
      <c r="O536" s="13">
        <v>1</v>
      </c>
      <c r="P536" s="13">
        <v>2</v>
      </c>
      <c r="Q536" s="13">
        <v>2</v>
      </c>
      <c r="R536" s="13" t="s">
        <v>73</v>
      </c>
      <c r="S536" s="13" t="s">
        <v>73</v>
      </c>
      <c r="T536" s="13">
        <v>44901</v>
      </c>
      <c r="U536" s="13">
        <v>2958465</v>
      </c>
      <c r="V536" s="13" t="s">
        <v>282</v>
      </c>
      <c r="W536" s="13" t="s">
        <v>145</v>
      </c>
      <c r="Y536" s="13" t="s">
        <v>143</v>
      </c>
      <c r="Z536" s="13">
        <v>7589154</v>
      </c>
      <c r="AA536" s="13">
        <v>960</v>
      </c>
      <c r="AB536" s="13">
        <v>480</v>
      </c>
      <c r="AE536" s="51">
        <f>M536/O536</f>
        <v>2</v>
      </c>
      <c r="AG536" s="6" t="str">
        <f>C536</f>
        <v>90MB1BJ0-C1BAY0</v>
      </c>
      <c r="AH536" s="6" t="str">
        <f>IF($D536&lt;=AH$4,"",IF(AND($D535=AH$4,$D536&gt;AH$4),$F535,AH535))</f>
        <v>59MB1BJB-MB0A02S</v>
      </c>
      <c r="AI536" s="6" t="str">
        <f>IF($D536&lt;=AI$4,"",IF(AND($D535=AI$4,$D536&gt;AI$4),$F535,AI535))</f>
        <v/>
      </c>
      <c r="AJ536" s="6" t="str">
        <f>IF($D536&lt;=AJ$4,"",IF(AND($D535=AJ$4,$D536&gt;AJ$4),$F535,AJ535))</f>
        <v/>
      </c>
      <c r="AK536" s="6" t="str">
        <f>IF($D536&lt;=AK$4,"",IF(AND($D535=AK$4,$D536&gt;AK$4),$F535,AK535))</f>
        <v/>
      </c>
      <c r="AL536" s="6" t="str">
        <f>IF($D536&lt;=AL$4,"",IF(AND($D535=AL$4,$D536&gt;AL$4),$F535,AL535))</f>
        <v/>
      </c>
      <c r="AM536" s="6" t="str">
        <f>IF($D536&lt;=AM$4,"",IF(AND($D535=AM$4,$D536&gt;AM$4),$F535,AM535))</f>
        <v/>
      </c>
      <c r="AN536" s="6" t="str">
        <f>IF($D536&lt;=AN$4,"",IF(AND($D535=AN$4,$D536&gt;AN$4),$F535,AN535))</f>
        <v/>
      </c>
      <c r="AO536" s="6" t="str">
        <f>CONCATENATE(AG536," | ",AH536," | ",AI536," | ",AJ536," | ",AK536," | ",AL536," | ",AM536," | ",AN536)</f>
        <v xml:space="preserve">90MB1BJ0-C1BAY0 | 59MB1BJB-MB0A02S |  |  |  |  |  | </v>
      </c>
      <c r="AP536" s="6">
        <f>IF(TRIM(H536)="",100,J536)</f>
        <v>0</v>
      </c>
      <c r="AQ536" s="4"/>
      <c r="AR536" s="6" t="b">
        <f>NOT(TRIM(W536)&lt;&gt;"F")</f>
        <v>1</v>
      </c>
      <c r="AS536" s="6" t="str">
        <f>$B536&amp;" | "&amp;$AO536&amp;" | "&amp;IF(TRIM(H536)="","uniq"&amp;ROW(),TRIM(H536))</f>
        <v>461E | 90MB1BJ0-C1BAY0 | 59MB1BJB-MB0A02S |  |  |  |  |  |  | I8</v>
      </c>
      <c r="AT536" s="63">
        <f>IF(NOT(AR536),IF(TRIM($H536)="","Assembly","Phantom Alt"),VLOOKUP(F536,ZPCS04!B:G,6,0))</f>
        <v>875</v>
      </c>
      <c r="AU536" s="7"/>
      <c r="AV536" s="38">
        <f ca="1">IF(TRIM($W536)="F",OFFSET($A$5,MATCH($AS536,$AS$5:$AS536,0)-1,0),$A536)</f>
        <v>535</v>
      </c>
      <c r="AW536" s="38">
        <f ca="1">IFERROR(OFFSET(ZPCS04!$A$1,MATCH(F536,ZPCS04!B:B,0)-1,0),100)</f>
        <v>2</v>
      </c>
      <c r="AX536" s="7"/>
      <c r="AY536" s="6" t="b">
        <f>SUMIF(AS:AS,AS536,AP:AP)=100</f>
        <v>1</v>
      </c>
      <c r="AZ536" s="6" t="b">
        <f>SUMIF(AS:AS,AS536,AE:AE)/COUNTIF(AS:AS,AS536)=AE536</f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>C536&amp;" | "&amp;F536</f>
        <v>90MB1BJ0-C1BAY0 | 10G213549113020</v>
      </c>
      <c r="BE536" s="55" t="str">
        <f ca="1">C536&amp;" | "&amp;OFFSET($AF536,0,8-COUNTBLANK($AG536:$AN536))</f>
        <v>90MB1BJ0-C1BAY0 | 59MB1BJB-MB0A02S</v>
      </c>
      <c r="BF536" s="57">
        <f ca="1">IFERROR(VLOOKUP($BE536,$BD$5:$BF535,3,0)*$AE536,VLOOKUP($C536,Demanda!$A:$B,2,0)*$AE536)*IF(AT536="Phantom Alt",$BC536,TRUE)</f>
        <v>2000</v>
      </c>
      <c r="BG536" s="57">
        <f ca="1">BF536*(AP536/100)</f>
        <v>0</v>
      </c>
      <c r="BH536" s="57">
        <f>SUMIF(Invoice!A:A,F536,Invoice!B:B)</f>
        <v>0</v>
      </c>
      <c r="BI536" s="57">
        <f ca="1">SUMIF(AS:AS,AS536,BG:BG)</f>
        <v>2000</v>
      </c>
      <c r="BJ536" s="57">
        <f ca="1">MIN((BI536-SUMIF($AS$5:AS535,AS536,$BJ$5:BJ535)),MAX(0,BH536-SUMIF($F$5:F535,F536,$BJ$5:BJ535)))</f>
        <v>0</v>
      </c>
      <c r="BK536" s="57">
        <f ca="1">(-SUMIF(AS:AS,AS536,BG:BG)+SUMIF(AS:AS,AS536,BJ:BJ))*(AP536=100)*AR536</f>
        <v>0</v>
      </c>
      <c r="BL536" s="57">
        <f ca="1">MAX(0,SUMIF(Invoice!A:A,F536,Invoice!B:B)-SUMIF(F:F,F536,BJ:BJ))*(COUNTIF(F:F,F536)=COUNTIF($F$5:F536,F536))</f>
        <v>0</v>
      </c>
    </row>
    <row r="537" spans="1:64" hidden="1">
      <c r="A537" s="43">
        <v>537</v>
      </c>
      <c r="B537" s="13" t="s">
        <v>147</v>
      </c>
      <c r="C537" s="13" t="s">
        <v>146</v>
      </c>
      <c r="D537" s="13">
        <v>2</v>
      </c>
      <c r="E537" s="13">
        <v>1880</v>
      </c>
      <c r="F537" s="71" t="s">
        <v>1305</v>
      </c>
      <c r="G537" s="71" t="s">
        <v>1306</v>
      </c>
      <c r="H537" s="13" t="s">
        <v>1302</v>
      </c>
      <c r="I537" s="13" t="s">
        <v>54</v>
      </c>
      <c r="J537" s="28">
        <v>100</v>
      </c>
      <c r="K537" s="13" t="s">
        <v>150</v>
      </c>
      <c r="L537" s="13" t="s">
        <v>53</v>
      </c>
      <c r="M537" s="13">
        <v>2</v>
      </c>
      <c r="N537" s="13">
        <v>2</v>
      </c>
      <c r="O537" s="13">
        <v>1</v>
      </c>
      <c r="P537" s="13">
        <v>2</v>
      </c>
      <c r="Q537" s="13">
        <v>1</v>
      </c>
      <c r="R537" s="13" t="s">
        <v>73</v>
      </c>
      <c r="S537" s="13" t="s">
        <v>73</v>
      </c>
      <c r="T537" s="13">
        <v>44901</v>
      </c>
      <c r="U537" s="13">
        <v>2958465</v>
      </c>
      <c r="V537" s="13" t="s">
        <v>282</v>
      </c>
      <c r="W537" s="13" t="s">
        <v>145</v>
      </c>
      <c r="Y537" s="13" t="s">
        <v>143</v>
      </c>
      <c r="Z537" s="13">
        <v>7589154</v>
      </c>
      <c r="AA537" s="13">
        <v>958</v>
      </c>
      <c r="AB537" s="13">
        <v>479</v>
      </c>
      <c r="AE537" s="51">
        <f>M537/O537</f>
        <v>2</v>
      </c>
      <c r="AG537" s="6" t="str">
        <f>C537</f>
        <v>90MB1BJ0-C1BAY0</v>
      </c>
      <c r="AH537" s="6" t="str">
        <f>IF($D537&lt;=AH$4,"",IF(AND($D536=AH$4,$D537&gt;AH$4),$F536,AH536))</f>
        <v>59MB1BJB-MB0A02S</v>
      </c>
      <c r="AI537" s="6" t="str">
        <f>IF($D537&lt;=AI$4,"",IF(AND($D536=AI$4,$D537&gt;AI$4),$F536,AI536))</f>
        <v/>
      </c>
      <c r="AJ537" s="6" t="str">
        <f>IF($D537&lt;=AJ$4,"",IF(AND($D536=AJ$4,$D537&gt;AJ$4),$F536,AJ536))</f>
        <v/>
      </c>
      <c r="AK537" s="6" t="str">
        <f>IF($D537&lt;=AK$4,"",IF(AND($D536=AK$4,$D537&gt;AK$4),$F536,AK536))</f>
        <v/>
      </c>
      <c r="AL537" s="6" t="str">
        <f>IF($D537&lt;=AL$4,"",IF(AND($D536=AL$4,$D537&gt;AL$4),$F536,AL536))</f>
        <v/>
      </c>
      <c r="AM537" s="6" t="str">
        <f>IF($D537&lt;=AM$4,"",IF(AND($D536=AM$4,$D537&gt;AM$4),$F536,AM536))</f>
        <v/>
      </c>
      <c r="AN537" s="6" t="str">
        <f>IF($D537&lt;=AN$4,"",IF(AND($D536=AN$4,$D537&gt;AN$4),$F536,AN536))</f>
        <v/>
      </c>
      <c r="AO537" s="6" t="str">
        <f>CONCATENATE(AG537," | ",AH537," | ",AI537," | ",AJ537," | ",AK537," | ",AL537," | ",AM537," | ",AN537)</f>
        <v xml:space="preserve">90MB1BJ0-C1BAY0 | 59MB1BJB-MB0A02S |  |  |  |  |  | </v>
      </c>
      <c r="AP537" s="6">
        <f>IF(TRIM(H537)="",100,J537)</f>
        <v>100</v>
      </c>
      <c r="AQ537" s="4"/>
      <c r="AR537" s="6" t="b">
        <f>NOT(TRIM(W537)&lt;&gt;"F")</f>
        <v>1</v>
      </c>
      <c r="AS537" s="6" t="str">
        <f>$B537&amp;" | "&amp;$AO537&amp;" | "&amp;IF(TRIM(H537)="","uniq"&amp;ROW(),TRIM(H537))</f>
        <v>461E | 90MB1BJ0-C1BAY0 | 59MB1BJB-MB0A02S |  |  |  |  |  |  | I8</v>
      </c>
      <c r="AT537" s="63">
        <f>IF(NOT(AR537),IF(TRIM($H537)="","Assembly","Phantom Alt"),VLOOKUP(F537,ZPCS04!B:G,6,0))</f>
        <v>875</v>
      </c>
      <c r="AU537" s="7"/>
      <c r="AV537" s="38">
        <f ca="1">IF(TRIM($W537)="F",OFFSET($A$5,MATCH($AS537,$AS$5:$AS537,0)-1,0),$A537)</f>
        <v>535</v>
      </c>
      <c r="AW537" s="38">
        <f ca="1">IFERROR(OFFSET(ZPCS04!$A$1,MATCH(F537,ZPCS04!B:B,0)-1,0),100)</f>
        <v>2</v>
      </c>
      <c r="AX537" s="7"/>
      <c r="AY537" s="6" t="b">
        <f>SUMIF(AS:AS,AS537,AP:AP)=100</f>
        <v>1</v>
      </c>
      <c r="AZ537" s="6" t="b">
        <f>SUMIF(AS:AS,AS537,AE:AE)/COUNTIF(AS:AS,AS537)=AE537</f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>C537&amp;" | "&amp;F537</f>
        <v>90MB1BJ0-C1BAY0 | 10G213549113050</v>
      </c>
      <c r="BE537" s="55" t="str">
        <f ca="1">C537&amp;" | "&amp;OFFSET($AF537,0,8-COUNTBLANK($AG537:$AN537))</f>
        <v>90MB1BJ0-C1BAY0 | 59MB1BJB-MB0A02S</v>
      </c>
      <c r="BF537" s="57">
        <f ca="1">IFERROR(VLOOKUP($BE537,$BD$5:$BF536,3,0)*$AE537,VLOOKUP($C537,Demanda!$A:$B,2,0)*$AE537)*IF(AT537="Phantom Alt",$BC537,TRUE)</f>
        <v>2000</v>
      </c>
      <c r="BG537" s="57">
        <f ca="1">BF537*(AP537/100)</f>
        <v>2000</v>
      </c>
      <c r="BH537" s="57">
        <f>SUMIF(Invoice!A:A,F537,Invoice!B:B)</f>
        <v>0</v>
      </c>
      <c r="BI537" s="57">
        <f ca="1">SUMIF(AS:AS,AS537,BG:BG)</f>
        <v>2000</v>
      </c>
      <c r="BJ537" s="57">
        <f ca="1">MIN((BI537-SUMIF($AS$5:AS536,AS537,$BJ$5:BJ536)),MAX(0,BH537-SUMIF($F$5:F536,F537,$BJ$5:BJ536)))</f>
        <v>0</v>
      </c>
      <c r="BK537" s="57">
        <f ca="1">(-SUMIF(AS:AS,AS537,BG:BG)+SUMIF(AS:AS,AS537,BJ:BJ))*(AP537=100)*AR537</f>
        <v>0</v>
      </c>
      <c r="BL537" s="57">
        <f ca="1">MAX(0,SUMIF(Invoice!A:A,F537,Invoice!B:B)-SUMIF(F:F,F537,BJ:BJ))*(COUNTIF(F:F,F537)=COUNTIF($F$5:F537,F537))</f>
        <v>0</v>
      </c>
    </row>
    <row r="538" spans="1:64" hidden="1">
      <c r="A538" s="43">
        <v>538</v>
      </c>
      <c r="B538" s="13" t="s">
        <v>147</v>
      </c>
      <c r="C538" s="13" t="s">
        <v>146</v>
      </c>
      <c r="D538" s="13">
        <v>2</v>
      </c>
      <c r="E538" s="13">
        <v>1890</v>
      </c>
      <c r="F538" s="71" t="s">
        <v>1307</v>
      </c>
      <c r="G538" s="71" t="s">
        <v>1308</v>
      </c>
      <c r="H538" s="13" t="s">
        <v>1309</v>
      </c>
      <c r="I538" s="13" t="s">
        <v>54</v>
      </c>
      <c r="J538" s="28">
        <v>100</v>
      </c>
      <c r="K538" s="13" t="s">
        <v>489</v>
      </c>
      <c r="L538" s="13" t="s">
        <v>53</v>
      </c>
      <c r="M538" s="13">
        <v>12</v>
      </c>
      <c r="N538" s="13">
        <v>12</v>
      </c>
      <c r="O538" s="13">
        <v>1</v>
      </c>
      <c r="P538" s="13">
        <v>2</v>
      </c>
      <c r="Q538" s="13">
        <v>1</v>
      </c>
      <c r="R538" s="13" t="s">
        <v>122</v>
      </c>
      <c r="S538" s="13" t="s">
        <v>122</v>
      </c>
      <c r="T538" s="13">
        <v>44901</v>
      </c>
      <c r="U538" s="13">
        <v>2958465</v>
      </c>
      <c r="V538" s="13" t="s">
        <v>282</v>
      </c>
      <c r="W538" s="13" t="s">
        <v>145</v>
      </c>
      <c r="Y538" s="13" t="s">
        <v>143</v>
      </c>
      <c r="Z538" s="13">
        <v>7589154</v>
      </c>
      <c r="AA538" s="13">
        <v>964</v>
      </c>
      <c r="AB538" s="13">
        <v>482</v>
      </c>
      <c r="AE538" s="51">
        <f>M538/O538</f>
        <v>12</v>
      </c>
      <c r="AG538" s="6" t="str">
        <f>C538</f>
        <v>90MB1BJ0-C1BAY0</v>
      </c>
      <c r="AH538" s="6" t="str">
        <f>IF($D538&lt;=AH$4,"",IF(AND($D537=AH$4,$D538&gt;AH$4),$F537,AH537))</f>
        <v>59MB1BJB-MB0A02S</v>
      </c>
      <c r="AI538" s="6" t="str">
        <f>IF($D538&lt;=AI$4,"",IF(AND($D537=AI$4,$D538&gt;AI$4),$F537,AI537))</f>
        <v/>
      </c>
      <c r="AJ538" s="6" t="str">
        <f>IF($D538&lt;=AJ$4,"",IF(AND($D537=AJ$4,$D538&gt;AJ$4),$F537,AJ537))</f>
        <v/>
      </c>
      <c r="AK538" s="6" t="str">
        <f>IF($D538&lt;=AK$4,"",IF(AND($D537=AK$4,$D538&gt;AK$4),$F537,AK537))</f>
        <v/>
      </c>
      <c r="AL538" s="6" t="str">
        <f>IF($D538&lt;=AL$4,"",IF(AND($D537=AL$4,$D538&gt;AL$4),$F537,AL537))</f>
        <v/>
      </c>
      <c r="AM538" s="6" t="str">
        <f>IF($D538&lt;=AM$4,"",IF(AND($D537=AM$4,$D538&gt;AM$4),$F537,AM537))</f>
        <v/>
      </c>
      <c r="AN538" s="6" t="str">
        <f>IF($D538&lt;=AN$4,"",IF(AND($D537=AN$4,$D538&gt;AN$4),$F537,AN537))</f>
        <v/>
      </c>
      <c r="AO538" s="6" t="str">
        <f>CONCATENATE(AG538," | ",AH538," | ",AI538," | ",AJ538," | ",AK538," | ",AL538," | ",AM538," | ",AN538)</f>
        <v xml:space="preserve">90MB1BJ0-C1BAY0 | 59MB1BJB-MB0A02S |  |  |  |  |  | </v>
      </c>
      <c r="AP538" s="6">
        <f>IF(TRIM(H538)="",100,J538)</f>
        <v>100</v>
      </c>
      <c r="AQ538" s="4"/>
      <c r="AR538" s="6" t="b">
        <f>NOT(TRIM(W538)&lt;&gt;"F")</f>
        <v>1</v>
      </c>
      <c r="AS538" s="6" t="str">
        <f>$B538&amp;" | "&amp;$AO538&amp;" | "&amp;IF(TRIM(H538)="","uniq"&amp;ROW(),TRIM(H538))</f>
        <v>461E | 90MB1BJ0-C1BAY0 | 59MB1BJB-MB0A02S |  |  |  |  |  |  | I9</v>
      </c>
      <c r="AT538" s="63">
        <f>IF(NOT(AR538),IF(TRIM($H538)="","Assembly","Phantom Alt"),VLOOKUP(F538,ZPCS04!B:G,6,0))</f>
        <v>723</v>
      </c>
      <c r="AU538" s="7"/>
      <c r="AV538" s="38">
        <f ca="1">IF(TRIM($W538)="F",OFFSET($A$5,MATCH($AS538,$AS$5:$AS538,0)-1,0),$A538)</f>
        <v>538</v>
      </c>
      <c r="AW538" s="38">
        <f ca="1">IFERROR(OFFSET(ZPCS04!$A$1,MATCH(F538,ZPCS04!B:B,0)-1,0),100)</f>
        <v>1.99999985</v>
      </c>
      <c r="AX538" s="7"/>
      <c r="AY538" s="6" t="b">
        <f>SUMIF(AS:AS,AS538,AP:AP)=100</f>
        <v>1</v>
      </c>
      <c r="AZ538" s="6" t="b">
        <f>SUMIF(AS:AS,AS538,AE:AE)/COUNTIF(AS:AS,AS538)=AE538</f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>C538&amp;" | "&amp;F538</f>
        <v>90MB1BJ0-C1BAY0 | 10G21375R013010</v>
      </c>
      <c r="BE538" s="55" t="str">
        <f ca="1">C538&amp;" | "&amp;OFFSET($AF538,0,8-COUNTBLANK($AG538:$AN538))</f>
        <v>90MB1BJ0-C1BAY0 | 59MB1BJB-MB0A02S</v>
      </c>
      <c r="BF538" s="57">
        <f ca="1">IFERROR(VLOOKUP($BE538,$BD$5:$BF537,3,0)*$AE538,VLOOKUP($C538,Demanda!$A:$B,2,0)*$AE538)*IF(AT538="Phantom Alt",$BC538,TRUE)</f>
        <v>12000</v>
      </c>
      <c r="BG538" s="57">
        <f ca="1">BF538*(AP538/100)</f>
        <v>12000</v>
      </c>
      <c r="BH538" s="57">
        <f>SUMIF(Invoice!A:A,F538,Invoice!B:B)</f>
        <v>15000</v>
      </c>
      <c r="BI538" s="57">
        <f ca="1">SUMIF(AS:AS,AS538,BG:BG)</f>
        <v>12000</v>
      </c>
      <c r="BJ538" s="57">
        <f ca="1">MIN((BI538-SUMIF($AS$5:AS537,AS538,$BJ$5:BJ537)),MAX(0,BH538-SUMIF($F$5:F537,F538,$BJ$5:BJ537)))</f>
        <v>12000</v>
      </c>
      <c r="BK538" s="57">
        <f ca="1">(-SUMIF(AS:AS,AS538,BG:BG)+SUMIF(AS:AS,AS538,BJ:BJ))*(AP538=100)*AR538</f>
        <v>0</v>
      </c>
      <c r="BL538" s="57">
        <f ca="1">MAX(0,SUMIF(Invoice!A:A,F538,Invoice!B:B)-SUMIF(F:F,F538,BJ:BJ))*(COUNTIF(F:F,F538)=COUNTIF($F$5:F538,F538))</f>
        <v>3000</v>
      </c>
    </row>
    <row r="539" spans="1:64" hidden="1">
      <c r="A539" s="43">
        <v>539</v>
      </c>
      <c r="B539" s="13" t="s">
        <v>147</v>
      </c>
      <c r="C539" s="13" t="s">
        <v>146</v>
      </c>
      <c r="D539" s="13">
        <v>2</v>
      </c>
      <c r="E539" s="13">
        <v>1890</v>
      </c>
      <c r="F539" s="71" t="s">
        <v>1310</v>
      </c>
      <c r="G539" s="71" t="s">
        <v>1311</v>
      </c>
      <c r="H539" s="13" t="s">
        <v>1309</v>
      </c>
      <c r="I539" s="13" t="s">
        <v>55</v>
      </c>
      <c r="J539" s="28">
        <v>0</v>
      </c>
      <c r="K539" s="13" t="s">
        <v>489</v>
      </c>
      <c r="L539" s="13" t="s">
        <v>53</v>
      </c>
      <c r="M539" s="13">
        <v>12</v>
      </c>
      <c r="O539" s="13">
        <v>1</v>
      </c>
      <c r="P539" s="13">
        <v>2</v>
      </c>
      <c r="Q539" s="13">
        <v>3</v>
      </c>
      <c r="R539" s="13" t="s">
        <v>122</v>
      </c>
      <c r="S539" s="13" t="s">
        <v>122</v>
      </c>
      <c r="T539" s="13">
        <v>44901</v>
      </c>
      <c r="U539" s="13">
        <v>2958465</v>
      </c>
      <c r="V539" s="13" t="s">
        <v>282</v>
      </c>
      <c r="W539" s="13" t="s">
        <v>145</v>
      </c>
      <c r="Y539" s="13" t="s">
        <v>143</v>
      </c>
      <c r="Z539" s="13">
        <v>7589154</v>
      </c>
      <c r="AA539" s="13">
        <v>968</v>
      </c>
      <c r="AB539" s="13">
        <v>484</v>
      </c>
      <c r="AE539" s="51">
        <f>M539/O539</f>
        <v>12</v>
      </c>
      <c r="AG539" s="6" t="str">
        <f>C539</f>
        <v>90MB1BJ0-C1BAY0</v>
      </c>
      <c r="AH539" s="6" t="str">
        <f>IF($D539&lt;=AH$4,"",IF(AND($D538=AH$4,$D539&gt;AH$4),$F538,AH538))</f>
        <v>59MB1BJB-MB0A02S</v>
      </c>
      <c r="AI539" s="6" t="str">
        <f>IF($D539&lt;=AI$4,"",IF(AND($D538=AI$4,$D539&gt;AI$4),$F538,AI538))</f>
        <v/>
      </c>
      <c r="AJ539" s="6" t="str">
        <f>IF($D539&lt;=AJ$4,"",IF(AND($D538=AJ$4,$D539&gt;AJ$4),$F538,AJ538))</f>
        <v/>
      </c>
      <c r="AK539" s="6" t="str">
        <f>IF($D539&lt;=AK$4,"",IF(AND($D538=AK$4,$D539&gt;AK$4),$F538,AK538))</f>
        <v/>
      </c>
      <c r="AL539" s="6" t="str">
        <f>IF($D539&lt;=AL$4,"",IF(AND($D538=AL$4,$D539&gt;AL$4),$F538,AL538))</f>
        <v/>
      </c>
      <c r="AM539" s="6" t="str">
        <f>IF($D539&lt;=AM$4,"",IF(AND($D538=AM$4,$D539&gt;AM$4),$F538,AM538))</f>
        <v/>
      </c>
      <c r="AN539" s="6" t="str">
        <f>IF($D539&lt;=AN$4,"",IF(AND($D538=AN$4,$D539&gt;AN$4),$F538,AN538))</f>
        <v/>
      </c>
      <c r="AO539" s="6" t="str">
        <f>CONCATENATE(AG539," | ",AH539," | ",AI539," | ",AJ539," | ",AK539," | ",AL539," | ",AM539," | ",AN539)</f>
        <v xml:space="preserve">90MB1BJ0-C1BAY0 | 59MB1BJB-MB0A02S |  |  |  |  |  | </v>
      </c>
      <c r="AP539" s="6">
        <f>IF(TRIM(H539)="",100,J539)</f>
        <v>0</v>
      </c>
      <c r="AQ539" s="4"/>
      <c r="AR539" s="6" t="b">
        <f>NOT(TRIM(W539)&lt;&gt;"F")</f>
        <v>1</v>
      </c>
      <c r="AS539" s="6" t="str">
        <f>$B539&amp;" | "&amp;$AO539&amp;" | "&amp;IF(TRIM(H539)="","uniq"&amp;ROW(),TRIM(H539))</f>
        <v>461E | 90MB1BJ0-C1BAY0 | 59MB1BJB-MB0A02S |  |  |  |  |  |  | I9</v>
      </c>
      <c r="AT539" s="63">
        <f>IF(NOT(AR539),IF(TRIM($H539)="","Assembly","Phantom Alt"),VLOOKUP(F539,ZPCS04!B:G,6,0))</f>
        <v>723</v>
      </c>
      <c r="AU539" s="7"/>
      <c r="AV539" s="38">
        <f ca="1">IF(TRIM($W539)="F",OFFSET($A$5,MATCH($AS539,$AS$5:$AS539,0)-1,0),$A539)</f>
        <v>538</v>
      </c>
      <c r="AW539" s="38">
        <f ca="1">IFERROR(OFFSET(ZPCS04!$A$1,MATCH(F539,ZPCS04!B:B,0)-1,0),100)</f>
        <v>2</v>
      </c>
      <c r="AX539" s="7"/>
      <c r="AY539" s="6" t="b">
        <f>SUMIF(AS:AS,AS539,AP:AP)=100</f>
        <v>1</v>
      </c>
      <c r="AZ539" s="6" t="b">
        <f>SUMIF(AS:AS,AS539,AE:AE)/COUNTIF(AS:AS,AS539)=AE539</f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>C539&amp;" | "&amp;F539</f>
        <v>90MB1BJ0-C1BAY0 | 10G21375R013020</v>
      </c>
      <c r="BE539" s="55" t="str">
        <f ca="1">C539&amp;" | "&amp;OFFSET($AF539,0,8-COUNTBLANK($AG539:$AN539))</f>
        <v>90MB1BJ0-C1BAY0 | 59MB1BJB-MB0A02S</v>
      </c>
      <c r="BF539" s="57">
        <f ca="1">IFERROR(VLOOKUP($BE539,$BD$5:$BF538,3,0)*$AE539,VLOOKUP($C539,Demanda!$A:$B,2,0)*$AE539)*IF(AT539="Phantom Alt",$BC539,TRUE)</f>
        <v>12000</v>
      </c>
      <c r="BG539" s="57">
        <f ca="1">BF539*(AP539/100)</f>
        <v>0</v>
      </c>
      <c r="BH539" s="57">
        <f>SUMIF(Invoice!A:A,F539,Invoice!B:B)</f>
        <v>0</v>
      </c>
      <c r="BI539" s="57">
        <f ca="1">SUMIF(AS:AS,AS539,BG:BG)</f>
        <v>12000</v>
      </c>
      <c r="BJ539" s="57">
        <f ca="1">MIN((BI539-SUMIF($AS$5:AS538,AS539,$BJ$5:BJ538)),MAX(0,BH539-SUMIF($F$5:F538,F539,$BJ$5:BJ538)))</f>
        <v>0</v>
      </c>
      <c r="BK539" s="57">
        <f ca="1">(-SUMIF(AS:AS,AS539,BG:BG)+SUMIF(AS:AS,AS539,BJ:BJ))*(AP539=100)*AR539</f>
        <v>0</v>
      </c>
      <c r="BL539" s="57">
        <f ca="1">MAX(0,SUMIF(Invoice!A:A,F539,Invoice!B:B)-SUMIF(F:F,F539,BJ:BJ))*(COUNTIF(F:F,F539)=COUNTIF($F$5:F539,F539))</f>
        <v>0</v>
      </c>
    </row>
    <row r="540" spans="1:64" hidden="1">
      <c r="A540" s="43">
        <v>540</v>
      </c>
      <c r="B540" s="13" t="s">
        <v>147</v>
      </c>
      <c r="C540" s="13" t="s">
        <v>146</v>
      </c>
      <c r="D540" s="13">
        <v>2</v>
      </c>
      <c r="E540" s="13">
        <v>1890</v>
      </c>
      <c r="F540" s="71" t="s">
        <v>1312</v>
      </c>
      <c r="G540" s="71" t="s">
        <v>1313</v>
      </c>
      <c r="H540" s="13" t="s">
        <v>1309</v>
      </c>
      <c r="I540" s="13" t="s">
        <v>55</v>
      </c>
      <c r="J540" s="28">
        <v>0</v>
      </c>
      <c r="K540" s="13" t="s">
        <v>150</v>
      </c>
      <c r="L540" s="13" t="s">
        <v>53</v>
      </c>
      <c r="M540" s="13">
        <v>12</v>
      </c>
      <c r="O540" s="13">
        <v>1</v>
      </c>
      <c r="P540" s="13">
        <v>2</v>
      </c>
      <c r="Q540" s="13">
        <v>2</v>
      </c>
      <c r="R540" s="13" t="s">
        <v>73</v>
      </c>
      <c r="S540" s="13" t="s">
        <v>73</v>
      </c>
      <c r="T540" s="13">
        <v>44901</v>
      </c>
      <c r="U540" s="13">
        <v>2958465</v>
      </c>
      <c r="V540" s="13" t="s">
        <v>282</v>
      </c>
      <c r="W540" s="13" t="s">
        <v>145</v>
      </c>
      <c r="Y540" s="13" t="s">
        <v>143</v>
      </c>
      <c r="Z540" s="13">
        <v>7589154</v>
      </c>
      <c r="AA540" s="13">
        <v>966</v>
      </c>
      <c r="AB540" s="13">
        <v>483</v>
      </c>
      <c r="AE540" s="51">
        <f>M540/O540</f>
        <v>12</v>
      </c>
      <c r="AG540" s="6" t="str">
        <f>C540</f>
        <v>90MB1BJ0-C1BAY0</v>
      </c>
      <c r="AH540" s="6" t="str">
        <f>IF($D540&lt;=AH$4,"",IF(AND($D539=AH$4,$D540&gt;AH$4),$F539,AH539))</f>
        <v>59MB1BJB-MB0A02S</v>
      </c>
      <c r="AI540" s="6" t="str">
        <f>IF($D540&lt;=AI$4,"",IF(AND($D539=AI$4,$D540&gt;AI$4),$F539,AI539))</f>
        <v/>
      </c>
      <c r="AJ540" s="6" t="str">
        <f>IF($D540&lt;=AJ$4,"",IF(AND($D539=AJ$4,$D540&gt;AJ$4),$F539,AJ539))</f>
        <v/>
      </c>
      <c r="AK540" s="6" t="str">
        <f>IF($D540&lt;=AK$4,"",IF(AND($D539=AK$4,$D540&gt;AK$4),$F539,AK539))</f>
        <v/>
      </c>
      <c r="AL540" s="6" t="str">
        <f>IF($D540&lt;=AL$4,"",IF(AND($D539=AL$4,$D540&gt;AL$4),$F539,AL539))</f>
        <v/>
      </c>
      <c r="AM540" s="6" t="str">
        <f>IF($D540&lt;=AM$4,"",IF(AND($D539=AM$4,$D540&gt;AM$4),$F539,AM539))</f>
        <v/>
      </c>
      <c r="AN540" s="6" t="str">
        <f>IF($D540&lt;=AN$4,"",IF(AND($D539=AN$4,$D540&gt;AN$4),$F539,AN539))</f>
        <v/>
      </c>
      <c r="AO540" s="6" t="str">
        <f>CONCATENATE(AG540," | ",AH540," | ",AI540," | ",AJ540," | ",AK540," | ",AL540," | ",AM540," | ",AN540)</f>
        <v xml:space="preserve">90MB1BJ0-C1BAY0 | 59MB1BJB-MB0A02S |  |  |  |  |  | </v>
      </c>
      <c r="AP540" s="6">
        <f>IF(TRIM(H540)="",100,J540)</f>
        <v>0</v>
      </c>
      <c r="AQ540" s="4"/>
      <c r="AR540" s="6" t="b">
        <f>NOT(TRIM(W540)&lt;&gt;"F")</f>
        <v>1</v>
      </c>
      <c r="AS540" s="6" t="str">
        <f>$B540&amp;" | "&amp;$AO540&amp;" | "&amp;IF(TRIM(H540)="","uniq"&amp;ROW(),TRIM(H540))</f>
        <v>461E | 90MB1BJ0-C1BAY0 | 59MB1BJB-MB0A02S |  |  |  |  |  |  | I9</v>
      </c>
      <c r="AT540" s="63">
        <f>IF(NOT(AR540),IF(TRIM($H540)="","Assembly","Phantom Alt"),VLOOKUP(F540,ZPCS04!B:G,6,0))</f>
        <v>723</v>
      </c>
      <c r="AU540" s="7"/>
      <c r="AV540" s="38">
        <f ca="1">IF(TRIM($W540)="F",OFFSET($A$5,MATCH($AS540,$AS$5:$AS540,0)-1,0),$A540)</f>
        <v>538</v>
      </c>
      <c r="AW540" s="38">
        <f ca="1">IFERROR(OFFSET(ZPCS04!$A$1,MATCH(F540,ZPCS04!B:B,0)-1,0),100)</f>
        <v>2</v>
      </c>
      <c r="AX540" s="7"/>
      <c r="AY540" s="6" t="b">
        <f>SUMIF(AS:AS,AS540,AP:AP)=100</f>
        <v>1</v>
      </c>
      <c r="AZ540" s="6" t="b">
        <f>SUMIF(AS:AS,AS540,AE:AE)/COUNTIF(AS:AS,AS540)=AE540</f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>C540&amp;" | "&amp;F540</f>
        <v>90MB1BJ0-C1BAY0 | 10G21375R013050</v>
      </c>
      <c r="BE540" s="55" t="str">
        <f ca="1">C540&amp;" | "&amp;OFFSET($AF540,0,8-COUNTBLANK($AG540:$AN540))</f>
        <v>90MB1BJ0-C1BAY0 | 59MB1BJB-MB0A02S</v>
      </c>
      <c r="BF540" s="57">
        <f ca="1">IFERROR(VLOOKUP($BE540,$BD$5:$BF539,3,0)*$AE540,VLOOKUP($C540,Demanda!$A:$B,2,0)*$AE540)*IF(AT540="Phantom Alt",$BC540,TRUE)</f>
        <v>12000</v>
      </c>
      <c r="BG540" s="57">
        <f ca="1">BF540*(AP540/100)</f>
        <v>0</v>
      </c>
      <c r="BH540" s="57">
        <f>SUMIF(Invoice!A:A,F540,Invoice!B:B)</f>
        <v>0</v>
      </c>
      <c r="BI540" s="57">
        <f ca="1">SUMIF(AS:AS,AS540,BG:BG)</f>
        <v>12000</v>
      </c>
      <c r="BJ540" s="57">
        <f ca="1">MIN((BI540-SUMIF($AS$5:AS539,AS540,$BJ$5:BJ539)),MAX(0,BH540-SUMIF($F$5:F539,F540,$BJ$5:BJ539)))</f>
        <v>0</v>
      </c>
      <c r="BK540" s="57">
        <f ca="1">(-SUMIF(AS:AS,AS540,BG:BG)+SUMIF(AS:AS,AS540,BJ:BJ))*(AP540=100)*AR540</f>
        <v>0</v>
      </c>
      <c r="BL540" s="57">
        <f ca="1">MAX(0,SUMIF(Invoice!A:A,F540,Invoice!B:B)-SUMIF(F:F,F540,BJ:BJ))*(COUNTIF(F:F,F540)=COUNTIF($F$5:F540,F540))</f>
        <v>0</v>
      </c>
    </row>
    <row r="541" spans="1:64" hidden="1">
      <c r="A541" s="43">
        <v>541</v>
      </c>
      <c r="B541" s="13" t="s">
        <v>147</v>
      </c>
      <c r="C541" s="13" t="s">
        <v>146</v>
      </c>
      <c r="D541" s="13">
        <v>2</v>
      </c>
      <c r="E541" s="13">
        <v>1900</v>
      </c>
      <c r="F541" s="71" t="s">
        <v>1314</v>
      </c>
      <c r="G541" s="71" t="s">
        <v>1315</v>
      </c>
      <c r="H541" s="13" t="s">
        <v>1316</v>
      </c>
      <c r="I541" s="13" t="s">
        <v>55</v>
      </c>
      <c r="J541" s="28">
        <v>0</v>
      </c>
      <c r="K541" s="13" t="s">
        <v>150</v>
      </c>
      <c r="L541" s="13" t="s">
        <v>53</v>
      </c>
      <c r="M541" s="13">
        <v>7</v>
      </c>
      <c r="O541" s="13">
        <v>1</v>
      </c>
      <c r="P541" s="13">
        <v>2</v>
      </c>
      <c r="Q541" s="13">
        <v>3</v>
      </c>
      <c r="R541" s="13" t="s">
        <v>73</v>
      </c>
      <c r="S541" s="13" t="s">
        <v>73</v>
      </c>
      <c r="T541" s="13">
        <v>44901</v>
      </c>
      <c r="U541" s="13">
        <v>2958465</v>
      </c>
      <c r="V541" s="13" t="s">
        <v>282</v>
      </c>
      <c r="W541" s="13" t="s">
        <v>145</v>
      </c>
      <c r="Y541" s="13" t="s">
        <v>143</v>
      </c>
      <c r="Z541" s="13">
        <v>7589154</v>
      </c>
      <c r="AA541" s="13">
        <v>974</v>
      </c>
      <c r="AB541" s="13">
        <v>487</v>
      </c>
      <c r="AE541" s="51">
        <f>M541/O541</f>
        <v>7</v>
      </c>
      <c r="AG541" s="6" t="str">
        <f>C541</f>
        <v>90MB1BJ0-C1BAY0</v>
      </c>
      <c r="AH541" s="6" t="str">
        <f>IF($D541&lt;=AH$4,"",IF(AND($D540=AH$4,$D541&gt;AH$4),$F540,AH540))</f>
        <v>59MB1BJB-MB0A02S</v>
      </c>
      <c r="AI541" s="6" t="str">
        <f>IF($D541&lt;=AI$4,"",IF(AND($D540=AI$4,$D541&gt;AI$4),$F540,AI540))</f>
        <v/>
      </c>
      <c r="AJ541" s="6" t="str">
        <f>IF($D541&lt;=AJ$4,"",IF(AND($D540=AJ$4,$D541&gt;AJ$4),$F540,AJ540))</f>
        <v/>
      </c>
      <c r="AK541" s="6" t="str">
        <f>IF($D541&lt;=AK$4,"",IF(AND($D540=AK$4,$D541&gt;AK$4),$F540,AK540))</f>
        <v/>
      </c>
      <c r="AL541" s="6" t="str">
        <f>IF($D541&lt;=AL$4,"",IF(AND($D540=AL$4,$D541&gt;AL$4),$F540,AL540))</f>
        <v/>
      </c>
      <c r="AM541" s="6" t="str">
        <f>IF($D541&lt;=AM$4,"",IF(AND($D540=AM$4,$D541&gt;AM$4),$F540,AM540))</f>
        <v/>
      </c>
      <c r="AN541" s="6" t="str">
        <f>IF($D541&lt;=AN$4,"",IF(AND($D540=AN$4,$D541&gt;AN$4),$F540,AN540))</f>
        <v/>
      </c>
      <c r="AO541" s="6" t="str">
        <f>CONCATENATE(AG541," | ",AH541," | ",AI541," | ",AJ541," | ",AK541," | ",AL541," | ",AM541," | ",AN541)</f>
        <v xml:space="preserve">90MB1BJ0-C1BAY0 | 59MB1BJB-MB0A02S |  |  |  |  |  | </v>
      </c>
      <c r="AP541" s="6">
        <f>IF(TRIM(H541)="",100,J541)</f>
        <v>0</v>
      </c>
      <c r="AQ541" s="4"/>
      <c r="AR541" s="6" t="b">
        <f>NOT(TRIM(W541)&lt;&gt;"F")</f>
        <v>1</v>
      </c>
      <c r="AS541" s="6" t="str">
        <f>$B541&amp;" | "&amp;$AO541&amp;" | "&amp;IF(TRIM(H541)="","uniq"&amp;ROW(),TRIM(H541))</f>
        <v>461E | 90MB1BJ0-C1BAY0 | 59MB1BJB-MB0A02S |  |  |  |  |  |  | J0</v>
      </c>
      <c r="AT541" s="63">
        <f>IF(NOT(AR541),IF(TRIM($H541)="","Assembly","Phantom Alt"),VLOOKUP(F541,ZPCS04!B:G,6,0))</f>
        <v>724</v>
      </c>
      <c r="AU541" s="7"/>
      <c r="AV541" s="38">
        <f ca="1">IF(TRIM($W541)="F",OFFSET($A$5,MATCH($AS541,$AS$5:$AS541,0)-1,0),$A541)</f>
        <v>541</v>
      </c>
      <c r="AW541" s="38">
        <f ca="1">IFERROR(OFFSET(ZPCS04!$A$1,MATCH(F541,ZPCS04!B:B,0)-1,0),100)</f>
        <v>1.9999999000000002</v>
      </c>
      <c r="AX541" s="7"/>
      <c r="AY541" s="6" t="b">
        <f>SUMIF(AS:AS,AS541,AP:AP)=100</f>
        <v>1</v>
      </c>
      <c r="AZ541" s="6" t="b">
        <f>SUMIF(AS:AS,AS541,AE:AE)/COUNTIF(AS:AS,AS541)=AE541</f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>C541&amp;" | "&amp;F541</f>
        <v>90MB1BJ0-C1BAY0 | 10G213820113010</v>
      </c>
      <c r="BE541" s="55" t="str">
        <f ca="1">C541&amp;" | "&amp;OFFSET($AF541,0,8-COUNTBLANK($AG541:$AN541))</f>
        <v>90MB1BJ0-C1BAY0 | 59MB1BJB-MB0A02S</v>
      </c>
      <c r="BF541" s="57">
        <f ca="1">IFERROR(VLOOKUP($BE541,$BD$5:$BF540,3,0)*$AE541,VLOOKUP($C541,Demanda!$A:$B,2,0)*$AE541)*IF(AT541="Phantom Alt",$BC541,TRUE)</f>
        <v>7000</v>
      </c>
      <c r="BG541" s="57">
        <f ca="1">BF541*(AP541/100)</f>
        <v>0</v>
      </c>
      <c r="BH541" s="57">
        <f>SUMIF(Invoice!A:A,F541,Invoice!B:B)</f>
        <v>10000</v>
      </c>
      <c r="BI541" s="57">
        <f ca="1">SUMIF(AS:AS,AS541,BG:BG)</f>
        <v>7000</v>
      </c>
      <c r="BJ541" s="57">
        <f ca="1">MIN((BI541-SUMIF($AS$5:AS540,AS541,$BJ$5:BJ540)),MAX(0,BH541-SUMIF($F$5:F540,F541,$BJ$5:BJ540)))</f>
        <v>7000</v>
      </c>
      <c r="BK541" s="57">
        <f ca="1">(-SUMIF(AS:AS,AS541,BG:BG)+SUMIF(AS:AS,AS541,BJ:BJ))*(AP541=100)*AR541</f>
        <v>0</v>
      </c>
      <c r="BL541" s="57">
        <f ca="1">MAX(0,SUMIF(Invoice!A:A,F541,Invoice!B:B)-SUMIF(F:F,F541,BJ:BJ))*(COUNTIF(F:F,F541)=COUNTIF($F$5:F541,F541))</f>
        <v>3000</v>
      </c>
    </row>
    <row r="542" spans="1:64" hidden="1">
      <c r="A542" s="43">
        <v>542</v>
      </c>
      <c r="B542" s="13" t="s">
        <v>147</v>
      </c>
      <c r="C542" s="13" t="s">
        <v>146</v>
      </c>
      <c r="D542" s="13">
        <v>2</v>
      </c>
      <c r="E542" s="13">
        <v>1900</v>
      </c>
      <c r="F542" s="71" t="s">
        <v>1317</v>
      </c>
      <c r="G542" s="71" t="s">
        <v>1318</v>
      </c>
      <c r="H542" s="13" t="s">
        <v>1316</v>
      </c>
      <c r="I542" s="13" t="s">
        <v>54</v>
      </c>
      <c r="J542" s="28">
        <v>100</v>
      </c>
      <c r="K542" s="13" t="s">
        <v>150</v>
      </c>
      <c r="L542" s="13" t="s">
        <v>53</v>
      </c>
      <c r="M542" s="13">
        <v>7</v>
      </c>
      <c r="N542" s="13">
        <v>7</v>
      </c>
      <c r="O542" s="13">
        <v>1</v>
      </c>
      <c r="P542" s="13">
        <v>2</v>
      </c>
      <c r="Q542" s="13">
        <v>1</v>
      </c>
      <c r="R542" s="13" t="s">
        <v>73</v>
      </c>
      <c r="S542" s="13" t="s">
        <v>73</v>
      </c>
      <c r="T542" s="13">
        <v>44901</v>
      </c>
      <c r="U542" s="13">
        <v>2958465</v>
      </c>
      <c r="V542" s="13" t="s">
        <v>282</v>
      </c>
      <c r="W542" s="13" t="s">
        <v>145</v>
      </c>
      <c r="Y542" s="13" t="s">
        <v>143</v>
      </c>
      <c r="Z542" s="13">
        <v>7589154</v>
      </c>
      <c r="AA542" s="13">
        <v>970</v>
      </c>
      <c r="AB542" s="13">
        <v>485</v>
      </c>
      <c r="AE542" s="51">
        <f>M542/O542</f>
        <v>7</v>
      </c>
      <c r="AG542" s="6" t="str">
        <f>C542</f>
        <v>90MB1BJ0-C1BAY0</v>
      </c>
      <c r="AH542" s="6" t="str">
        <f>IF($D542&lt;=AH$4,"",IF(AND($D541=AH$4,$D542&gt;AH$4),$F541,AH541))</f>
        <v>59MB1BJB-MB0A02S</v>
      </c>
      <c r="AI542" s="6" t="str">
        <f>IF($D542&lt;=AI$4,"",IF(AND($D541=AI$4,$D542&gt;AI$4),$F541,AI541))</f>
        <v/>
      </c>
      <c r="AJ542" s="6" t="str">
        <f>IF($D542&lt;=AJ$4,"",IF(AND($D541=AJ$4,$D542&gt;AJ$4),$F541,AJ541))</f>
        <v/>
      </c>
      <c r="AK542" s="6" t="str">
        <f>IF($D542&lt;=AK$4,"",IF(AND($D541=AK$4,$D542&gt;AK$4),$F541,AK541))</f>
        <v/>
      </c>
      <c r="AL542" s="6" t="str">
        <f>IF($D542&lt;=AL$4,"",IF(AND($D541=AL$4,$D542&gt;AL$4),$F541,AL541))</f>
        <v/>
      </c>
      <c r="AM542" s="6" t="str">
        <f>IF($D542&lt;=AM$4,"",IF(AND($D541=AM$4,$D542&gt;AM$4),$F541,AM541))</f>
        <v/>
      </c>
      <c r="AN542" s="6" t="str">
        <f>IF($D542&lt;=AN$4,"",IF(AND($D541=AN$4,$D542&gt;AN$4),$F541,AN541))</f>
        <v/>
      </c>
      <c r="AO542" s="6" t="str">
        <f>CONCATENATE(AG542," | ",AH542," | ",AI542," | ",AJ542," | ",AK542," | ",AL542," | ",AM542," | ",AN542)</f>
        <v xml:space="preserve">90MB1BJ0-C1BAY0 | 59MB1BJB-MB0A02S |  |  |  |  |  | </v>
      </c>
      <c r="AP542" s="6">
        <f>IF(TRIM(H542)="",100,J542)</f>
        <v>100</v>
      </c>
      <c r="AQ542" s="4"/>
      <c r="AR542" s="6" t="b">
        <f>NOT(TRIM(W542)&lt;&gt;"F")</f>
        <v>1</v>
      </c>
      <c r="AS542" s="6" t="str">
        <f>$B542&amp;" | "&amp;$AO542&amp;" | "&amp;IF(TRIM(H542)="","uniq"&amp;ROW(),TRIM(H542))</f>
        <v>461E | 90MB1BJ0-C1BAY0 | 59MB1BJB-MB0A02S |  |  |  |  |  |  | J0</v>
      </c>
      <c r="AT542" s="63">
        <f>IF(NOT(AR542),IF(TRIM($H542)="","Assembly","Phantom Alt"),VLOOKUP(F542,ZPCS04!B:G,6,0))</f>
        <v>724</v>
      </c>
      <c r="AU542" s="7"/>
      <c r="AV542" s="38">
        <f ca="1">IF(TRIM($W542)="F",OFFSET($A$5,MATCH($AS542,$AS$5:$AS542,0)-1,0),$A542)</f>
        <v>541</v>
      </c>
      <c r="AW542" s="38">
        <f ca="1">IFERROR(OFFSET(ZPCS04!$A$1,MATCH(F542,ZPCS04!B:B,0)-1,0),100)</f>
        <v>2</v>
      </c>
      <c r="AX542" s="7"/>
      <c r="AY542" s="6" t="b">
        <f>SUMIF(AS:AS,AS542,AP:AP)=100</f>
        <v>1</v>
      </c>
      <c r="AZ542" s="6" t="b">
        <f>SUMIF(AS:AS,AS542,AE:AE)/COUNTIF(AS:AS,AS542)=AE542</f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>C542&amp;" | "&amp;F542</f>
        <v>90MB1BJ0-C1BAY0 | 10G213820113020</v>
      </c>
      <c r="BE542" s="55" t="str">
        <f ca="1">C542&amp;" | "&amp;OFFSET($AF542,0,8-COUNTBLANK($AG542:$AN542))</f>
        <v>90MB1BJ0-C1BAY0 | 59MB1BJB-MB0A02S</v>
      </c>
      <c r="BF542" s="57">
        <f ca="1">IFERROR(VLOOKUP($BE542,$BD$5:$BF541,3,0)*$AE542,VLOOKUP($C542,Demanda!$A:$B,2,0)*$AE542)*IF(AT542="Phantom Alt",$BC542,TRUE)</f>
        <v>7000</v>
      </c>
      <c r="BG542" s="57">
        <f ca="1">BF542*(AP542/100)</f>
        <v>7000</v>
      </c>
      <c r="BH542" s="57">
        <f>SUMIF(Invoice!A:A,F542,Invoice!B:B)</f>
        <v>0</v>
      </c>
      <c r="BI542" s="57">
        <f ca="1">SUMIF(AS:AS,AS542,BG:BG)</f>
        <v>7000</v>
      </c>
      <c r="BJ542" s="57">
        <f ca="1">MIN((BI542-SUMIF($AS$5:AS541,AS542,$BJ$5:BJ541)),MAX(0,BH542-SUMIF($F$5:F541,F542,$BJ$5:BJ541)))</f>
        <v>0</v>
      </c>
      <c r="BK542" s="57">
        <f ca="1">(-SUMIF(AS:AS,AS542,BG:BG)+SUMIF(AS:AS,AS542,BJ:BJ))*(AP542=100)*AR542</f>
        <v>0</v>
      </c>
      <c r="BL542" s="57">
        <f ca="1">MAX(0,SUMIF(Invoice!A:A,F542,Invoice!B:B)-SUMIF(F:F,F542,BJ:BJ))*(COUNTIF(F:F,F542)=COUNTIF($F$5:F542,F542))</f>
        <v>0</v>
      </c>
    </row>
    <row r="543" spans="1:64" hidden="1">
      <c r="A543" s="43">
        <v>543</v>
      </c>
      <c r="B543" s="13" t="s">
        <v>147</v>
      </c>
      <c r="C543" s="13" t="s">
        <v>146</v>
      </c>
      <c r="D543" s="13">
        <v>2</v>
      </c>
      <c r="E543" s="13">
        <v>1900</v>
      </c>
      <c r="F543" s="71" t="s">
        <v>1319</v>
      </c>
      <c r="G543" s="71" t="s">
        <v>1320</v>
      </c>
      <c r="H543" s="13" t="s">
        <v>1316</v>
      </c>
      <c r="I543" s="13" t="s">
        <v>55</v>
      </c>
      <c r="J543" s="28">
        <v>0</v>
      </c>
      <c r="K543" s="13" t="s">
        <v>150</v>
      </c>
      <c r="L543" s="13" t="s">
        <v>53</v>
      </c>
      <c r="M543" s="13">
        <v>7</v>
      </c>
      <c r="O543" s="13">
        <v>1</v>
      </c>
      <c r="P543" s="13">
        <v>2</v>
      </c>
      <c r="Q543" s="13">
        <v>2</v>
      </c>
      <c r="R543" s="13" t="s">
        <v>73</v>
      </c>
      <c r="S543" s="13" t="s">
        <v>73</v>
      </c>
      <c r="T543" s="13">
        <v>44901</v>
      </c>
      <c r="U543" s="13">
        <v>2958465</v>
      </c>
      <c r="V543" s="13" t="s">
        <v>282</v>
      </c>
      <c r="W543" s="13" t="s">
        <v>145</v>
      </c>
      <c r="Y543" s="13" t="s">
        <v>143</v>
      </c>
      <c r="Z543" s="13">
        <v>7589154</v>
      </c>
      <c r="AA543" s="13">
        <v>972</v>
      </c>
      <c r="AB543" s="13">
        <v>486</v>
      </c>
      <c r="AE543" s="51">
        <f>M543/O543</f>
        <v>7</v>
      </c>
      <c r="AG543" s="6" t="str">
        <f>C543</f>
        <v>90MB1BJ0-C1BAY0</v>
      </c>
      <c r="AH543" s="6" t="str">
        <f>IF($D543&lt;=AH$4,"",IF(AND($D542=AH$4,$D543&gt;AH$4),$F542,AH542))</f>
        <v>59MB1BJB-MB0A02S</v>
      </c>
      <c r="AI543" s="6" t="str">
        <f>IF($D543&lt;=AI$4,"",IF(AND($D542=AI$4,$D543&gt;AI$4),$F542,AI542))</f>
        <v/>
      </c>
      <c r="AJ543" s="6" t="str">
        <f>IF($D543&lt;=AJ$4,"",IF(AND($D542=AJ$4,$D543&gt;AJ$4),$F542,AJ542))</f>
        <v/>
      </c>
      <c r="AK543" s="6" t="str">
        <f>IF($D543&lt;=AK$4,"",IF(AND($D542=AK$4,$D543&gt;AK$4),$F542,AK542))</f>
        <v/>
      </c>
      <c r="AL543" s="6" t="str">
        <f>IF($D543&lt;=AL$4,"",IF(AND($D542=AL$4,$D543&gt;AL$4),$F542,AL542))</f>
        <v/>
      </c>
      <c r="AM543" s="6" t="str">
        <f>IF($D543&lt;=AM$4,"",IF(AND($D542=AM$4,$D543&gt;AM$4),$F542,AM542))</f>
        <v/>
      </c>
      <c r="AN543" s="6" t="str">
        <f>IF($D543&lt;=AN$4,"",IF(AND($D542=AN$4,$D543&gt;AN$4),$F542,AN542))</f>
        <v/>
      </c>
      <c r="AO543" s="6" t="str">
        <f>CONCATENATE(AG543," | ",AH543," | ",AI543," | ",AJ543," | ",AK543," | ",AL543," | ",AM543," | ",AN543)</f>
        <v xml:space="preserve">90MB1BJ0-C1BAY0 | 59MB1BJB-MB0A02S |  |  |  |  |  | </v>
      </c>
      <c r="AP543" s="6">
        <f>IF(TRIM(H543)="",100,J543)</f>
        <v>0</v>
      </c>
      <c r="AQ543" s="4"/>
      <c r="AR543" s="6" t="b">
        <f>NOT(TRIM(W543)&lt;&gt;"F")</f>
        <v>1</v>
      </c>
      <c r="AS543" s="6" t="str">
        <f>$B543&amp;" | "&amp;$AO543&amp;" | "&amp;IF(TRIM(H543)="","uniq"&amp;ROW(),TRIM(H543))</f>
        <v>461E | 90MB1BJ0-C1BAY0 | 59MB1BJB-MB0A02S |  |  |  |  |  |  | J0</v>
      </c>
      <c r="AT543" s="63">
        <f>IF(NOT(AR543),IF(TRIM($H543)="","Assembly","Phantom Alt"),VLOOKUP(F543,ZPCS04!B:G,6,0))</f>
        <v>724</v>
      </c>
      <c r="AU543" s="7"/>
      <c r="AV543" s="38">
        <f ca="1">IF(TRIM($W543)="F",OFFSET($A$5,MATCH($AS543,$AS$5:$AS543,0)-1,0),$A543)</f>
        <v>541</v>
      </c>
      <c r="AW543" s="38">
        <f ca="1">IFERROR(OFFSET(ZPCS04!$A$1,MATCH(F543,ZPCS04!B:B,0)-1,0),100)</f>
        <v>2</v>
      </c>
      <c r="AX543" s="7"/>
      <c r="AY543" s="6" t="b">
        <f>SUMIF(AS:AS,AS543,AP:AP)=100</f>
        <v>1</v>
      </c>
      <c r="AZ543" s="6" t="b">
        <f>SUMIF(AS:AS,AS543,AE:AE)/COUNTIF(AS:AS,AS543)=AE543</f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>C543&amp;" | "&amp;F543</f>
        <v>90MB1BJ0-C1BAY0 | 10G213820113050</v>
      </c>
      <c r="BE543" s="55" t="str">
        <f ca="1">C543&amp;" | "&amp;OFFSET($AF543,0,8-COUNTBLANK($AG543:$AN543))</f>
        <v>90MB1BJ0-C1BAY0 | 59MB1BJB-MB0A02S</v>
      </c>
      <c r="BF543" s="57">
        <f ca="1">IFERROR(VLOOKUP($BE543,$BD$5:$BF542,3,0)*$AE543,VLOOKUP($C543,Demanda!$A:$B,2,0)*$AE543)*IF(AT543="Phantom Alt",$BC543,TRUE)</f>
        <v>7000</v>
      </c>
      <c r="BG543" s="57">
        <f ca="1">BF543*(AP543/100)</f>
        <v>0</v>
      </c>
      <c r="BH543" s="57">
        <f>SUMIF(Invoice!A:A,F543,Invoice!B:B)</f>
        <v>0</v>
      </c>
      <c r="BI543" s="57">
        <f ca="1">SUMIF(AS:AS,AS543,BG:BG)</f>
        <v>7000</v>
      </c>
      <c r="BJ543" s="57">
        <f ca="1">MIN((BI543-SUMIF($AS$5:AS542,AS543,$BJ$5:BJ542)),MAX(0,BH543-SUMIF($F$5:F542,F543,$BJ$5:BJ542)))</f>
        <v>0</v>
      </c>
      <c r="BK543" s="57">
        <f ca="1">(-SUMIF(AS:AS,AS543,BG:BG)+SUMIF(AS:AS,AS543,BJ:BJ))*(AP543=100)*AR543</f>
        <v>0</v>
      </c>
      <c r="BL543" s="57">
        <f ca="1">MAX(0,SUMIF(Invoice!A:A,F543,Invoice!B:B)-SUMIF(F:F,F543,BJ:BJ))*(COUNTIF(F:F,F543)=COUNTIF($F$5:F543,F543))</f>
        <v>0</v>
      </c>
    </row>
    <row r="544" spans="1:64" hidden="1">
      <c r="A544" s="43">
        <v>544</v>
      </c>
      <c r="B544" s="13" t="s">
        <v>147</v>
      </c>
      <c r="C544" s="13" t="s">
        <v>146</v>
      </c>
      <c r="D544" s="13">
        <v>2</v>
      </c>
      <c r="E544" s="13">
        <v>1910</v>
      </c>
      <c r="F544" s="71" t="s">
        <v>1321</v>
      </c>
      <c r="G544" s="71" t="s">
        <v>1322</v>
      </c>
      <c r="H544" s="13" t="s">
        <v>1323</v>
      </c>
      <c r="I544" s="13" t="s">
        <v>54</v>
      </c>
      <c r="J544" s="28">
        <v>100</v>
      </c>
      <c r="K544" s="13" t="s">
        <v>150</v>
      </c>
      <c r="L544" s="13" t="s">
        <v>53</v>
      </c>
      <c r="M544" s="13">
        <v>1</v>
      </c>
      <c r="N544" s="13">
        <v>1</v>
      </c>
      <c r="O544" s="13">
        <v>1</v>
      </c>
      <c r="P544" s="13">
        <v>2</v>
      </c>
      <c r="Q544" s="13">
        <v>1</v>
      </c>
      <c r="R544" s="13" t="s">
        <v>73</v>
      </c>
      <c r="S544" s="13" t="s">
        <v>73</v>
      </c>
      <c r="T544" s="13">
        <v>44901</v>
      </c>
      <c r="U544" s="13">
        <v>2958465</v>
      </c>
      <c r="V544" s="13" t="s">
        <v>282</v>
      </c>
      <c r="W544" s="13" t="s">
        <v>145</v>
      </c>
      <c r="Y544" s="13" t="s">
        <v>143</v>
      </c>
      <c r="Z544" s="13">
        <v>7589154</v>
      </c>
      <c r="AA544" s="13">
        <v>976</v>
      </c>
      <c r="AB544" s="13">
        <v>488</v>
      </c>
      <c r="AE544" s="51">
        <f>M544/O544</f>
        <v>1</v>
      </c>
      <c r="AG544" s="6" t="str">
        <f>C544</f>
        <v>90MB1BJ0-C1BAY0</v>
      </c>
      <c r="AH544" s="6" t="str">
        <f>IF($D544&lt;=AH$4,"",IF(AND($D543=AH$4,$D544&gt;AH$4),$F543,AH543))</f>
        <v>59MB1BJB-MB0A02S</v>
      </c>
      <c r="AI544" s="6" t="str">
        <f>IF($D544&lt;=AI$4,"",IF(AND($D543=AI$4,$D544&gt;AI$4),$F543,AI543))</f>
        <v/>
      </c>
      <c r="AJ544" s="6" t="str">
        <f>IF($D544&lt;=AJ$4,"",IF(AND($D543=AJ$4,$D544&gt;AJ$4),$F543,AJ543))</f>
        <v/>
      </c>
      <c r="AK544" s="6" t="str">
        <f>IF($D544&lt;=AK$4,"",IF(AND($D543=AK$4,$D544&gt;AK$4),$F543,AK543))</f>
        <v/>
      </c>
      <c r="AL544" s="6" t="str">
        <f>IF($D544&lt;=AL$4,"",IF(AND($D543=AL$4,$D544&gt;AL$4),$F543,AL543))</f>
        <v/>
      </c>
      <c r="AM544" s="6" t="str">
        <f>IF($D544&lt;=AM$4,"",IF(AND($D543=AM$4,$D544&gt;AM$4),$F543,AM543))</f>
        <v/>
      </c>
      <c r="AN544" s="6" t="str">
        <f>IF($D544&lt;=AN$4,"",IF(AND($D543=AN$4,$D544&gt;AN$4),$F543,AN543))</f>
        <v/>
      </c>
      <c r="AO544" s="6" t="str">
        <f>CONCATENATE(AG544," | ",AH544," | ",AI544," | ",AJ544," | ",AK544," | ",AL544," | ",AM544," | ",AN544)</f>
        <v xml:space="preserve">90MB1BJ0-C1BAY0 | 59MB1BJB-MB0A02S |  |  |  |  |  | </v>
      </c>
      <c r="AP544" s="6">
        <f>IF(TRIM(H544)="",100,J544)</f>
        <v>100</v>
      </c>
      <c r="AQ544" s="4"/>
      <c r="AR544" s="6" t="b">
        <f>NOT(TRIM(W544)&lt;&gt;"F")</f>
        <v>1</v>
      </c>
      <c r="AS544" s="6" t="str">
        <f>$B544&amp;" | "&amp;$AO544&amp;" | "&amp;IF(TRIM(H544)="","uniq"&amp;ROW(),TRIM(H544))</f>
        <v>461E | 90MB1BJ0-C1BAY0 | 59MB1BJB-MB0A02S |  |  |  |  |  |  | J1</v>
      </c>
      <c r="AT544" s="63">
        <f>IF(NOT(AR544),IF(TRIM($H544)="","Assembly","Phantom Alt"),VLOOKUP(F544,ZPCS04!B:G,6,0))</f>
        <v>1277</v>
      </c>
      <c r="AU544" s="7"/>
      <c r="AV544" s="38">
        <f ca="1">IF(TRIM($W544)="F",OFFSET($A$5,MATCH($AS544,$AS$5:$AS544,0)-1,0),$A544)</f>
        <v>544</v>
      </c>
      <c r="AW544" s="38">
        <f ca="1">IFERROR(OFFSET(ZPCS04!$A$1,MATCH(F544,ZPCS04!B:B,0)-1,0),100)</f>
        <v>1.9999999499999999</v>
      </c>
      <c r="AX544" s="7"/>
      <c r="AY544" s="6" t="b">
        <f>SUMIF(AS:AS,AS544,AP:AP)=100</f>
        <v>1</v>
      </c>
      <c r="AZ544" s="6" t="b">
        <f>SUMIF(AS:AS,AS544,AE:AE)/COUNTIF(AS:AS,AS544)=AE544</f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>C544&amp;" | "&amp;F544</f>
        <v>90MB1BJ0-C1BAY0 | 10G213953213010</v>
      </c>
      <c r="BE544" s="55" t="str">
        <f ca="1">C544&amp;" | "&amp;OFFSET($AF544,0,8-COUNTBLANK($AG544:$AN544))</f>
        <v>90MB1BJ0-C1BAY0 | 59MB1BJB-MB0A02S</v>
      </c>
      <c r="BF544" s="57">
        <f ca="1">IFERROR(VLOOKUP($BE544,$BD$5:$BF543,3,0)*$AE544,VLOOKUP($C544,Demanda!$A:$B,2,0)*$AE544)*IF(AT544="Phantom Alt",$BC544,TRUE)</f>
        <v>1000</v>
      </c>
      <c r="BG544" s="57">
        <f ca="1">BF544*(AP544/100)</f>
        <v>1000</v>
      </c>
      <c r="BH544" s="57">
        <f>SUMIF(Invoice!A:A,F544,Invoice!B:B)</f>
        <v>5000</v>
      </c>
      <c r="BI544" s="57">
        <f ca="1">SUMIF(AS:AS,AS544,BG:BG)</f>
        <v>1000</v>
      </c>
      <c r="BJ544" s="57">
        <f ca="1">MIN((BI544-SUMIF($AS$5:AS543,AS544,$BJ$5:BJ543)),MAX(0,BH544-SUMIF($F$5:F543,F544,$BJ$5:BJ543)))</f>
        <v>1000</v>
      </c>
      <c r="BK544" s="57">
        <f ca="1">(-SUMIF(AS:AS,AS544,BG:BG)+SUMIF(AS:AS,AS544,BJ:BJ))*(AP544=100)*AR544</f>
        <v>0</v>
      </c>
      <c r="BL544" s="57">
        <f ca="1">MAX(0,SUMIF(Invoice!A:A,F544,Invoice!B:B)-SUMIF(F:F,F544,BJ:BJ))*(COUNTIF(F:F,F544)=COUNTIF($F$5:F544,F544))</f>
        <v>4000</v>
      </c>
    </row>
    <row r="545" spans="1:64" hidden="1">
      <c r="A545" s="43">
        <v>545</v>
      </c>
      <c r="B545" s="13" t="s">
        <v>147</v>
      </c>
      <c r="C545" s="13" t="s">
        <v>146</v>
      </c>
      <c r="D545" s="13">
        <v>2</v>
      </c>
      <c r="E545" s="13">
        <v>1910</v>
      </c>
      <c r="F545" s="71" t="s">
        <v>1324</v>
      </c>
      <c r="G545" s="71" t="s">
        <v>1325</v>
      </c>
      <c r="H545" s="13" t="s">
        <v>1323</v>
      </c>
      <c r="I545" s="13" t="s">
        <v>55</v>
      </c>
      <c r="J545" s="28">
        <v>0</v>
      </c>
      <c r="K545" s="13" t="s">
        <v>150</v>
      </c>
      <c r="L545" s="13" t="s">
        <v>53</v>
      </c>
      <c r="M545" s="13">
        <v>1</v>
      </c>
      <c r="O545" s="13">
        <v>1</v>
      </c>
      <c r="P545" s="13">
        <v>2</v>
      </c>
      <c r="Q545" s="13">
        <v>2</v>
      </c>
      <c r="R545" s="13" t="s">
        <v>73</v>
      </c>
      <c r="S545" s="13" t="s">
        <v>73</v>
      </c>
      <c r="T545" s="13">
        <v>44901</v>
      </c>
      <c r="U545" s="13">
        <v>2958465</v>
      </c>
      <c r="V545" s="13" t="s">
        <v>282</v>
      </c>
      <c r="W545" s="13" t="s">
        <v>145</v>
      </c>
      <c r="Y545" s="13" t="s">
        <v>143</v>
      </c>
      <c r="Z545" s="13">
        <v>7589154</v>
      </c>
      <c r="AA545" s="13">
        <v>978</v>
      </c>
      <c r="AB545" s="13">
        <v>489</v>
      </c>
      <c r="AE545" s="51">
        <f>M545/O545</f>
        <v>1</v>
      </c>
      <c r="AG545" s="6" t="str">
        <f>C545</f>
        <v>90MB1BJ0-C1BAY0</v>
      </c>
      <c r="AH545" s="6" t="str">
        <f>IF($D545&lt;=AH$4,"",IF(AND($D544=AH$4,$D545&gt;AH$4),$F544,AH544))</f>
        <v>59MB1BJB-MB0A02S</v>
      </c>
      <c r="AI545" s="6" t="str">
        <f>IF($D545&lt;=AI$4,"",IF(AND($D544=AI$4,$D545&gt;AI$4),$F544,AI544))</f>
        <v/>
      </c>
      <c r="AJ545" s="6" t="str">
        <f>IF($D545&lt;=AJ$4,"",IF(AND($D544=AJ$4,$D545&gt;AJ$4),$F544,AJ544))</f>
        <v/>
      </c>
      <c r="AK545" s="6" t="str">
        <f>IF($D545&lt;=AK$4,"",IF(AND($D544=AK$4,$D545&gt;AK$4),$F544,AK544))</f>
        <v/>
      </c>
      <c r="AL545" s="6" t="str">
        <f>IF($D545&lt;=AL$4,"",IF(AND($D544=AL$4,$D545&gt;AL$4),$F544,AL544))</f>
        <v/>
      </c>
      <c r="AM545" s="6" t="str">
        <f>IF($D545&lt;=AM$4,"",IF(AND($D544=AM$4,$D545&gt;AM$4),$F544,AM544))</f>
        <v/>
      </c>
      <c r="AN545" s="6" t="str">
        <f>IF($D545&lt;=AN$4,"",IF(AND($D544=AN$4,$D545&gt;AN$4),$F544,AN544))</f>
        <v/>
      </c>
      <c r="AO545" s="6" t="str">
        <f>CONCATENATE(AG545," | ",AH545," | ",AI545," | ",AJ545," | ",AK545," | ",AL545," | ",AM545," | ",AN545)</f>
        <v xml:space="preserve">90MB1BJ0-C1BAY0 | 59MB1BJB-MB0A02S |  |  |  |  |  | </v>
      </c>
      <c r="AP545" s="6">
        <f>IF(TRIM(H545)="",100,J545)</f>
        <v>0</v>
      </c>
      <c r="AQ545" s="4"/>
      <c r="AR545" s="6" t="b">
        <f>NOT(TRIM(W545)&lt;&gt;"F")</f>
        <v>1</v>
      </c>
      <c r="AS545" s="6" t="str">
        <f>$B545&amp;" | "&amp;$AO545&amp;" | "&amp;IF(TRIM(H545)="","uniq"&amp;ROW(),TRIM(H545))</f>
        <v>461E | 90MB1BJ0-C1BAY0 | 59MB1BJB-MB0A02S |  |  |  |  |  |  | J1</v>
      </c>
      <c r="AT545" s="63">
        <f>IF(NOT(AR545),IF(TRIM($H545)="","Assembly","Phantom Alt"),VLOOKUP(F545,ZPCS04!B:G,6,0))</f>
        <v>1277</v>
      </c>
      <c r="AU545" s="7"/>
      <c r="AV545" s="38">
        <f ca="1">IF(TRIM($W545)="F",OFFSET($A$5,MATCH($AS545,$AS$5:$AS545,0)-1,0),$A545)</f>
        <v>544</v>
      </c>
      <c r="AW545" s="38">
        <f ca="1">IFERROR(OFFSET(ZPCS04!$A$1,MATCH(F545,ZPCS04!B:B,0)-1,0),100)</f>
        <v>2</v>
      </c>
      <c r="AX545" s="7"/>
      <c r="AY545" s="6" t="b">
        <f>SUMIF(AS:AS,AS545,AP:AP)=100</f>
        <v>1</v>
      </c>
      <c r="AZ545" s="6" t="b">
        <f>SUMIF(AS:AS,AS545,AE:AE)/COUNTIF(AS:AS,AS545)=AE545</f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>C545&amp;" | "&amp;F545</f>
        <v>90MB1BJ0-C1BAY0 | 10G213953213020</v>
      </c>
      <c r="BE545" s="55" t="str">
        <f ca="1">C545&amp;" | "&amp;OFFSET($AF545,0,8-COUNTBLANK($AG545:$AN545))</f>
        <v>90MB1BJ0-C1BAY0 | 59MB1BJB-MB0A02S</v>
      </c>
      <c r="BF545" s="57">
        <f ca="1">IFERROR(VLOOKUP($BE545,$BD$5:$BF544,3,0)*$AE545,VLOOKUP($C545,Demanda!$A:$B,2,0)*$AE545)*IF(AT545="Phantom Alt",$BC545,TRUE)</f>
        <v>1000</v>
      </c>
      <c r="BG545" s="57">
        <f ca="1">BF545*(AP545/100)</f>
        <v>0</v>
      </c>
      <c r="BH545" s="57">
        <f>SUMIF(Invoice!A:A,F545,Invoice!B:B)</f>
        <v>0</v>
      </c>
      <c r="BI545" s="57">
        <f ca="1">SUMIF(AS:AS,AS545,BG:BG)</f>
        <v>1000</v>
      </c>
      <c r="BJ545" s="57">
        <f ca="1">MIN((BI545-SUMIF($AS$5:AS544,AS545,$BJ$5:BJ544)),MAX(0,BH545-SUMIF($F$5:F544,F545,$BJ$5:BJ544)))</f>
        <v>0</v>
      </c>
      <c r="BK545" s="57">
        <f ca="1">(-SUMIF(AS:AS,AS545,BG:BG)+SUMIF(AS:AS,AS545,BJ:BJ))*(AP545=100)*AR545</f>
        <v>0</v>
      </c>
      <c r="BL545" s="57">
        <f ca="1">MAX(0,SUMIF(Invoice!A:A,F545,Invoice!B:B)-SUMIF(F:F,F545,BJ:BJ))*(COUNTIF(F:F,F545)=COUNTIF($F$5:F545,F545))</f>
        <v>0</v>
      </c>
    </row>
    <row r="546" spans="1:64" hidden="1">
      <c r="A546" s="43">
        <v>546</v>
      </c>
      <c r="B546" s="13" t="s">
        <v>147</v>
      </c>
      <c r="C546" s="13" t="s">
        <v>146</v>
      </c>
      <c r="D546" s="13">
        <v>2</v>
      </c>
      <c r="E546" s="13">
        <v>1910</v>
      </c>
      <c r="F546" s="71" t="s">
        <v>1326</v>
      </c>
      <c r="G546" s="71" t="s">
        <v>1327</v>
      </c>
      <c r="H546" s="13" t="s">
        <v>1323</v>
      </c>
      <c r="I546" s="13" t="s">
        <v>55</v>
      </c>
      <c r="J546" s="28">
        <v>0</v>
      </c>
      <c r="K546" s="13" t="s">
        <v>150</v>
      </c>
      <c r="L546" s="13" t="s">
        <v>53</v>
      </c>
      <c r="M546" s="13">
        <v>1</v>
      </c>
      <c r="O546" s="13">
        <v>1</v>
      </c>
      <c r="P546" s="13">
        <v>2</v>
      </c>
      <c r="Q546" s="13">
        <v>3</v>
      </c>
      <c r="R546" s="13" t="s">
        <v>73</v>
      </c>
      <c r="S546" s="13" t="s">
        <v>73</v>
      </c>
      <c r="T546" s="13">
        <v>44901</v>
      </c>
      <c r="U546" s="13">
        <v>2958465</v>
      </c>
      <c r="V546" s="13" t="s">
        <v>282</v>
      </c>
      <c r="W546" s="13" t="s">
        <v>145</v>
      </c>
      <c r="Y546" s="13" t="s">
        <v>143</v>
      </c>
      <c r="Z546" s="13">
        <v>7589154</v>
      </c>
      <c r="AA546" s="13">
        <v>980</v>
      </c>
      <c r="AB546" s="13">
        <v>490</v>
      </c>
      <c r="AE546" s="51">
        <f>M546/O546</f>
        <v>1</v>
      </c>
      <c r="AG546" s="6" t="str">
        <f>C546</f>
        <v>90MB1BJ0-C1BAY0</v>
      </c>
      <c r="AH546" s="6" t="str">
        <f>IF($D546&lt;=AH$4,"",IF(AND($D545=AH$4,$D546&gt;AH$4),$F545,AH545))</f>
        <v>59MB1BJB-MB0A02S</v>
      </c>
      <c r="AI546" s="6" t="str">
        <f>IF($D546&lt;=AI$4,"",IF(AND($D545=AI$4,$D546&gt;AI$4),$F545,AI545))</f>
        <v/>
      </c>
      <c r="AJ546" s="6" t="str">
        <f>IF($D546&lt;=AJ$4,"",IF(AND($D545=AJ$4,$D546&gt;AJ$4),$F545,AJ545))</f>
        <v/>
      </c>
      <c r="AK546" s="6" t="str">
        <f>IF($D546&lt;=AK$4,"",IF(AND($D545=AK$4,$D546&gt;AK$4),$F545,AK545))</f>
        <v/>
      </c>
      <c r="AL546" s="6" t="str">
        <f>IF($D546&lt;=AL$4,"",IF(AND($D545=AL$4,$D546&gt;AL$4),$F545,AL545))</f>
        <v/>
      </c>
      <c r="AM546" s="6" t="str">
        <f>IF($D546&lt;=AM$4,"",IF(AND($D545=AM$4,$D546&gt;AM$4),$F545,AM545))</f>
        <v/>
      </c>
      <c r="AN546" s="6" t="str">
        <f>IF($D546&lt;=AN$4,"",IF(AND($D545=AN$4,$D546&gt;AN$4),$F545,AN545))</f>
        <v/>
      </c>
      <c r="AO546" s="6" t="str">
        <f>CONCATENATE(AG546," | ",AH546," | ",AI546," | ",AJ546," | ",AK546," | ",AL546," | ",AM546," | ",AN546)</f>
        <v xml:space="preserve">90MB1BJ0-C1BAY0 | 59MB1BJB-MB0A02S |  |  |  |  |  | </v>
      </c>
      <c r="AP546" s="6">
        <f>IF(TRIM(H546)="",100,J546)</f>
        <v>0</v>
      </c>
      <c r="AQ546" s="4"/>
      <c r="AR546" s="6" t="b">
        <f>NOT(TRIM(W546)&lt;&gt;"F")</f>
        <v>1</v>
      </c>
      <c r="AS546" s="6" t="str">
        <f>$B546&amp;" | "&amp;$AO546&amp;" | "&amp;IF(TRIM(H546)="","uniq"&amp;ROW(),TRIM(H546))</f>
        <v>461E | 90MB1BJ0-C1BAY0 | 59MB1BJB-MB0A02S |  |  |  |  |  |  | J1</v>
      </c>
      <c r="AT546" s="63">
        <f>IF(NOT(AR546),IF(TRIM($H546)="","Assembly","Phantom Alt"),VLOOKUP(F546,ZPCS04!B:G,6,0))</f>
        <v>1277</v>
      </c>
      <c r="AU546" s="7"/>
      <c r="AV546" s="38">
        <f ca="1">IF(TRIM($W546)="F",OFFSET($A$5,MATCH($AS546,$AS$5:$AS546,0)-1,0),$A546)</f>
        <v>544</v>
      </c>
      <c r="AW546" s="38">
        <f ca="1">IFERROR(OFFSET(ZPCS04!$A$1,MATCH(F546,ZPCS04!B:B,0)-1,0),100)</f>
        <v>2</v>
      </c>
      <c r="AX546" s="7"/>
      <c r="AY546" s="6" t="b">
        <f>SUMIF(AS:AS,AS546,AP:AP)=100</f>
        <v>1</v>
      </c>
      <c r="AZ546" s="6" t="b">
        <f>SUMIF(AS:AS,AS546,AE:AE)/COUNTIF(AS:AS,AS546)=AE546</f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>C546&amp;" | "&amp;F546</f>
        <v>90MB1BJ0-C1BAY0 | 10G213953213050</v>
      </c>
      <c r="BE546" s="55" t="str">
        <f ca="1">C546&amp;" | "&amp;OFFSET($AF546,0,8-COUNTBLANK($AG546:$AN546))</f>
        <v>90MB1BJ0-C1BAY0 | 59MB1BJB-MB0A02S</v>
      </c>
      <c r="BF546" s="57">
        <f ca="1">IFERROR(VLOOKUP($BE546,$BD$5:$BF545,3,0)*$AE546,VLOOKUP($C546,Demanda!$A:$B,2,0)*$AE546)*IF(AT546="Phantom Alt",$BC546,TRUE)</f>
        <v>1000</v>
      </c>
      <c r="BG546" s="57">
        <f ca="1">BF546*(AP546/100)</f>
        <v>0</v>
      </c>
      <c r="BH546" s="57">
        <f>SUMIF(Invoice!A:A,F546,Invoice!B:B)</f>
        <v>0</v>
      </c>
      <c r="BI546" s="57">
        <f ca="1">SUMIF(AS:AS,AS546,BG:BG)</f>
        <v>1000</v>
      </c>
      <c r="BJ546" s="57">
        <f ca="1">MIN((BI546-SUMIF($AS$5:AS545,AS546,$BJ$5:BJ545)),MAX(0,BH546-SUMIF($F$5:F545,F546,$BJ$5:BJ545)))</f>
        <v>0</v>
      </c>
      <c r="BK546" s="57">
        <f ca="1">(-SUMIF(AS:AS,AS546,BG:BG)+SUMIF(AS:AS,AS546,BJ:BJ))*(AP546=100)*AR546</f>
        <v>0</v>
      </c>
      <c r="BL546" s="57">
        <f ca="1">MAX(0,SUMIF(Invoice!A:A,F546,Invoice!B:B)-SUMIF(F:F,F546,BJ:BJ))*(COUNTIF(F:F,F546)=COUNTIF($F$5:F546,F546))</f>
        <v>0</v>
      </c>
    </row>
    <row r="547" spans="1:64" hidden="1">
      <c r="A547" s="43">
        <v>547</v>
      </c>
      <c r="B547" s="13" t="s">
        <v>147</v>
      </c>
      <c r="C547" s="13" t="s">
        <v>146</v>
      </c>
      <c r="D547" s="13">
        <v>2</v>
      </c>
      <c r="E547" s="13">
        <v>1920</v>
      </c>
      <c r="F547" s="71" t="s">
        <v>1328</v>
      </c>
      <c r="G547" s="71" t="s">
        <v>1329</v>
      </c>
      <c r="H547" s="13" t="s">
        <v>1330</v>
      </c>
      <c r="I547" s="13" t="s">
        <v>55</v>
      </c>
      <c r="J547" s="28">
        <v>0</v>
      </c>
      <c r="K547" s="13" t="s">
        <v>489</v>
      </c>
      <c r="L547" s="13" t="s">
        <v>53</v>
      </c>
      <c r="M547" s="13">
        <v>3</v>
      </c>
      <c r="O547" s="13">
        <v>1</v>
      </c>
      <c r="P547" s="13">
        <v>2</v>
      </c>
      <c r="Q547" s="13">
        <v>3</v>
      </c>
      <c r="R547" s="13" t="s">
        <v>122</v>
      </c>
      <c r="S547" s="13" t="s">
        <v>122</v>
      </c>
      <c r="T547" s="13">
        <v>44901</v>
      </c>
      <c r="U547" s="13">
        <v>2958465</v>
      </c>
      <c r="V547" s="13" t="s">
        <v>282</v>
      </c>
      <c r="W547" s="13" t="s">
        <v>145</v>
      </c>
      <c r="Y547" s="13" t="s">
        <v>143</v>
      </c>
      <c r="Z547" s="13">
        <v>7589154</v>
      </c>
      <c r="AA547" s="13">
        <v>986</v>
      </c>
      <c r="AB547" s="13">
        <v>493</v>
      </c>
      <c r="AE547" s="51">
        <f>M547/O547</f>
        <v>3</v>
      </c>
      <c r="AG547" s="6" t="str">
        <f>C547</f>
        <v>90MB1BJ0-C1BAY0</v>
      </c>
      <c r="AH547" s="6" t="str">
        <f>IF($D547&lt;=AH$4,"",IF(AND($D546=AH$4,$D547&gt;AH$4),$F546,AH546))</f>
        <v>59MB1BJB-MB0A02S</v>
      </c>
      <c r="AI547" s="6" t="str">
        <f>IF($D547&lt;=AI$4,"",IF(AND($D546=AI$4,$D547&gt;AI$4),$F546,AI546))</f>
        <v/>
      </c>
      <c r="AJ547" s="6" t="str">
        <f>IF($D547&lt;=AJ$4,"",IF(AND($D546=AJ$4,$D547&gt;AJ$4),$F546,AJ546))</f>
        <v/>
      </c>
      <c r="AK547" s="6" t="str">
        <f>IF($D547&lt;=AK$4,"",IF(AND($D546=AK$4,$D547&gt;AK$4),$F546,AK546))</f>
        <v/>
      </c>
      <c r="AL547" s="6" t="str">
        <f>IF($D547&lt;=AL$4,"",IF(AND($D546=AL$4,$D547&gt;AL$4),$F546,AL546))</f>
        <v/>
      </c>
      <c r="AM547" s="6" t="str">
        <f>IF($D547&lt;=AM$4,"",IF(AND($D546=AM$4,$D547&gt;AM$4),$F546,AM546))</f>
        <v/>
      </c>
      <c r="AN547" s="6" t="str">
        <f>IF($D547&lt;=AN$4,"",IF(AND($D546=AN$4,$D547&gt;AN$4),$F546,AN546))</f>
        <v/>
      </c>
      <c r="AO547" s="6" t="str">
        <f>CONCATENATE(AG547," | ",AH547," | ",AI547," | ",AJ547," | ",AK547," | ",AL547," | ",AM547," | ",AN547)</f>
        <v xml:space="preserve">90MB1BJ0-C1BAY0 | 59MB1BJB-MB0A02S |  |  |  |  |  | </v>
      </c>
      <c r="AP547" s="6">
        <f>IF(TRIM(H547)="",100,J547)</f>
        <v>0</v>
      </c>
      <c r="AQ547" s="4"/>
      <c r="AR547" s="6" t="b">
        <f>NOT(TRIM(W547)&lt;&gt;"F")</f>
        <v>1</v>
      </c>
      <c r="AS547" s="6" t="str">
        <f>$B547&amp;" | "&amp;$AO547&amp;" | "&amp;IF(TRIM(H547)="","uniq"&amp;ROW(),TRIM(H547))</f>
        <v>461E | 90MB1BJ0-C1BAY0 | 59MB1BJB-MB0A02S |  |  |  |  |  |  | J2</v>
      </c>
      <c r="AT547" s="63">
        <f>IF(NOT(AR547),IF(TRIM($H547)="","Assembly","Phantom Alt"),VLOOKUP(F547,ZPCS04!B:G,6,0))</f>
        <v>876</v>
      </c>
      <c r="AU547" s="7"/>
      <c r="AV547" s="38">
        <f ca="1">IF(TRIM($W547)="F",OFFSET($A$5,MATCH($AS547,$AS$5:$AS547,0)-1,0),$A547)</f>
        <v>547</v>
      </c>
      <c r="AW547" s="38">
        <f ca="1">IFERROR(OFFSET(ZPCS04!$A$1,MATCH(F547,ZPCS04!B:B,0)-1,0),100)</f>
        <v>1.9999999499999999</v>
      </c>
      <c r="AX547" s="7"/>
      <c r="AY547" s="6" t="b">
        <f>SUMIF(AS:AS,AS547,AP:AP)=100</f>
        <v>1</v>
      </c>
      <c r="AZ547" s="6" t="b">
        <f>SUMIF(AS:AS,AS547,AE:AE)/COUNTIF(AS:AS,AS547)=AE547</f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>C547&amp;" | "&amp;F547</f>
        <v>90MB1BJ0-C1BAY0 | 10G215000002010</v>
      </c>
      <c r="BE547" s="55" t="str">
        <f ca="1">C547&amp;" | "&amp;OFFSET($AF547,0,8-COUNTBLANK($AG547:$AN547))</f>
        <v>90MB1BJ0-C1BAY0 | 59MB1BJB-MB0A02S</v>
      </c>
      <c r="BF547" s="57">
        <f ca="1">IFERROR(VLOOKUP($BE547,$BD$5:$BF546,3,0)*$AE547,VLOOKUP($C547,Demanda!$A:$B,2,0)*$AE547)*IF(AT547="Phantom Alt",$BC547,TRUE)</f>
        <v>3000</v>
      </c>
      <c r="BG547" s="57">
        <f ca="1">BF547*(AP547/100)</f>
        <v>0</v>
      </c>
      <c r="BH547" s="57">
        <f>SUMIF(Invoice!A:A,F547,Invoice!B:B)</f>
        <v>5000</v>
      </c>
      <c r="BI547" s="57">
        <f ca="1">SUMIF(AS:AS,AS547,BG:BG)</f>
        <v>3000</v>
      </c>
      <c r="BJ547" s="57">
        <f ca="1">MIN((BI547-SUMIF($AS$5:AS546,AS547,$BJ$5:BJ546)),MAX(0,BH547-SUMIF($F$5:F546,F547,$BJ$5:BJ546)))</f>
        <v>3000</v>
      </c>
      <c r="BK547" s="57">
        <f ca="1">(-SUMIF(AS:AS,AS547,BG:BG)+SUMIF(AS:AS,AS547,BJ:BJ))*(AP547=100)*AR547</f>
        <v>0</v>
      </c>
      <c r="BL547" s="57">
        <f ca="1">MAX(0,SUMIF(Invoice!A:A,F547,Invoice!B:B)-SUMIF(F:F,F547,BJ:BJ))*(COUNTIF(F:F,F547)=COUNTIF($F$5:F547,F547))</f>
        <v>2000</v>
      </c>
    </row>
    <row r="548" spans="1:64" hidden="1">
      <c r="A548" s="43">
        <v>548</v>
      </c>
      <c r="B548" s="13" t="s">
        <v>147</v>
      </c>
      <c r="C548" s="13" t="s">
        <v>146</v>
      </c>
      <c r="D548" s="13">
        <v>2</v>
      </c>
      <c r="E548" s="13">
        <v>1920</v>
      </c>
      <c r="F548" s="71" t="s">
        <v>1331</v>
      </c>
      <c r="G548" s="71" t="s">
        <v>1332</v>
      </c>
      <c r="H548" s="13" t="s">
        <v>1330</v>
      </c>
      <c r="I548" s="13" t="s">
        <v>54</v>
      </c>
      <c r="J548" s="28">
        <v>100</v>
      </c>
      <c r="K548" s="13" t="s">
        <v>489</v>
      </c>
      <c r="L548" s="13" t="s">
        <v>53</v>
      </c>
      <c r="M548" s="13">
        <v>3</v>
      </c>
      <c r="N548" s="13">
        <v>3</v>
      </c>
      <c r="O548" s="13">
        <v>1</v>
      </c>
      <c r="P548" s="13">
        <v>2</v>
      </c>
      <c r="Q548" s="13">
        <v>1</v>
      </c>
      <c r="R548" s="13" t="s">
        <v>122</v>
      </c>
      <c r="S548" s="13" t="s">
        <v>122</v>
      </c>
      <c r="T548" s="13">
        <v>44901</v>
      </c>
      <c r="U548" s="13">
        <v>2958465</v>
      </c>
      <c r="V548" s="13" t="s">
        <v>282</v>
      </c>
      <c r="W548" s="13" t="s">
        <v>145</v>
      </c>
      <c r="Y548" s="13" t="s">
        <v>143</v>
      </c>
      <c r="Z548" s="13">
        <v>7589154</v>
      </c>
      <c r="AA548" s="13">
        <v>982</v>
      </c>
      <c r="AB548" s="13">
        <v>491</v>
      </c>
      <c r="AE548" s="51">
        <f>M548/O548</f>
        <v>3</v>
      </c>
      <c r="AG548" s="6" t="str">
        <f>C548</f>
        <v>90MB1BJ0-C1BAY0</v>
      </c>
      <c r="AH548" s="6" t="str">
        <f>IF($D548&lt;=AH$4,"",IF(AND($D547=AH$4,$D548&gt;AH$4),$F547,AH547))</f>
        <v>59MB1BJB-MB0A02S</v>
      </c>
      <c r="AI548" s="6" t="str">
        <f>IF($D548&lt;=AI$4,"",IF(AND($D547=AI$4,$D548&gt;AI$4),$F547,AI547))</f>
        <v/>
      </c>
      <c r="AJ548" s="6" t="str">
        <f>IF($D548&lt;=AJ$4,"",IF(AND($D547=AJ$4,$D548&gt;AJ$4),$F547,AJ547))</f>
        <v/>
      </c>
      <c r="AK548" s="6" t="str">
        <f>IF($D548&lt;=AK$4,"",IF(AND($D547=AK$4,$D548&gt;AK$4),$F547,AK547))</f>
        <v/>
      </c>
      <c r="AL548" s="6" t="str">
        <f>IF($D548&lt;=AL$4,"",IF(AND($D547=AL$4,$D548&gt;AL$4),$F547,AL547))</f>
        <v/>
      </c>
      <c r="AM548" s="6" t="str">
        <f>IF($D548&lt;=AM$4,"",IF(AND($D547=AM$4,$D548&gt;AM$4),$F547,AM547))</f>
        <v/>
      </c>
      <c r="AN548" s="6" t="str">
        <f>IF($D548&lt;=AN$4,"",IF(AND($D547=AN$4,$D548&gt;AN$4),$F547,AN547))</f>
        <v/>
      </c>
      <c r="AO548" s="6" t="str">
        <f>CONCATENATE(AG548," | ",AH548," | ",AI548," | ",AJ548," | ",AK548," | ",AL548," | ",AM548," | ",AN548)</f>
        <v xml:space="preserve">90MB1BJ0-C1BAY0 | 59MB1BJB-MB0A02S |  |  |  |  |  | </v>
      </c>
      <c r="AP548" s="6">
        <f>IF(TRIM(H548)="",100,J548)</f>
        <v>100</v>
      </c>
      <c r="AQ548" s="4"/>
      <c r="AR548" s="6" t="b">
        <f>NOT(TRIM(W548)&lt;&gt;"F")</f>
        <v>1</v>
      </c>
      <c r="AS548" s="6" t="str">
        <f>$B548&amp;" | "&amp;$AO548&amp;" | "&amp;IF(TRIM(H548)="","uniq"&amp;ROW(),TRIM(H548))</f>
        <v>461E | 90MB1BJ0-C1BAY0 | 59MB1BJB-MB0A02S |  |  |  |  |  |  | J2</v>
      </c>
      <c r="AT548" s="63">
        <f>IF(NOT(AR548),IF(TRIM($H548)="","Assembly","Phantom Alt"),VLOOKUP(F548,ZPCS04!B:G,6,0))</f>
        <v>876</v>
      </c>
      <c r="AU548" s="7"/>
      <c r="AV548" s="38">
        <f ca="1">IF(TRIM($W548)="F",OFFSET($A$5,MATCH($AS548,$AS$5:$AS548,0)-1,0),$A548)</f>
        <v>547</v>
      </c>
      <c r="AW548" s="38">
        <f ca="1">IFERROR(OFFSET(ZPCS04!$A$1,MATCH(F548,ZPCS04!B:B,0)-1,0),100)</f>
        <v>2</v>
      </c>
      <c r="AX548" s="7"/>
      <c r="AY548" s="6" t="b">
        <f>SUMIF(AS:AS,AS548,AP:AP)=100</f>
        <v>1</v>
      </c>
      <c r="AZ548" s="6" t="b">
        <f>SUMIF(AS:AS,AS548,AE:AE)/COUNTIF(AS:AS,AS548)=AE548</f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>C548&amp;" | "&amp;F548</f>
        <v>90MB1BJ0-C1BAY0 | 10G215000002020</v>
      </c>
      <c r="BE548" s="55" t="str">
        <f ca="1">C548&amp;" | "&amp;OFFSET($AF548,0,8-COUNTBLANK($AG548:$AN548))</f>
        <v>90MB1BJ0-C1BAY0 | 59MB1BJB-MB0A02S</v>
      </c>
      <c r="BF548" s="57">
        <f ca="1">IFERROR(VLOOKUP($BE548,$BD$5:$BF547,3,0)*$AE548,VLOOKUP($C548,Demanda!$A:$B,2,0)*$AE548)*IF(AT548="Phantom Alt",$BC548,TRUE)</f>
        <v>3000</v>
      </c>
      <c r="BG548" s="57">
        <f ca="1">BF548*(AP548/100)</f>
        <v>3000</v>
      </c>
      <c r="BH548" s="57">
        <f>SUMIF(Invoice!A:A,F548,Invoice!B:B)</f>
        <v>0</v>
      </c>
      <c r="BI548" s="57">
        <f ca="1">SUMIF(AS:AS,AS548,BG:BG)</f>
        <v>3000</v>
      </c>
      <c r="BJ548" s="57">
        <f ca="1">MIN((BI548-SUMIF($AS$5:AS547,AS548,$BJ$5:BJ547)),MAX(0,BH548-SUMIF($F$5:F547,F548,$BJ$5:BJ547)))</f>
        <v>0</v>
      </c>
      <c r="BK548" s="57">
        <f ca="1">(-SUMIF(AS:AS,AS548,BG:BG)+SUMIF(AS:AS,AS548,BJ:BJ))*(AP548=100)*AR548</f>
        <v>0</v>
      </c>
      <c r="BL548" s="57">
        <f ca="1">MAX(0,SUMIF(Invoice!A:A,F548,Invoice!B:B)-SUMIF(F:F,F548,BJ:BJ))*(COUNTIF(F:F,F548)=COUNTIF($F$5:F548,F548))</f>
        <v>0</v>
      </c>
    </row>
    <row r="549" spans="1:64" hidden="1">
      <c r="A549" s="43">
        <v>549</v>
      </c>
      <c r="B549" s="13" t="s">
        <v>147</v>
      </c>
      <c r="C549" s="13" t="s">
        <v>146</v>
      </c>
      <c r="D549" s="13">
        <v>2</v>
      </c>
      <c r="E549" s="13">
        <v>1920</v>
      </c>
      <c r="F549" s="71" t="s">
        <v>1333</v>
      </c>
      <c r="G549" s="71" t="s">
        <v>1334</v>
      </c>
      <c r="H549" s="13" t="s">
        <v>1330</v>
      </c>
      <c r="I549" s="13" t="s">
        <v>55</v>
      </c>
      <c r="J549" s="28">
        <v>0</v>
      </c>
      <c r="K549" s="13" t="s">
        <v>150</v>
      </c>
      <c r="L549" s="13" t="s">
        <v>53</v>
      </c>
      <c r="M549" s="13">
        <v>3</v>
      </c>
      <c r="O549" s="13">
        <v>1</v>
      </c>
      <c r="P549" s="13">
        <v>2</v>
      </c>
      <c r="Q549" s="13">
        <v>2</v>
      </c>
      <c r="R549" s="13" t="s">
        <v>73</v>
      </c>
      <c r="S549" s="13" t="s">
        <v>73</v>
      </c>
      <c r="T549" s="13">
        <v>44901</v>
      </c>
      <c r="U549" s="13">
        <v>2958465</v>
      </c>
      <c r="V549" s="13" t="s">
        <v>282</v>
      </c>
      <c r="W549" s="13" t="s">
        <v>145</v>
      </c>
      <c r="Y549" s="13" t="s">
        <v>143</v>
      </c>
      <c r="Z549" s="13">
        <v>7589154</v>
      </c>
      <c r="AA549" s="13">
        <v>984</v>
      </c>
      <c r="AB549" s="13">
        <v>492</v>
      </c>
      <c r="AE549" s="51">
        <f>M549/O549</f>
        <v>3</v>
      </c>
      <c r="AG549" s="6" t="str">
        <f>C549</f>
        <v>90MB1BJ0-C1BAY0</v>
      </c>
      <c r="AH549" s="6" t="str">
        <f>IF($D549&lt;=AH$4,"",IF(AND($D548=AH$4,$D549&gt;AH$4),$F548,AH548))</f>
        <v>59MB1BJB-MB0A02S</v>
      </c>
      <c r="AI549" s="6" t="str">
        <f>IF($D549&lt;=AI$4,"",IF(AND($D548=AI$4,$D549&gt;AI$4),$F548,AI548))</f>
        <v/>
      </c>
      <c r="AJ549" s="6" t="str">
        <f>IF($D549&lt;=AJ$4,"",IF(AND($D548=AJ$4,$D549&gt;AJ$4),$F548,AJ548))</f>
        <v/>
      </c>
      <c r="AK549" s="6" t="str">
        <f>IF($D549&lt;=AK$4,"",IF(AND($D548=AK$4,$D549&gt;AK$4),$F548,AK548))</f>
        <v/>
      </c>
      <c r="AL549" s="6" t="str">
        <f>IF($D549&lt;=AL$4,"",IF(AND($D548=AL$4,$D549&gt;AL$4),$F548,AL548))</f>
        <v/>
      </c>
      <c r="AM549" s="6" t="str">
        <f>IF($D549&lt;=AM$4,"",IF(AND($D548=AM$4,$D549&gt;AM$4),$F548,AM548))</f>
        <v/>
      </c>
      <c r="AN549" s="6" t="str">
        <f>IF($D549&lt;=AN$4,"",IF(AND($D548=AN$4,$D549&gt;AN$4),$F548,AN548))</f>
        <v/>
      </c>
      <c r="AO549" s="6" t="str">
        <f>CONCATENATE(AG549," | ",AH549," | ",AI549," | ",AJ549," | ",AK549," | ",AL549," | ",AM549," | ",AN549)</f>
        <v xml:space="preserve">90MB1BJ0-C1BAY0 | 59MB1BJB-MB0A02S |  |  |  |  |  | </v>
      </c>
      <c r="AP549" s="6">
        <f>IF(TRIM(H549)="",100,J549)</f>
        <v>0</v>
      </c>
      <c r="AQ549" s="4"/>
      <c r="AR549" s="6" t="b">
        <f>NOT(TRIM(W549)&lt;&gt;"F")</f>
        <v>1</v>
      </c>
      <c r="AS549" s="6" t="str">
        <f>$B549&amp;" | "&amp;$AO549&amp;" | "&amp;IF(TRIM(H549)="","uniq"&amp;ROW(),TRIM(H549))</f>
        <v>461E | 90MB1BJ0-C1BAY0 | 59MB1BJB-MB0A02S |  |  |  |  |  |  | J2</v>
      </c>
      <c r="AT549" s="63">
        <f>IF(NOT(AR549),IF(TRIM($H549)="","Assembly","Phantom Alt"),VLOOKUP(F549,ZPCS04!B:G,6,0))</f>
        <v>876</v>
      </c>
      <c r="AU549" s="7"/>
      <c r="AV549" s="38">
        <f ca="1">IF(TRIM($W549)="F",OFFSET($A$5,MATCH($AS549,$AS$5:$AS549,0)-1,0),$A549)</f>
        <v>547</v>
      </c>
      <c r="AW549" s="38">
        <f ca="1">IFERROR(OFFSET(ZPCS04!$A$1,MATCH(F549,ZPCS04!B:B,0)-1,0),100)</f>
        <v>2</v>
      </c>
      <c r="AX549" s="7"/>
      <c r="AY549" s="6" t="b">
        <f>SUMIF(AS:AS,AS549,AP:AP)=100</f>
        <v>1</v>
      </c>
      <c r="AZ549" s="6" t="b">
        <f>SUMIF(AS:AS,AS549,AE:AE)/COUNTIF(AS:AS,AS549)=AE549</f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>C549&amp;" | "&amp;F549</f>
        <v>90MB1BJ0-C1BAY0 | 10G215000002050</v>
      </c>
      <c r="BE549" s="55" t="str">
        <f ca="1">C549&amp;" | "&amp;OFFSET($AF549,0,8-COUNTBLANK($AG549:$AN549))</f>
        <v>90MB1BJ0-C1BAY0 | 59MB1BJB-MB0A02S</v>
      </c>
      <c r="BF549" s="57">
        <f ca="1">IFERROR(VLOOKUP($BE549,$BD$5:$BF548,3,0)*$AE549,VLOOKUP($C549,Demanda!$A:$B,2,0)*$AE549)*IF(AT549="Phantom Alt",$BC549,TRUE)</f>
        <v>3000</v>
      </c>
      <c r="BG549" s="57">
        <f ca="1">BF549*(AP549/100)</f>
        <v>0</v>
      </c>
      <c r="BH549" s="57">
        <f>SUMIF(Invoice!A:A,F549,Invoice!B:B)</f>
        <v>0</v>
      </c>
      <c r="BI549" s="57">
        <f ca="1">SUMIF(AS:AS,AS549,BG:BG)</f>
        <v>3000</v>
      </c>
      <c r="BJ549" s="57">
        <f ca="1">MIN((BI549-SUMIF($AS$5:AS548,AS549,$BJ$5:BJ548)),MAX(0,BH549-SUMIF($F$5:F548,F549,$BJ$5:BJ548)))</f>
        <v>0</v>
      </c>
      <c r="BK549" s="57">
        <f ca="1">(-SUMIF(AS:AS,AS549,BG:BG)+SUMIF(AS:AS,AS549,BJ:BJ))*(AP549=100)*AR549</f>
        <v>0</v>
      </c>
      <c r="BL549" s="57">
        <f ca="1">MAX(0,SUMIF(Invoice!A:A,F549,Invoice!B:B)-SUMIF(F:F,F549,BJ:BJ))*(COUNTIF(F:F,F549)=COUNTIF($F$5:F549,F549))</f>
        <v>0</v>
      </c>
    </row>
    <row r="550" spans="1:64" hidden="1">
      <c r="A550" s="43">
        <v>550</v>
      </c>
      <c r="B550" s="13" t="s">
        <v>147</v>
      </c>
      <c r="C550" s="13" t="s">
        <v>146</v>
      </c>
      <c r="D550" s="13">
        <v>2</v>
      </c>
      <c r="E550" s="13">
        <v>1930</v>
      </c>
      <c r="F550" s="71" t="s">
        <v>1335</v>
      </c>
      <c r="G550" s="71" t="s">
        <v>1336</v>
      </c>
      <c r="H550" s="13" t="s">
        <v>1337</v>
      </c>
      <c r="I550" s="13" t="s">
        <v>55</v>
      </c>
      <c r="J550" s="28">
        <v>0</v>
      </c>
      <c r="K550" s="13" t="s">
        <v>150</v>
      </c>
      <c r="L550" s="13" t="s">
        <v>53</v>
      </c>
      <c r="M550" s="13">
        <v>2</v>
      </c>
      <c r="O550" s="13">
        <v>1</v>
      </c>
      <c r="P550" s="13">
        <v>2</v>
      </c>
      <c r="Q550" s="13">
        <v>2</v>
      </c>
      <c r="R550" s="13" t="s">
        <v>73</v>
      </c>
      <c r="S550" s="13" t="s">
        <v>73</v>
      </c>
      <c r="T550" s="13">
        <v>44901</v>
      </c>
      <c r="U550" s="13">
        <v>2958465</v>
      </c>
      <c r="V550" s="13" t="s">
        <v>282</v>
      </c>
      <c r="W550" s="13" t="s">
        <v>145</v>
      </c>
      <c r="Y550" s="13" t="s">
        <v>143</v>
      </c>
      <c r="Z550" s="13">
        <v>7589154</v>
      </c>
      <c r="AA550" s="13">
        <v>990</v>
      </c>
      <c r="AB550" s="13">
        <v>495</v>
      </c>
      <c r="AE550" s="51">
        <f>M550/O550</f>
        <v>2</v>
      </c>
      <c r="AG550" s="6" t="str">
        <f>C550</f>
        <v>90MB1BJ0-C1BAY0</v>
      </c>
      <c r="AH550" s="6" t="str">
        <f>IF($D550&lt;=AH$4,"",IF(AND($D549=AH$4,$D550&gt;AH$4),$F549,AH549))</f>
        <v>59MB1BJB-MB0A02S</v>
      </c>
      <c r="AI550" s="6" t="str">
        <f>IF($D550&lt;=AI$4,"",IF(AND($D549=AI$4,$D550&gt;AI$4),$F549,AI549))</f>
        <v/>
      </c>
      <c r="AJ550" s="6" t="str">
        <f>IF($D550&lt;=AJ$4,"",IF(AND($D549=AJ$4,$D550&gt;AJ$4),$F549,AJ549))</f>
        <v/>
      </c>
      <c r="AK550" s="6" t="str">
        <f>IF($D550&lt;=AK$4,"",IF(AND($D549=AK$4,$D550&gt;AK$4),$F549,AK549))</f>
        <v/>
      </c>
      <c r="AL550" s="6" t="str">
        <f>IF($D550&lt;=AL$4,"",IF(AND($D549=AL$4,$D550&gt;AL$4),$F549,AL549))</f>
        <v/>
      </c>
      <c r="AM550" s="6" t="str">
        <f>IF($D550&lt;=AM$4,"",IF(AND($D549=AM$4,$D550&gt;AM$4),$F549,AM549))</f>
        <v/>
      </c>
      <c r="AN550" s="6" t="str">
        <f>IF($D550&lt;=AN$4,"",IF(AND($D549=AN$4,$D550&gt;AN$4),$F549,AN549))</f>
        <v/>
      </c>
      <c r="AO550" s="6" t="str">
        <f>CONCATENATE(AG550," | ",AH550," | ",AI550," | ",AJ550," | ",AK550," | ",AL550," | ",AM550," | ",AN550)</f>
        <v xml:space="preserve">90MB1BJ0-C1BAY0 | 59MB1BJB-MB0A02S |  |  |  |  |  | </v>
      </c>
      <c r="AP550" s="6">
        <f>IF(TRIM(H550)="",100,J550)</f>
        <v>0</v>
      </c>
      <c r="AQ550" s="4"/>
      <c r="AR550" s="6" t="b">
        <f>NOT(TRIM(W550)&lt;&gt;"F")</f>
        <v>1</v>
      </c>
      <c r="AS550" s="6" t="str">
        <f>$B550&amp;" | "&amp;$AO550&amp;" | "&amp;IF(TRIM(H550)="","uniq"&amp;ROW(),TRIM(H550))</f>
        <v>461E | 90MB1BJ0-C1BAY0 | 59MB1BJB-MB0A02S |  |  |  |  |  |  | J3</v>
      </c>
      <c r="AT550" s="63">
        <f>IF(NOT(AR550),IF(TRIM($H550)="","Assembly","Phantom Alt"),VLOOKUP(F550,ZPCS04!B:G,6,0))</f>
        <v>725</v>
      </c>
      <c r="AU550" s="7"/>
      <c r="AV550" s="38">
        <f ca="1">IF(TRIM($W550)="F",OFFSET($A$5,MATCH($AS550,$AS$5:$AS550,0)-1,0),$A550)</f>
        <v>550</v>
      </c>
      <c r="AW550" s="38">
        <f ca="1">IFERROR(OFFSET(ZPCS04!$A$1,MATCH(F550,ZPCS04!B:B,0)-1,0),100)</f>
        <v>1.9999999499999999</v>
      </c>
      <c r="AX550" s="7"/>
      <c r="AY550" s="6" t="b">
        <f>SUMIF(AS:AS,AS550,AP:AP)=100</f>
        <v>1</v>
      </c>
      <c r="AZ550" s="6" t="b">
        <f>SUMIF(AS:AS,AS550,AE:AE)/COUNTIF(AS:AS,AS550)=AE550</f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>C550&amp;" | "&amp;F550</f>
        <v>90MB1BJ0-C1BAY0 | 10G2152R2002010</v>
      </c>
      <c r="BE550" s="55" t="str">
        <f ca="1">C550&amp;" | "&amp;OFFSET($AF550,0,8-COUNTBLANK($AG550:$AN550))</f>
        <v>90MB1BJ0-C1BAY0 | 59MB1BJB-MB0A02S</v>
      </c>
      <c r="BF550" s="57">
        <f ca="1">IFERROR(VLOOKUP($BE550,$BD$5:$BF549,3,0)*$AE550,VLOOKUP($C550,Demanda!$A:$B,2,0)*$AE550)*IF(AT550="Phantom Alt",$BC550,TRUE)</f>
        <v>2000</v>
      </c>
      <c r="BG550" s="57">
        <f ca="1">BF550*(AP550/100)</f>
        <v>0</v>
      </c>
      <c r="BH550" s="57">
        <f>SUMIF(Invoice!A:A,F550,Invoice!B:B)</f>
        <v>5000</v>
      </c>
      <c r="BI550" s="57">
        <f ca="1">SUMIF(AS:AS,AS550,BG:BG)</f>
        <v>2000</v>
      </c>
      <c r="BJ550" s="57">
        <f ca="1">MIN((BI550-SUMIF($AS$5:AS549,AS550,$BJ$5:BJ549)),MAX(0,BH550-SUMIF($F$5:F549,F550,$BJ$5:BJ549)))</f>
        <v>2000</v>
      </c>
      <c r="BK550" s="57">
        <f ca="1">(-SUMIF(AS:AS,AS550,BG:BG)+SUMIF(AS:AS,AS550,BJ:BJ))*(AP550=100)*AR550</f>
        <v>0</v>
      </c>
      <c r="BL550" s="57">
        <f ca="1">MAX(0,SUMIF(Invoice!A:A,F550,Invoice!B:B)-SUMIF(F:F,F550,BJ:BJ))*(COUNTIF(F:F,F550)=COUNTIF($F$5:F550,F550))</f>
        <v>3000</v>
      </c>
    </row>
    <row r="551" spans="1:64" hidden="1">
      <c r="A551" s="43">
        <v>551</v>
      </c>
      <c r="B551" s="13" t="s">
        <v>147</v>
      </c>
      <c r="C551" s="13" t="s">
        <v>146</v>
      </c>
      <c r="D551" s="13">
        <v>2</v>
      </c>
      <c r="E551" s="13">
        <v>1930</v>
      </c>
      <c r="F551" s="71" t="s">
        <v>1338</v>
      </c>
      <c r="G551" s="71" t="s">
        <v>1339</v>
      </c>
      <c r="H551" s="13" t="s">
        <v>1337</v>
      </c>
      <c r="I551" s="13" t="s">
        <v>55</v>
      </c>
      <c r="J551" s="28">
        <v>0</v>
      </c>
      <c r="K551" s="13" t="s">
        <v>150</v>
      </c>
      <c r="L551" s="13" t="s">
        <v>53</v>
      </c>
      <c r="M551" s="13">
        <v>2</v>
      </c>
      <c r="O551" s="13">
        <v>1</v>
      </c>
      <c r="P551" s="13">
        <v>2</v>
      </c>
      <c r="Q551" s="13">
        <v>3</v>
      </c>
      <c r="R551" s="13" t="s">
        <v>73</v>
      </c>
      <c r="S551" s="13" t="s">
        <v>73</v>
      </c>
      <c r="T551" s="13">
        <v>44901</v>
      </c>
      <c r="U551" s="13">
        <v>2958465</v>
      </c>
      <c r="V551" s="13" t="s">
        <v>282</v>
      </c>
      <c r="W551" s="13" t="s">
        <v>145</v>
      </c>
      <c r="Y551" s="13" t="s">
        <v>143</v>
      </c>
      <c r="Z551" s="13">
        <v>7589154</v>
      </c>
      <c r="AA551" s="13">
        <v>992</v>
      </c>
      <c r="AB551" s="13">
        <v>496</v>
      </c>
      <c r="AE551" s="51">
        <f>M551/O551</f>
        <v>2</v>
      </c>
      <c r="AG551" s="6" t="str">
        <f>C551</f>
        <v>90MB1BJ0-C1BAY0</v>
      </c>
      <c r="AH551" s="6" t="str">
        <f>IF($D551&lt;=AH$4,"",IF(AND($D550=AH$4,$D551&gt;AH$4),$F550,AH550))</f>
        <v>59MB1BJB-MB0A02S</v>
      </c>
      <c r="AI551" s="6" t="str">
        <f>IF($D551&lt;=AI$4,"",IF(AND($D550=AI$4,$D551&gt;AI$4),$F550,AI550))</f>
        <v/>
      </c>
      <c r="AJ551" s="6" t="str">
        <f>IF($D551&lt;=AJ$4,"",IF(AND($D550=AJ$4,$D551&gt;AJ$4),$F550,AJ550))</f>
        <v/>
      </c>
      <c r="AK551" s="6" t="str">
        <f>IF($D551&lt;=AK$4,"",IF(AND($D550=AK$4,$D551&gt;AK$4),$F550,AK550))</f>
        <v/>
      </c>
      <c r="AL551" s="6" t="str">
        <f>IF($D551&lt;=AL$4,"",IF(AND($D550=AL$4,$D551&gt;AL$4),$F550,AL550))</f>
        <v/>
      </c>
      <c r="AM551" s="6" t="str">
        <f>IF($D551&lt;=AM$4,"",IF(AND($D550=AM$4,$D551&gt;AM$4),$F550,AM550))</f>
        <v/>
      </c>
      <c r="AN551" s="6" t="str">
        <f>IF($D551&lt;=AN$4,"",IF(AND($D550=AN$4,$D551&gt;AN$4),$F550,AN550))</f>
        <v/>
      </c>
      <c r="AO551" s="6" t="str">
        <f>CONCATENATE(AG551," | ",AH551," | ",AI551," | ",AJ551," | ",AK551," | ",AL551," | ",AM551," | ",AN551)</f>
        <v xml:space="preserve">90MB1BJ0-C1BAY0 | 59MB1BJB-MB0A02S |  |  |  |  |  | </v>
      </c>
      <c r="AP551" s="6">
        <f>IF(TRIM(H551)="",100,J551)</f>
        <v>0</v>
      </c>
      <c r="AQ551" s="4"/>
      <c r="AR551" s="6" t="b">
        <f>NOT(TRIM(W551)&lt;&gt;"F")</f>
        <v>1</v>
      </c>
      <c r="AS551" s="6" t="str">
        <f>$B551&amp;" | "&amp;$AO551&amp;" | "&amp;IF(TRIM(H551)="","uniq"&amp;ROW(),TRIM(H551))</f>
        <v>461E | 90MB1BJ0-C1BAY0 | 59MB1BJB-MB0A02S |  |  |  |  |  |  | J3</v>
      </c>
      <c r="AT551" s="63">
        <f>IF(NOT(AR551),IF(TRIM($H551)="","Assembly","Phantom Alt"),VLOOKUP(F551,ZPCS04!B:G,6,0))</f>
        <v>725</v>
      </c>
      <c r="AU551" s="7"/>
      <c r="AV551" s="38">
        <f ca="1">IF(TRIM($W551)="F",OFFSET($A$5,MATCH($AS551,$AS$5:$AS551,0)-1,0),$A551)</f>
        <v>550</v>
      </c>
      <c r="AW551" s="38">
        <f ca="1">IFERROR(OFFSET(ZPCS04!$A$1,MATCH(F551,ZPCS04!B:B,0)-1,0),100)</f>
        <v>2</v>
      </c>
      <c r="AX551" s="7"/>
      <c r="AY551" s="6" t="b">
        <f>SUMIF(AS:AS,AS551,AP:AP)=100</f>
        <v>1</v>
      </c>
      <c r="AZ551" s="6" t="b">
        <f>SUMIF(AS:AS,AS551,AE:AE)/COUNTIF(AS:AS,AS551)=AE551</f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>C551&amp;" | "&amp;F551</f>
        <v>90MB1BJ0-C1BAY0 | 10G2152R2002020</v>
      </c>
      <c r="BE551" s="55" t="str">
        <f ca="1">C551&amp;" | "&amp;OFFSET($AF551,0,8-COUNTBLANK($AG551:$AN551))</f>
        <v>90MB1BJ0-C1BAY0 | 59MB1BJB-MB0A02S</v>
      </c>
      <c r="BF551" s="57">
        <f ca="1">IFERROR(VLOOKUP($BE551,$BD$5:$BF550,3,0)*$AE551,VLOOKUP($C551,Demanda!$A:$B,2,0)*$AE551)*IF(AT551="Phantom Alt",$BC551,TRUE)</f>
        <v>2000</v>
      </c>
      <c r="BG551" s="57">
        <f ca="1">BF551*(AP551/100)</f>
        <v>0</v>
      </c>
      <c r="BH551" s="57">
        <f>SUMIF(Invoice!A:A,F551,Invoice!B:B)</f>
        <v>0</v>
      </c>
      <c r="BI551" s="57">
        <f ca="1">SUMIF(AS:AS,AS551,BG:BG)</f>
        <v>2000</v>
      </c>
      <c r="BJ551" s="57">
        <f ca="1">MIN((BI551-SUMIF($AS$5:AS550,AS551,$BJ$5:BJ550)),MAX(0,BH551-SUMIF($F$5:F550,F551,$BJ$5:BJ550)))</f>
        <v>0</v>
      </c>
      <c r="BK551" s="57">
        <f ca="1">(-SUMIF(AS:AS,AS551,BG:BG)+SUMIF(AS:AS,AS551,BJ:BJ))*(AP551=100)*AR551</f>
        <v>0</v>
      </c>
      <c r="BL551" s="57">
        <f ca="1">MAX(0,SUMIF(Invoice!A:A,F551,Invoice!B:B)-SUMIF(F:F,F551,BJ:BJ))*(COUNTIF(F:F,F551)=COUNTIF($F$5:F551,F551))</f>
        <v>0</v>
      </c>
    </row>
    <row r="552" spans="1:64" hidden="1">
      <c r="A552" s="43">
        <v>552</v>
      </c>
      <c r="B552" s="13" t="s">
        <v>147</v>
      </c>
      <c r="C552" s="13" t="s">
        <v>146</v>
      </c>
      <c r="D552" s="13">
        <v>2</v>
      </c>
      <c r="E552" s="13">
        <v>1930</v>
      </c>
      <c r="F552" s="71" t="s">
        <v>1340</v>
      </c>
      <c r="G552" s="71" t="s">
        <v>1341</v>
      </c>
      <c r="H552" s="13" t="s">
        <v>1337</v>
      </c>
      <c r="I552" s="13" t="s">
        <v>54</v>
      </c>
      <c r="J552" s="28">
        <v>100</v>
      </c>
      <c r="K552" s="13" t="s">
        <v>150</v>
      </c>
      <c r="L552" s="13" t="s">
        <v>53</v>
      </c>
      <c r="M552" s="13">
        <v>2</v>
      </c>
      <c r="N552" s="13">
        <v>2</v>
      </c>
      <c r="O552" s="13">
        <v>1</v>
      </c>
      <c r="P552" s="13">
        <v>2</v>
      </c>
      <c r="Q552" s="13">
        <v>1</v>
      </c>
      <c r="R552" s="13" t="s">
        <v>73</v>
      </c>
      <c r="S552" s="13" t="s">
        <v>73</v>
      </c>
      <c r="T552" s="13">
        <v>44901</v>
      </c>
      <c r="U552" s="13">
        <v>2958465</v>
      </c>
      <c r="V552" s="13" t="s">
        <v>282</v>
      </c>
      <c r="W552" s="13" t="s">
        <v>145</v>
      </c>
      <c r="Y552" s="13" t="s">
        <v>143</v>
      </c>
      <c r="Z552" s="13">
        <v>7589154</v>
      </c>
      <c r="AA552" s="13">
        <v>988</v>
      </c>
      <c r="AB552" s="13">
        <v>494</v>
      </c>
      <c r="AE552" s="51">
        <f>M552/O552</f>
        <v>2</v>
      </c>
      <c r="AG552" s="6" t="str">
        <f>C552</f>
        <v>90MB1BJ0-C1BAY0</v>
      </c>
      <c r="AH552" s="6" t="str">
        <f>IF($D552&lt;=AH$4,"",IF(AND($D551=AH$4,$D552&gt;AH$4),$F551,AH551))</f>
        <v>59MB1BJB-MB0A02S</v>
      </c>
      <c r="AI552" s="6" t="str">
        <f>IF($D552&lt;=AI$4,"",IF(AND($D551=AI$4,$D552&gt;AI$4),$F551,AI551))</f>
        <v/>
      </c>
      <c r="AJ552" s="6" t="str">
        <f>IF($D552&lt;=AJ$4,"",IF(AND($D551=AJ$4,$D552&gt;AJ$4),$F551,AJ551))</f>
        <v/>
      </c>
      <c r="AK552" s="6" t="str">
        <f>IF($D552&lt;=AK$4,"",IF(AND($D551=AK$4,$D552&gt;AK$4),$F551,AK551))</f>
        <v/>
      </c>
      <c r="AL552" s="6" t="str">
        <f>IF($D552&lt;=AL$4,"",IF(AND($D551=AL$4,$D552&gt;AL$4),$F551,AL551))</f>
        <v/>
      </c>
      <c r="AM552" s="6" t="str">
        <f>IF($D552&lt;=AM$4,"",IF(AND($D551=AM$4,$D552&gt;AM$4),$F551,AM551))</f>
        <v/>
      </c>
      <c r="AN552" s="6" t="str">
        <f>IF($D552&lt;=AN$4,"",IF(AND($D551=AN$4,$D552&gt;AN$4),$F551,AN551))</f>
        <v/>
      </c>
      <c r="AO552" s="6" t="str">
        <f>CONCATENATE(AG552," | ",AH552," | ",AI552," | ",AJ552," | ",AK552," | ",AL552," | ",AM552," | ",AN552)</f>
        <v xml:space="preserve">90MB1BJ0-C1BAY0 | 59MB1BJB-MB0A02S |  |  |  |  |  | </v>
      </c>
      <c r="AP552" s="6">
        <f>IF(TRIM(H552)="",100,J552)</f>
        <v>100</v>
      </c>
      <c r="AQ552" s="4"/>
      <c r="AR552" s="6" t="b">
        <f>NOT(TRIM(W552)&lt;&gt;"F")</f>
        <v>1</v>
      </c>
      <c r="AS552" s="6" t="str">
        <f>$B552&amp;" | "&amp;$AO552&amp;" | "&amp;IF(TRIM(H552)="","uniq"&amp;ROW(),TRIM(H552))</f>
        <v>461E | 90MB1BJ0-C1BAY0 | 59MB1BJB-MB0A02S |  |  |  |  |  |  | J3</v>
      </c>
      <c r="AT552" s="63">
        <f>IF(NOT(AR552),IF(TRIM($H552)="","Assembly","Phantom Alt"),VLOOKUP(F552,ZPCS04!B:G,6,0))</f>
        <v>725</v>
      </c>
      <c r="AU552" s="7"/>
      <c r="AV552" s="38">
        <f ca="1">IF(TRIM($W552)="F",OFFSET($A$5,MATCH($AS552,$AS$5:$AS552,0)-1,0),$A552)</f>
        <v>550</v>
      </c>
      <c r="AW552" s="38">
        <f ca="1">IFERROR(OFFSET(ZPCS04!$A$1,MATCH(F552,ZPCS04!B:B,0)-1,0),100)</f>
        <v>2</v>
      </c>
      <c r="AX552" s="7"/>
      <c r="AY552" s="6" t="b">
        <f>SUMIF(AS:AS,AS552,AP:AP)=100</f>
        <v>1</v>
      </c>
      <c r="AZ552" s="6" t="b">
        <f>SUMIF(AS:AS,AS552,AE:AE)/COUNTIF(AS:AS,AS552)=AE552</f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>C552&amp;" | "&amp;F552</f>
        <v>90MB1BJ0-C1BAY0 | 10G2152R2002050</v>
      </c>
      <c r="BE552" s="55" t="str">
        <f ca="1">C552&amp;" | "&amp;OFFSET($AF552,0,8-COUNTBLANK($AG552:$AN552))</f>
        <v>90MB1BJ0-C1BAY0 | 59MB1BJB-MB0A02S</v>
      </c>
      <c r="BF552" s="57">
        <f ca="1">IFERROR(VLOOKUP($BE552,$BD$5:$BF551,3,0)*$AE552,VLOOKUP($C552,Demanda!$A:$B,2,0)*$AE552)*IF(AT552="Phantom Alt",$BC552,TRUE)</f>
        <v>2000</v>
      </c>
      <c r="BG552" s="57">
        <f ca="1">BF552*(AP552/100)</f>
        <v>2000</v>
      </c>
      <c r="BH552" s="57">
        <f>SUMIF(Invoice!A:A,F552,Invoice!B:B)</f>
        <v>0</v>
      </c>
      <c r="BI552" s="57">
        <f ca="1">SUMIF(AS:AS,AS552,BG:BG)</f>
        <v>2000</v>
      </c>
      <c r="BJ552" s="57">
        <f ca="1">MIN((BI552-SUMIF($AS$5:AS551,AS552,$BJ$5:BJ551)),MAX(0,BH552-SUMIF($F$5:F551,F552,$BJ$5:BJ551)))</f>
        <v>0</v>
      </c>
      <c r="BK552" s="57">
        <f ca="1">(-SUMIF(AS:AS,AS552,BG:BG)+SUMIF(AS:AS,AS552,BJ:BJ))*(AP552=100)*AR552</f>
        <v>0</v>
      </c>
      <c r="BL552" s="57">
        <f ca="1">MAX(0,SUMIF(Invoice!A:A,F552,Invoice!B:B)-SUMIF(F:F,F552,BJ:BJ))*(COUNTIF(F:F,F552)=COUNTIF($F$5:F552,F552))</f>
        <v>0</v>
      </c>
    </row>
    <row r="553" spans="1:64" hidden="1">
      <c r="A553" s="43">
        <v>553</v>
      </c>
      <c r="B553" s="13" t="s">
        <v>147</v>
      </c>
      <c r="C553" s="13" t="s">
        <v>146</v>
      </c>
      <c r="D553" s="13">
        <v>2</v>
      </c>
      <c r="E553" s="13">
        <v>1940</v>
      </c>
      <c r="F553" s="71" t="s">
        <v>1342</v>
      </c>
      <c r="G553" s="71" t="s">
        <v>1343</v>
      </c>
      <c r="H553" s="13" t="s">
        <v>1344</v>
      </c>
      <c r="I553" s="13" t="s">
        <v>55</v>
      </c>
      <c r="J553" s="28">
        <v>0</v>
      </c>
      <c r="K553" s="13" t="s">
        <v>150</v>
      </c>
      <c r="L553" s="13" t="s">
        <v>53</v>
      </c>
      <c r="M553" s="13">
        <v>2</v>
      </c>
      <c r="O553" s="13">
        <v>1</v>
      </c>
      <c r="P553" s="13">
        <v>2</v>
      </c>
      <c r="Q553" s="13">
        <v>3</v>
      </c>
      <c r="R553" s="13" t="s">
        <v>73</v>
      </c>
      <c r="S553" s="13" t="s">
        <v>73</v>
      </c>
      <c r="T553" s="13">
        <v>44901</v>
      </c>
      <c r="U553" s="13">
        <v>2958465</v>
      </c>
      <c r="V553" s="13" t="s">
        <v>282</v>
      </c>
      <c r="W553" s="13" t="s">
        <v>145</v>
      </c>
      <c r="Y553" s="13" t="s">
        <v>143</v>
      </c>
      <c r="Z553" s="13">
        <v>7589154</v>
      </c>
      <c r="AA553" s="13">
        <v>998</v>
      </c>
      <c r="AB553" s="13">
        <v>499</v>
      </c>
      <c r="AE553" s="51">
        <f>M553/O553</f>
        <v>2</v>
      </c>
      <c r="AG553" s="6" t="str">
        <f>C553</f>
        <v>90MB1BJ0-C1BAY0</v>
      </c>
      <c r="AH553" s="6" t="str">
        <f>IF($D553&lt;=AH$4,"",IF(AND($D552=AH$4,$D553&gt;AH$4),$F552,AH552))</f>
        <v>59MB1BJB-MB0A02S</v>
      </c>
      <c r="AI553" s="6" t="str">
        <f>IF($D553&lt;=AI$4,"",IF(AND($D552=AI$4,$D553&gt;AI$4),$F552,AI552))</f>
        <v/>
      </c>
      <c r="AJ553" s="6" t="str">
        <f>IF($D553&lt;=AJ$4,"",IF(AND($D552=AJ$4,$D553&gt;AJ$4),$F552,AJ552))</f>
        <v/>
      </c>
      <c r="AK553" s="6" t="str">
        <f>IF($D553&lt;=AK$4,"",IF(AND($D552=AK$4,$D553&gt;AK$4),$F552,AK552))</f>
        <v/>
      </c>
      <c r="AL553" s="6" t="str">
        <f>IF($D553&lt;=AL$4,"",IF(AND($D552=AL$4,$D553&gt;AL$4),$F552,AL552))</f>
        <v/>
      </c>
      <c r="AM553" s="6" t="str">
        <f>IF($D553&lt;=AM$4,"",IF(AND($D552=AM$4,$D553&gt;AM$4),$F552,AM552))</f>
        <v/>
      </c>
      <c r="AN553" s="6" t="str">
        <f>IF($D553&lt;=AN$4,"",IF(AND($D552=AN$4,$D553&gt;AN$4),$F552,AN552))</f>
        <v/>
      </c>
      <c r="AO553" s="6" t="str">
        <f>CONCATENATE(AG553," | ",AH553," | ",AI553," | ",AJ553," | ",AK553," | ",AL553," | ",AM553," | ",AN553)</f>
        <v xml:space="preserve">90MB1BJ0-C1BAY0 | 59MB1BJB-MB0A02S |  |  |  |  |  | </v>
      </c>
      <c r="AP553" s="6">
        <f>IF(TRIM(H553)="",100,J553)</f>
        <v>0</v>
      </c>
      <c r="AQ553" s="4"/>
      <c r="AR553" s="6" t="b">
        <f>NOT(TRIM(W553)&lt;&gt;"F")</f>
        <v>1</v>
      </c>
      <c r="AS553" s="6" t="str">
        <f>$B553&amp;" | "&amp;$AO553&amp;" | "&amp;IF(TRIM(H553)="","uniq"&amp;ROW(),TRIM(H553))</f>
        <v>461E | 90MB1BJ0-C1BAY0 | 59MB1BJB-MB0A02S |  |  |  |  |  |  | J4</v>
      </c>
      <c r="AT553" s="63">
        <f>IF(NOT(AR553),IF(TRIM($H553)="","Assembly","Phantom Alt"),VLOOKUP(F553,ZPCS04!B:G,6,0))</f>
        <v>1278</v>
      </c>
      <c r="AU553" s="7"/>
      <c r="AV553" s="38">
        <f ca="1">IF(TRIM($W553)="F",OFFSET($A$5,MATCH($AS553,$AS$5:$AS553,0)-1,0),$A553)</f>
        <v>553</v>
      </c>
      <c r="AW553" s="38">
        <f ca="1">IFERROR(OFFSET(ZPCS04!$A$1,MATCH(F553,ZPCS04!B:B,0)-1,0),100)</f>
        <v>1.9999999499999999</v>
      </c>
      <c r="AX553" s="7"/>
      <c r="AY553" s="6" t="b">
        <f>SUMIF(AS:AS,AS553,AP:AP)=100</f>
        <v>1</v>
      </c>
      <c r="AZ553" s="6" t="b">
        <f>SUMIF(AS:AS,AS553,AE:AE)/COUNTIF(AS:AS,AS553)=AE553</f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>C553&amp;" | "&amp;F553</f>
        <v>90MB1BJ0-C1BAY0 | 10G215471002010</v>
      </c>
      <c r="BE553" s="55" t="str">
        <f ca="1">C553&amp;" | "&amp;OFFSET($AF553,0,8-COUNTBLANK($AG553:$AN553))</f>
        <v>90MB1BJ0-C1BAY0 | 59MB1BJB-MB0A02S</v>
      </c>
      <c r="BF553" s="57">
        <f ca="1">IFERROR(VLOOKUP($BE553,$BD$5:$BF552,3,0)*$AE553,VLOOKUP($C553,Demanda!$A:$B,2,0)*$AE553)*IF(AT553="Phantom Alt",$BC553,TRUE)</f>
        <v>2000</v>
      </c>
      <c r="BG553" s="57">
        <f ca="1">BF553*(AP553/100)</f>
        <v>0</v>
      </c>
      <c r="BH553" s="57">
        <f>SUMIF(Invoice!A:A,F553,Invoice!B:B)</f>
        <v>5000</v>
      </c>
      <c r="BI553" s="57">
        <f ca="1">SUMIF(AS:AS,AS553,BG:BG)</f>
        <v>2000</v>
      </c>
      <c r="BJ553" s="57">
        <f ca="1">MIN((BI553-SUMIF($AS$5:AS552,AS553,$BJ$5:BJ552)),MAX(0,BH553-SUMIF($F$5:F552,F553,$BJ$5:BJ552)))</f>
        <v>2000</v>
      </c>
      <c r="BK553" s="57">
        <f ca="1">(-SUMIF(AS:AS,AS553,BG:BG)+SUMIF(AS:AS,AS553,BJ:BJ))*(AP553=100)*AR553</f>
        <v>0</v>
      </c>
      <c r="BL553" s="57">
        <f ca="1">MAX(0,SUMIF(Invoice!A:A,F553,Invoice!B:B)-SUMIF(F:F,F553,BJ:BJ))*(COUNTIF(F:F,F553)=COUNTIF($F$5:F553,F553))</f>
        <v>3000</v>
      </c>
    </row>
    <row r="554" spans="1:64" hidden="1">
      <c r="A554" s="43">
        <v>554</v>
      </c>
      <c r="B554" s="13" t="s">
        <v>147</v>
      </c>
      <c r="C554" s="13" t="s">
        <v>146</v>
      </c>
      <c r="D554" s="13">
        <v>2</v>
      </c>
      <c r="E554" s="13">
        <v>1940</v>
      </c>
      <c r="F554" s="71" t="s">
        <v>1345</v>
      </c>
      <c r="G554" s="71" t="s">
        <v>1346</v>
      </c>
      <c r="H554" s="13" t="s">
        <v>1344</v>
      </c>
      <c r="I554" s="13" t="s">
        <v>54</v>
      </c>
      <c r="J554" s="28">
        <v>100</v>
      </c>
      <c r="K554" s="13" t="s">
        <v>150</v>
      </c>
      <c r="L554" s="13" t="s">
        <v>53</v>
      </c>
      <c r="M554" s="13">
        <v>2</v>
      </c>
      <c r="N554" s="13">
        <v>2</v>
      </c>
      <c r="O554" s="13">
        <v>1</v>
      </c>
      <c r="P554" s="13">
        <v>2</v>
      </c>
      <c r="Q554" s="13">
        <v>1</v>
      </c>
      <c r="R554" s="13" t="s">
        <v>73</v>
      </c>
      <c r="S554" s="13" t="s">
        <v>73</v>
      </c>
      <c r="T554" s="13">
        <v>44901</v>
      </c>
      <c r="U554" s="13">
        <v>2958465</v>
      </c>
      <c r="V554" s="13" t="s">
        <v>282</v>
      </c>
      <c r="W554" s="13" t="s">
        <v>145</v>
      </c>
      <c r="Y554" s="13" t="s">
        <v>143</v>
      </c>
      <c r="Z554" s="13">
        <v>7589154</v>
      </c>
      <c r="AA554" s="13">
        <v>994</v>
      </c>
      <c r="AB554" s="13">
        <v>497</v>
      </c>
      <c r="AE554" s="51">
        <f>M554/O554</f>
        <v>2</v>
      </c>
      <c r="AG554" s="6" t="str">
        <f>C554</f>
        <v>90MB1BJ0-C1BAY0</v>
      </c>
      <c r="AH554" s="6" t="str">
        <f>IF($D554&lt;=AH$4,"",IF(AND($D553=AH$4,$D554&gt;AH$4),$F553,AH553))</f>
        <v>59MB1BJB-MB0A02S</v>
      </c>
      <c r="AI554" s="6" t="str">
        <f>IF($D554&lt;=AI$4,"",IF(AND($D553=AI$4,$D554&gt;AI$4),$F553,AI553))</f>
        <v/>
      </c>
      <c r="AJ554" s="6" t="str">
        <f>IF($D554&lt;=AJ$4,"",IF(AND($D553=AJ$4,$D554&gt;AJ$4),$F553,AJ553))</f>
        <v/>
      </c>
      <c r="AK554" s="6" t="str">
        <f>IF($D554&lt;=AK$4,"",IF(AND($D553=AK$4,$D554&gt;AK$4),$F553,AK553))</f>
        <v/>
      </c>
      <c r="AL554" s="6" t="str">
        <f>IF($D554&lt;=AL$4,"",IF(AND($D553=AL$4,$D554&gt;AL$4),$F553,AL553))</f>
        <v/>
      </c>
      <c r="AM554" s="6" t="str">
        <f>IF($D554&lt;=AM$4,"",IF(AND($D553=AM$4,$D554&gt;AM$4),$F553,AM553))</f>
        <v/>
      </c>
      <c r="AN554" s="6" t="str">
        <f>IF($D554&lt;=AN$4,"",IF(AND($D553=AN$4,$D554&gt;AN$4),$F553,AN553))</f>
        <v/>
      </c>
      <c r="AO554" s="6" t="str">
        <f>CONCATENATE(AG554," | ",AH554," | ",AI554," | ",AJ554," | ",AK554," | ",AL554," | ",AM554," | ",AN554)</f>
        <v xml:space="preserve">90MB1BJ0-C1BAY0 | 59MB1BJB-MB0A02S |  |  |  |  |  | </v>
      </c>
      <c r="AP554" s="6">
        <f>IF(TRIM(H554)="",100,J554)</f>
        <v>100</v>
      </c>
      <c r="AQ554" s="4"/>
      <c r="AR554" s="6" t="b">
        <f>NOT(TRIM(W554)&lt;&gt;"F")</f>
        <v>1</v>
      </c>
      <c r="AS554" s="6" t="str">
        <f>$B554&amp;" | "&amp;$AO554&amp;" | "&amp;IF(TRIM(H554)="","uniq"&amp;ROW(),TRIM(H554))</f>
        <v>461E | 90MB1BJ0-C1BAY0 | 59MB1BJB-MB0A02S |  |  |  |  |  |  | J4</v>
      </c>
      <c r="AT554" s="63">
        <f>IF(NOT(AR554),IF(TRIM($H554)="","Assembly","Phantom Alt"),VLOOKUP(F554,ZPCS04!B:G,6,0))</f>
        <v>1278</v>
      </c>
      <c r="AU554" s="7"/>
      <c r="AV554" s="38">
        <f ca="1">IF(TRIM($W554)="F",OFFSET($A$5,MATCH($AS554,$AS$5:$AS554,0)-1,0),$A554)</f>
        <v>553</v>
      </c>
      <c r="AW554" s="38">
        <f ca="1">IFERROR(OFFSET(ZPCS04!$A$1,MATCH(F554,ZPCS04!B:B,0)-1,0),100)</f>
        <v>2</v>
      </c>
      <c r="AX554" s="7"/>
      <c r="AY554" s="6" t="b">
        <f>SUMIF(AS:AS,AS554,AP:AP)=100</f>
        <v>1</v>
      </c>
      <c r="AZ554" s="6" t="b">
        <f>SUMIF(AS:AS,AS554,AE:AE)/COUNTIF(AS:AS,AS554)=AE554</f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>C554&amp;" | "&amp;F554</f>
        <v>90MB1BJ0-C1BAY0 | 10G215471002020</v>
      </c>
      <c r="BE554" s="55" t="str">
        <f ca="1">C554&amp;" | "&amp;OFFSET($AF554,0,8-COUNTBLANK($AG554:$AN554))</f>
        <v>90MB1BJ0-C1BAY0 | 59MB1BJB-MB0A02S</v>
      </c>
      <c r="BF554" s="57">
        <f ca="1">IFERROR(VLOOKUP($BE554,$BD$5:$BF553,3,0)*$AE554,VLOOKUP($C554,Demanda!$A:$B,2,0)*$AE554)*IF(AT554="Phantom Alt",$BC554,TRUE)</f>
        <v>2000</v>
      </c>
      <c r="BG554" s="57">
        <f ca="1">BF554*(AP554/100)</f>
        <v>2000</v>
      </c>
      <c r="BH554" s="57">
        <f>SUMIF(Invoice!A:A,F554,Invoice!B:B)</f>
        <v>0</v>
      </c>
      <c r="BI554" s="57">
        <f ca="1">SUMIF(AS:AS,AS554,BG:BG)</f>
        <v>2000</v>
      </c>
      <c r="BJ554" s="57">
        <f ca="1">MIN((BI554-SUMIF($AS$5:AS553,AS554,$BJ$5:BJ553)),MAX(0,BH554-SUMIF($F$5:F553,F554,$BJ$5:BJ553)))</f>
        <v>0</v>
      </c>
      <c r="BK554" s="57">
        <f ca="1">(-SUMIF(AS:AS,AS554,BG:BG)+SUMIF(AS:AS,AS554,BJ:BJ))*(AP554=100)*AR554</f>
        <v>0</v>
      </c>
      <c r="BL554" s="57">
        <f ca="1">MAX(0,SUMIF(Invoice!A:A,F554,Invoice!B:B)-SUMIF(F:F,F554,BJ:BJ))*(COUNTIF(F:F,F554)=COUNTIF($F$5:F554,F554))</f>
        <v>0</v>
      </c>
    </row>
    <row r="555" spans="1:64" hidden="1">
      <c r="A555" s="43">
        <v>555</v>
      </c>
      <c r="B555" s="13" t="s">
        <v>147</v>
      </c>
      <c r="C555" s="13" t="s">
        <v>146</v>
      </c>
      <c r="D555" s="13">
        <v>2</v>
      </c>
      <c r="E555" s="13">
        <v>1940</v>
      </c>
      <c r="F555" s="71" t="s">
        <v>1347</v>
      </c>
      <c r="G555" s="71" t="s">
        <v>1348</v>
      </c>
      <c r="H555" s="13" t="s">
        <v>1344</v>
      </c>
      <c r="I555" s="13" t="s">
        <v>55</v>
      </c>
      <c r="J555" s="28">
        <v>0</v>
      </c>
      <c r="K555" s="13" t="s">
        <v>150</v>
      </c>
      <c r="L555" s="13" t="s">
        <v>53</v>
      </c>
      <c r="M555" s="13">
        <v>2</v>
      </c>
      <c r="O555" s="13">
        <v>1</v>
      </c>
      <c r="P555" s="13">
        <v>2</v>
      </c>
      <c r="Q555" s="13">
        <v>2</v>
      </c>
      <c r="R555" s="13" t="s">
        <v>73</v>
      </c>
      <c r="S555" s="13" t="s">
        <v>73</v>
      </c>
      <c r="T555" s="13">
        <v>44901</v>
      </c>
      <c r="U555" s="13">
        <v>2958465</v>
      </c>
      <c r="V555" s="13" t="s">
        <v>282</v>
      </c>
      <c r="W555" s="13" t="s">
        <v>145</v>
      </c>
      <c r="Y555" s="13" t="s">
        <v>143</v>
      </c>
      <c r="Z555" s="13">
        <v>7589154</v>
      </c>
      <c r="AA555" s="13">
        <v>996</v>
      </c>
      <c r="AB555" s="13">
        <v>498</v>
      </c>
      <c r="AE555" s="51">
        <f>M555/O555</f>
        <v>2</v>
      </c>
      <c r="AG555" s="6" t="str">
        <f>C555</f>
        <v>90MB1BJ0-C1BAY0</v>
      </c>
      <c r="AH555" s="6" t="str">
        <f>IF($D555&lt;=AH$4,"",IF(AND($D554=AH$4,$D555&gt;AH$4),$F554,AH554))</f>
        <v>59MB1BJB-MB0A02S</v>
      </c>
      <c r="AI555" s="6" t="str">
        <f>IF($D555&lt;=AI$4,"",IF(AND($D554=AI$4,$D555&gt;AI$4),$F554,AI554))</f>
        <v/>
      </c>
      <c r="AJ555" s="6" t="str">
        <f>IF($D555&lt;=AJ$4,"",IF(AND($D554=AJ$4,$D555&gt;AJ$4),$F554,AJ554))</f>
        <v/>
      </c>
      <c r="AK555" s="6" t="str">
        <f>IF($D555&lt;=AK$4,"",IF(AND($D554=AK$4,$D555&gt;AK$4),$F554,AK554))</f>
        <v/>
      </c>
      <c r="AL555" s="6" t="str">
        <f>IF($D555&lt;=AL$4,"",IF(AND($D554=AL$4,$D555&gt;AL$4),$F554,AL554))</f>
        <v/>
      </c>
      <c r="AM555" s="6" t="str">
        <f>IF($D555&lt;=AM$4,"",IF(AND($D554=AM$4,$D555&gt;AM$4),$F554,AM554))</f>
        <v/>
      </c>
      <c r="AN555" s="6" t="str">
        <f>IF($D555&lt;=AN$4,"",IF(AND($D554=AN$4,$D555&gt;AN$4),$F554,AN554))</f>
        <v/>
      </c>
      <c r="AO555" s="6" t="str">
        <f>CONCATENATE(AG555," | ",AH555," | ",AI555," | ",AJ555," | ",AK555," | ",AL555," | ",AM555," | ",AN555)</f>
        <v xml:space="preserve">90MB1BJ0-C1BAY0 | 59MB1BJB-MB0A02S |  |  |  |  |  | </v>
      </c>
      <c r="AP555" s="6">
        <f>IF(TRIM(H555)="",100,J555)</f>
        <v>0</v>
      </c>
      <c r="AQ555" s="4"/>
      <c r="AR555" s="6" t="b">
        <f>NOT(TRIM(W555)&lt;&gt;"F")</f>
        <v>1</v>
      </c>
      <c r="AS555" s="6" t="str">
        <f>$B555&amp;" | "&amp;$AO555&amp;" | "&amp;IF(TRIM(H555)="","uniq"&amp;ROW(),TRIM(H555))</f>
        <v>461E | 90MB1BJ0-C1BAY0 | 59MB1BJB-MB0A02S |  |  |  |  |  |  | J4</v>
      </c>
      <c r="AT555" s="63">
        <f>IF(NOT(AR555),IF(TRIM($H555)="","Assembly","Phantom Alt"),VLOOKUP(F555,ZPCS04!B:G,6,0))</f>
        <v>1278</v>
      </c>
      <c r="AU555" s="7"/>
      <c r="AV555" s="38">
        <f ca="1">IF(TRIM($W555)="F",OFFSET($A$5,MATCH($AS555,$AS$5:$AS555,0)-1,0),$A555)</f>
        <v>553</v>
      </c>
      <c r="AW555" s="38">
        <f ca="1">IFERROR(OFFSET(ZPCS04!$A$1,MATCH(F555,ZPCS04!B:B,0)-1,0),100)</f>
        <v>2</v>
      </c>
      <c r="AX555" s="7"/>
      <c r="AY555" s="6" t="b">
        <f>SUMIF(AS:AS,AS555,AP:AP)=100</f>
        <v>1</v>
      </c>
      <c r="AZ555" s="6" t="b">
        <f>SUMIF(AS:AS,AS555,AE:AE)/COUNTIF(AS:AS,AS555)=AE555</f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>C555&amp;" | "&amp;F555</f>
        <v>90MB1BJ0-C1BAY0 | 10G215471002050</v>
      </c>
      <c r="BE555" s="55" t="str">
        <f ca="1">C555&amp;" | "&amp;OFFSET($AF555,0,8-COUNTBLANK($AG555:$AN555))</f>
        <v>90MB1BJ0-C1BAY0 | 59MB1BJB-MB0A02S</v>
      </c>
      <c r="BF555" s="57">
        <f ca="1">IFERROR(VLOOKUP($BE555,$BD$5:$BF554,3,0)*$AE555,VLOOKUP($C555,Demanda!$A:$B,2,0)*$AE555)*IF(AT555="Phantom Alt",$BC555,TRUE)</f>
        <v>2000</v>
      </c>
      <c r="BG555" s="57">
        <f ca="1">BF555*(AP555/100)</f>
        <v>0</v>
      </c>
      <c r="BH555" s="57">
        <f>SUMIF(Invoice!A:A,F555,Invoice!B:B)</f>
        <v>0</v>
      </c>
      <c r="BI555" s="57">
        <f ca="1">SUMIF(AS:AS,AS555,BG:BG)</f>
        <v>2000</v>
      </c>
      <c r="BJ555" s="57">
        <f ca="1">MIN((BI555-SUMIF($AS$5:AS554,AS555,$BJ$5:BJ554)),MAX(0,BH555-SUMIF($F$5:F554,F555,$BJ$5:BJ554)))</f>
        <v>0</v>
      </c>
      <c r="BK555" s="57">
        <f ca="1">(-SUMIF(AS:AS,AS555,BG:BG)+SUMIF(AS:AS,AS555,BJ:BJ))*(AP555=100)*AR555</f>
        <v>0</v>
      </c>
      <c r="BL555" s="57">
        <f ca="1">MAX(0,SUMIF(Invoice!A:A,F555,Invoice!B:B)-SUMIF(F:F,F555,BJ:BJ))*(COUNTIF(F:F,F555)=COUNTIF($F$5:F555,F555))</f>
        <v>0</v>
      </c>
    </row>
    <row r="556" spans="1:64" hidden="1">
      <c r="A556" s="43">
        <v>557</v>
      </c>
      <c r="B556" s="13" t="s">
        <v>147</v>
      </c>
      <c r="C556" s="13" t="s">
        <v>146</v>
      </c>
      <c r="D556" s="13">
        <v>2</v>
      </c>
      <c r="E556" s="13">
        <v>1950</v>
      </c>
      <c r="F556" s="71" t="s">
        <v>1352</v>
      </c>
      <c r="G556" s="71" t="s">
        <v>1353</v>
      </c>
      <c r="H556" s="13" t="s">
        <v>1351</v>
      </c>
      <c r="I556" s="13" t="s">
        <v>54</v>
      </c>
      <c r="J556" s="28">
        <v>100</v>
      </c>
      <c r="K556" s="13" t="s">
        <v>489</v>
      </c>
      <c r="L556" s="13" t="s">
        <v>53</v>
      </c>
      <c r="M556" s="13">
        <v>5</v>
      </c>
      <c r="N556" s="13">
        <v>5</v>
      </c>
      <c r="O556" s="13">
        <v>1</v>
      </c>
      <c r="P556" s="13">
        <v>2</v>
      </c>
      <c r="Q556" s="13">
        <v>1</v>
      </c>
      <c r="R556" s="13" t="s">
        <v>122</v>
      </c>
      <c r="S556" s="13" t="s">
        <v>122</v>
      </c>
      <c r="T556" s="13">
        <v>44901</v>
      </c>
      <c r="U556" s="13">
        <v>2958465</v>
      </c>
      <c r="V556" s="13" t="s">
        <v>282</v>
      </c>
      <c r="W556" s="13" t="s">
        <v>145</v>
      </c>
      <c r="Y556" s="13" t="s">
        <v>143</v>
      </c>
      <c r="Z556" s="13">
        <v>7589154</v>
      </c>
      <c r="AA556" s="13">
        <v>1000</v>
      </c>
      <c r="AB556" s="13">
        <v>500</v>
      </c>
      <c r="AE556" s="51">
        <f>M556/O556</f>
        <v>5</v>
      </c>
      <c r="AG556" s="6" t="str">
        <f>C556</f>
        <v>90MB1BJ0-C1BAY0</v>
      </c>
      <c r="AH556" s="6" t="str">
        <f>IF($D556&lt;=AH$4,"",IF(AND($D555=AH$4,$D556&gt;AH$4),$F555,AH555))</f>
        <v>59MB1BJB-MB0A02S</v>
      </c>
      <c r="AI556" s="6" t="str">
        <f>IF($D556&lt;=AI$4,"",IF(AND($D555=AI$4,$D556&gt;AI$4),$F555,AI555))</f>
        <v/>
      </c>
      <c r="AJ556" s="6" t="str">
        <f>IF($D556&lt;=AJ$4,"",IF(AND($D555=AJ$4,$D556&gt;AJ$4),$F555,AJ555))</f>
        <v/>
      </c>
      <c r="AK556" s="6" t="str">
        <f>IF($D556&lt;=AK$4,"",IF(AND($D555=AK$4,$D556&gt;AK$4),$F555,AK555))</f>
        <v/>
      </c>
      <c r="AL556" s="6" t="str">
        <f>IF($D556&lt;=AL$4,"",IF(AND($D555=AL$4,$D556&gt;AL$4),$F555,AL555))</f>
        <v/>
      </c>
      <c r="AM556" s="6" t="str">
        <f>IF($D556&lt;=AM$4,"",IF(AND($D555=AM$4,$D556&gt;AM$4),$F555,AM555))</f>
        <v/>
      </c>
      <c r="AN556" s="6" t="str">
        <f>IF($D556&lt;=AN$4,"",IF(AND($D555=AN$4,$D556&gt;AN$4),$F555,AN555))</f>
        <v/>
      </c>
      <c r="AO556" s="6" t="str">
        <f>CONCATENATE(AG556," | ",AH556," | ",AI556," | ",AJ556," | ",AK556," | ",AL556," | ",AM556," | ",AN556)</f>
        <v xml:space="preserve">90MB1BJ0-C1BAY0 | 59MB1BJB-MB0A02S |  |  |  |  |  | </v>
      </c>
      <c r="AP556" s="6">
        <f>IF(TRIM(H556)="",100,J556)</f>
        <v>100</v>
      </c>
      <c r="AQ556" s="4"/>
      <c r="AR556" s="6" t="b">
        <f>NOT(TRIM(W556)&lt;&gt;"F")</f>
        <v>1</v>
      </c>
      <c r="AS556" s="6" t="str">
        <f>$B556&amp;" | "&amp;$AO556&amp;" | "&amp;IF(TRIM(H556)="","uniq"&amp;ROW(),TRIM(H556))</f>
        <v>461E | 90MB1BJ0-C1BAY0 | 59MB1BJB-MB0A02S |  |  |  |  |  |  | J5</v>
      </c>
      <c r="AT556" s="63">
        <f>IF(NOT(AR556),IF(TRIM($H556)="","Assembly","Phantom Alt"),VLOOKUP(F556,ZPCS04!B:G,6,0))</f>
        <v>1171</v>
      </c>
      <c r="AU556" s="7"/>
      <c r="AV556" s="38">
        <f ca="1">IF(TRIM($W556)="F",OFFSET($A$5,MATCH($AS556,$AS$5:$AS556,0)-1,0),$A556)</f>
        <v>557</v>
      </c>
      <c r="AW556" s="38">
        <f ca="1">IFERROR(OFFSET(ZPCS04!$A$1,MATCH(F556,ZPCS04!B:B,0)-1,0),100)</f>
        <v>1.9999999499999999</v>
      </c>
      <c r="AX556" s="7"/>
      <c r="AY556" s="6" t="b">
        <f>SUMIF(AS:AS,AS556,AP:AP)=100</f>
        <v>1</v>
      </c>
      <c r="AZ556" s="6" t="b">
        <f>SUMIF(AS:AS,AS556,AE:AE)/COUNTIF(AS:AS,AS556)=AE556</f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>C556&amp;" | "&amp;F556</f>
        <v>90MB1BJ0-C1BAY0 | 10G216000001020</v>
      </c>
      <c r="BE556" s="55" t="str">
        <f ca="1">C556&amp;" | "&amp;OFFSET($AF556,0,8-COUNTBLANK($AG556:$AN556))</f>
        <v>90MB1BJ0-C1BAY0 | 59MB1BJB-MB0A02S</v>
      </c>
      <c r="BF556" s="57">
        <f ca="1">IFERROR(VLOOKUP($BE556,$BD$5:$BF555,3,0)*$AE556,VLOOKUP($C556,Demanda!$A:$B,2,0)*$AE556)*IF(AT556="Phantom Alt",$BC556,TRUE)</f>
        <v>5000</v>
      </c>
      <c r="BG556" s="57">
        <f ca="1">BF556*(AP556/100)</f>
        <v>5000</v>
      </c>
      <c r="BH556" s="57">
        <f>SUMIF(Invoice!A:A,F556,Invoice!B:B)</f>
        <v>5000</v>
      </c>
      <c r="BI556" s="57">
        <f ca="1">SUMIF(AS:AS,AS556,BG:BG)</f>
        <v>5000</v>
      </c>
      <c r="BJ556" s="57">
        <f ca="1">MIN((BI556-SUMIF($AS$5:AS555,AS556,$BJ$5:BJ555)),MAX(0,BH556-SUMIF($F$5:F555,F556,$BJ$5:BJ555)))</f>
        <v>5000</v>
      </c>
      <c r="BK556" s="57">
        <f ca="1">(-SUMIF(AS:AS,AS556,BG:BG)+SUMIF(AS:AS,AS556,BJ:BJ))*(AP556=100)*AR556</f>
        <v>0</v>
      </c>
      <c r="BL556" s="57">
        <f ca="1">MAX(0,SUMIF(Invoice!A:A,F556,Invoice!B:B)-SUMIF(F:F,F556,BJ:BJ))*(COUNTIF(F:F,F556)=COUNTIF($F$5:F556,F556))</f>
        <v>0</v>
      </c>
    </row>
    <row r="557" spans="1:64" hidden="1">
      <c r="A557" s="43">
        <v>556</v>
      </c>
      <c r="B557" s="13" t="s">
        <v>147</v>
      </c>
      <c r="C557" s="13" t="s">
        <v>146</v>
      </c>
      <c r="D557" s="13">
        <v>2</v>
      </c>
      <c r="E557" s="13">
        <v>1950</v>
      </c>
      <c r="F557" s="71" t="s">
        <v>1349</v>
      </c>
      <c r="G557" s="71" t="s">
        <v>1350</v>
      </c>
      <c r="H557" s="13" t="s">
        <v>1351</v>
      </c>
      <c r="I557" s="13" t="s">
        <v>55</v>
      </c>
      <c r="J557" s="28">
        <v>0</v>
      </c>
      <c r="K557" s="13" t="s">
        <v>489</v>
      </c>
      <c r="L557" s="13" t="s">
        <v>53</v>
      </c>
      <c r="M557" s="13">
        <v>5</v>
      </c>
      <c r="O557" s="13">
        <v>1</v>
      </c>
      <c r="P557" s="13">
        <v>2</v>
      </c>
      <c r="Q557" s="13">
        <v>2</v>
      </c>
      <c r="R557" s="13" t="s">
        <v>122</v>
      </c>
      <c r="S557" s="13" t="s">
        <v>122</v>
      </c>
      <c r="T557" s="13">
        <v>44901</v>
      </c>
      <c r="U557" s="13">
        <v>2958465</v>
      </c>
      <c r="V557" s="13" t="s">
        <v>282</v>
      </c>
      <c r="W557" s="13" t="s">
        <v>145</v>
      </c>
      <c r="Y557" s="13" t="s">
        <v>143</v>
      </c>
      <c r="Z557" s="13">
        <v>7589154</v>
      </c>
      <c r="AA557" s="13">
        <v>1002</v>
      </c>
      <c r="AB557" s="13">
        <v>501</v>
      </c>
      <c r="AE557" s="51">
        <f>M557/O557</f>
        <v>5</v>
      </c>
      <c r="AG557" s="6" t="str">
        <f>C557</f>
        <v>90MB1BJ0-C1BAY0</v>
      </c>
      <c r="AH557" s="6" t="str">
        <f>IF($D557&lt;=AH$4,"",IF(AND($D556=AH$4,$D557&gt;AH$4),$F556,AH556))</f>
        <v>59MB1BJB-MB0A02S</v>
      </c>
      <c r="AI557" s="6" t="str">
        <f>IF($D557&lt;=AI$4,"",IF(AND($D556=AI$4,$D557&gt;AI$4),$F556,AI556))</f>
        <v/>
      </c>
      <c r="AJ557" s="6" t="str">
        <f>IF($D557&lt;=AJ$4,"",IF(AND($D556=AJ$4,$D557&gt;AJ$4),$F556,AJ556))</f>
        <v/>
      </c>
      <c r="AK557" s="6" t="str">
        <f>IF($D557&lt;=AK$4,"",IF(AND($D556=AK$4,$D557&gt;AK$4),$F556,AK556))</f>
        <v/>
      </c>
      <c r="AL557" s="6" t="str">
        <f>IF($D557&lt;=AL$4,"",IF(AND($D556=AL$4,$D557&gt;AL$4),$F556,AL556))</f>
        <v/>
      </c>
      <c r="AM557" s="6" t="str">
        <f>IF($D557&lt;=AM$4,"",IF(AND($D556=AM$4,$D557&gt;AM$4),$F556,AM556))</f>
        <v/>
      </c>
      <c r="AN557" s="6" t="str">
        <f>IF($D557&lt;=AN$4,"",IF(AND($D556=AN$4,$D557&gt;AN$4),$F556,AN556))</f>
        <v/>
      </c>
      <c r="AO557" s="6" t="str">
        <f>CONCATENATE(AG557," | ",AH557," | ",AI557," | ",AJ557," | ",AK557," | ",AL557," | ",AM557," | ",AN557)</f>
        <v xml:space="preserve">90MB1BJ0-C1BAY0 | 59MB1BJB-MB0A02S |  |  |  |  |  | </v>
      </c>
      <c r="AP557" s="6">
        <f>IF(TRIM(H557)="",100,J557)</f>
        <v>0</v>
      </c>
      <c r="AQ557" s="4"/>
      <c r="AR557" s="6" t="b">
        <f>NOT(TRIM(W557)&lt;&gt;"F")</f>
        <v>1</v>
      </c>
      <c r="AS557" s="6" t="str">
        <f>$B557&amp;" | "&amp;$AO557&amp;" | "&amp;IF(TRIM(H557)="","uniq"&amp;ROW(),TRIM(H557))</f>
        <v>461E | 90MB1BJ0-C1BAY0 | 59MB1BJB-MB0A02S |  |  |  |  |  |  | J5</v>
      </c>
      <c r="AT557" s="63">
        <f>IF(NOT(AR557),IF(TRIM($H557)="","Assembly","Phantom Alt"),VLOOKUP(F557,ZPCS04!B:G,6,0))</f>
        <v>1171</v>
      </c>
      <c r="AU557" s="7"/>
      <c r="AV557" s="38">
        <f ca="1">IF(TRIM($W557)="F",OFFSET($A$5,MATCH($AS557,$AS$5:$AS557,0)-1,0),$A557)</f>
        <v>557</v>
      </c>
      <c r="AW557" s="38">
        <f ca="1">IFERROR(OFFSET(ZPCS04!$A$1,MATCH(F557,ZPCS04!B:B,0)-1,0),100)</f>
        <v>2</v>
      </c>
      <c r="AX557" s="7"/>
      <c r="AY557" s="6" t="b">
        <f>SUMIF(AS:AS,AS557,AP:AP)=100</f>
        <v>1</v>
      </c>
      <c r="AZ557" s="6" t="b">
        <f>SUMIF(AS:AS,AS557,AE:AE)/COUNTIF(AS:AS,AS557)=AE557</f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>C557&amp;" | "&amp;F557</f>
        <v>90MB1BJ0-C1BAY0 | 10G216000001010</v>
      </c>
      <c r="BE557" s="55" t="str">
        <f ca="1">C557&amp;" | "&amp;OFFSET($AF557,0,8-COUNTBLANK($AG557:$AN557))</f>
        <v>90MB1BJ0-C1BAY0 | 59MB1BJB-MB0A02S</v>
      </c>
      <c r="BF557" s="57">
        <f ca="1">IFERROR(VLOOKUP($BE557,$BD$5:$BF556,3,0)*$AE557,VLOOKUP($C557,Demanda!$A:$B,2,0)*$AE557)*IF(AT557="Phantom Alt",$BC557,TRUE)</f>
        <v>5000</v>
      </c>
      <c r="BG557" s="57">
        <f ca="1">BF557*(AP557/100)</f>
        <v>0</v>
      </c>
      <c r="BH557" s="57">
        <f>SUMIF(Invoice!A:A,F557,Invoice!B:B)</f>
        <v>0</v>
      </c>
      <c r="BI557" s="57">
        <f ca="1">SUMIF(AS:AS,AS557,BG:BG)</f>
        <v>5000</v>
      </c>
      <c r="BJ557" s="57">
        <f ca="1">MIN((BI557-SUMIF($AS$5:AS556,AS557,$BJ$5:BJ556)),MAX(0,BH557-SUMIF($F$5:F556,F557,$BJ$5:BJ556)))</f>
        <v>0</v>
      </c>
      <c r="BK557" s="57">
        <f ca="1">(-SUMIF(AS:AS,AS557,BG:BG)+SUMIF(AS:AS,AS557,BJ:BJ))*(AP557=100)*AR557</f>
        <v>0</v>
      </c>
      <c r="BL557" s="57">
        <f ca="1">MAX(0,SUMIF(Invoice!A:A,F557,Invoice!B:B)-SUMIF(F:F,F557,BJ:BJ))*(COUNTIF(F:F,F557)=COUNTIF($F$5:F557,F557))</f>
        <v>0</v>
      </c>
    </row>
    <row r="558" spans="1:64" hidden="1">
      <c r="A558" s="43">
        <v>558</v>
      </c>
      <c r="B558" s="13" t="s">
        <v>147</v>
      </c>
      <c r="C558" s="13" t="s">
        <v>146</v>
      </c>
      <c r="D558" s="13">
        <v>2</v>
      </c>
      <c r="E558" s="13">
        <v>1950</v>
      </c>
      <c r="F558" s="71" t="s">
        <v>1354</v>
      </c>
      <c r="G558" s="71" t="s">
        <v>1355</v>
      </c>
      <c r="H558" s="13" t="s">
        <v>1351</v>
      </c>
      <c r="I558" s="13" t="s">
        <v>55</v>
      </c>
      <c r="J558" s="28">
        <v>0</v>
      </c>
      <c r="K558" s="13" t="s">
        <v>150</v>
      </c>
      <c r="L558" s="13" t="s">
        <v>53</v>
      </c>
      <c r="M558" s="13">
        <v>5</v>
      </c>
      <c r="O558" s="13">
        <v>1</v>
      </c>
      <c r="P558" s="13">
        <v>2</v>
      </c>
      <c r="Q558" s="13">
        <v>3</v>
      </c>
      <c r="R558" s="13" t="s">
        <v>73</v>
      </c>
      <c r="S558" s="13" t="s">
        <v>73</v>
      </c>
      <c r="T558" s="13">
        <v>44901</v>
      </c>
      <c r="U558" s="13">
        <v>2958465</v>
      </c>
      <c r="V558" s="13" t="s">
        <v>282</v>
      </c>
      <c r="W558" s="13" t="s">
        <v>145</v>
      </c>
      <c r="Y558" s="13" t="s">
        <v>143</v>
      </c>
      <c r="Z558" s="13">
        <v>7589154</v>
      </c>
      <c r="AA558" s="13">
        <v>1004</v>
      </c>
      <c r="AB558" s="13">
        <v>502</v>
      </c>
      <c r="AE558" s="51">
        <f>M558/O558</f>
        <v>5</v>
      </c>
      <c r="AG558" s="6" t="str">
        <f>C558</f>
        <v>90MB1BJ0-C1BAY0</v>
      </c>
      <c r="AH558" s="6" t="str">
        <f>IF($D558&lt;=AH$4,"",IF(AND($D557=AH$4,$D558&gt;AH$4),$F557,AH557))</f>
        <v>59MB1BJB-MB0A02S</v>
      </c>
      <c r="AI558" s="6" t="str">
        <f>IF($D558&lt;=AI$4,"",IF(AND($D557=AI$4,$D558&gt;AI$4),$F557,AI557))</f>
        <v/>
      </c>
      <c r="AJ558" s="6" t="str">
        <f>IF($D558&lt;=AJ$4,"",IF(AND($D557=AJ$4,$D558&gt;AJ$4),$F557,AJ557))</f>
        <v/>
      </c>
      <c r="AK558" s="6" t="str">
        <f>IF($D558&lt;=AK$4,"",IF(AND($D557=AK$4,$D558&gt;AK$4),$F557,AK557))</f>
        <v/>
      </c>
      <c r="AL558" s="6" t="str">
        <f>IF($D558&lt;=AL$4,"",IF(AND($D557=AL$4,$D558&gt;AL$4),$F557,AL557))</f>
        <v/>
      </c>
      <c r="AM558" s="6" t="str">
        <f>IF($D558&lt;=AM$4,"",IF(AND($D557=AM$4,$D558&gt;AM$4),$F557,AM557))</f>
        <v/>
      </c>
      <c r="AN558" s="6" t="str">
        <f>IF($D558&lt;=AN$4,"",IF(AND($D557=AN$4,$D558&gt;AN$4),$F557,AN557))</f>
        <v/>
      </c>
      <c r="AO558" s="6" t="str">
        <f>CONCATENATE(AG558," | ",AH558," | ",AI558," | ",AJ558," | ",AK558," | ",AL558," | ",AM558," | ",AN558)</f>
        <v xml:space="preserve">90MB1BJ0-C1BAY0 | 59MB1BJB-MB0A02S |  |  |  |  |  | </v>
      </c>
      <c r="AP558" s="6">
        <f>IF(TRIM(H558)="",100,J558)</f>
        <v>0</v>
      </c>
      <c r="AQ558" s="4"/>
      <c r="AR558" s="6" t="b">
        <f>NOT(TRIM(W558)&lt;&gt;"F")</f>
        <v>1</v>
      </c>
      <c r="AS558" s="6" t="str">
        <f>$B558&amp;" | "&amp;$AO558&amp;" | "&amp;IF(TRIM(H558)="","uniq"&amp;ROW(),TRIM(H558))</f>
        <v>461E | 90MB1BJ0-C1BAY0 | 59MB1BJB-MB0A02S |  |  |  |  |  |  | J5</v>
      </c>
      <c r="AT558" s="63">
        <f>IF(NOT(AR558),IF(TRIM($H558)="","Assembly","Phantom Alt"),VLOOKUP(F558,ZPCS04!B:G,6,0))</f>
        <v>1171</v>
      </c>
      <c r="AU558" s="7"/>
      <c r="AV558" s="38">
        <f ca="1">IF(TRIM($W558)="F",OFFSET($A$5,MATCH($AS558,$AS$5:$AS558,0)-1,0),$A558)</f>
        <v>557</v>
      </c>
      <c r="AW558" s="38">
        <f ca="1">IFERROR(OFFSET(ZPCS04!$A$1,MATCH(F558,ZPCS04!B:B,0)-1,0),100)</f>
        <v>2</v>
      </c>
      <c r="AX558" s="7"/>
      <c r="AY558" s="6" t="b">
        <f>SUMIF(AS:AS,AS558,AP:AP)=100</f>
        <v>1</v>
      </c>
      <c r="AZ558" s="6" t="b">
        <f>SUMIF(AS:AS,AS558,AE:AE)/COUNTIF(AS:AS,AS558)=AE558</f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>C558&amp;" | "&amp;F558</f>
        <v>90MB1BJ0-C1BAY0 | 10G216000001050</v>
      </c>
      <c r="BE558" s="55" t="str">
        <f ca="1">C558&amp;" | "&amp;OFFSET($AF558,0,8-COUNTBLANK($AG558:$AN558))</f>
        <v>90MB1BJ0-C1BAY0 | 59MB1BJB-MB0A02S</v>
      </c>
      <c r="BF558" s="57">
        <f ca="1">IFERROR(VLOOKUP($BE558,$BD$5:$BF557,3,0)*$AE558,VLOOKUP($C558,Demanda!$A:$B,2,0)*$AE558)*IF(AT558="Phantom Alt",$BC558,TRUE)</f>
        <v>5000</v>
      </c>
      <c r="BG558" s="57">
        <f ca="1">BF558*(AP558/100)</f>
        <v>0</v>
      </c>
      <c r="BH558" s="57">
        <f>SUMIF(Invoice!A:A,F558,Invoice!B:B)</f>
        <v>0</v>
      </c>
      <c r="BI558" s="57">
        <f ca="1">SUMIF(AS:AS,AS558,BG:BG)</f>
        <v>5000</v>
      </c>
      <c r="BJ558" s="57">
        <f ca="1">MIN((BI558-SUMIF($AS$5:AS557,AS558,$BJ$5:BJ557)),MAX(0,BH558-SUMIF($F$5:F557,F558,$BJ$5:BJ557)))</f>
        <v>0</v>
      </c>
      <c r="BK558" s="57">
        <f ca="1">(-SUMIF(AS:AS,AS558,BG:BG)+SUMIF(AS:AS,AS558,BJ:BJ))*(AP558=100)*AR558</f>
        <v>0</v>
      </c>
      <c r="BL558" s="57">
        <f ca="1">MAX(0,SUMIF(Invoice!A:A,F558,Invoice!B:B)-SUMIF(F:F,F558,BJ:BJ))*(COUNTIF(F:F,F558)=COUNTIF($F$5:F558,F558))</f>
        <v>0</v>
      </c>
    </row>
    <row r="559" spans="1:64" hidden="1">
      <c r="A559" s="43">
        <v>559</v>
      </c>
      <c r="B559" s="13" t="s">
        <v>147</v>
      </c>
      <c r="C559" s="13" t="s">
        <v>146</v>
      </c>
      <c r="D559" s="13">
        <v>2</v>
      </c>
      <c r="E559" s="13">
        <v>1960</v>
      </c>
      <c r="F559" s="71" t="s">
        <v>1356</v>
      </c>
      <c r="G559" s="71" t="s">
        <v>1357</v>
      </c>
      <c r="H559" s="13" t="s">
        <v>1358</v>
      </c>
      <c r="I559" s="13" t="s">
        <v>54</v>
      </c>
      <c r="J559" s="28">
        <v>100</v>
      </c>
      <c r="K559" s="13" t="s">
        <v>150</v>
      </c>
      <c r="L559" s="13" t="s">
        <v>53</v>
      </c>
      <c r="M559" s="13">
        <v>2</v>
      </c>
      <c r="N559" s="13">
        <v>2</v>
      </c>
      <c r="O559" s="13">
        <v>1</v>
      </c>
      <c r="P559" s="13">
        <v>2</v>
      </c>
      <c r="Q559" s="13">
        <v>1</v>
      </c>
      <c r="R559" s="13" t="s">
        <v>73</v>
      </c>
      <c r="S559" s="13" t="s">
        <v>73</v>
      </c>
      <c r="T559" s="13">
        <v>44901</v>
      </c>
      <c r="U559" s="13">
        <v>2958465</v>
      </c>
      <c r="V559" s="13" t="s">
        <v>282</v>
      </c>
      <c r="W559" s="13" t="s">
        <v>145</v>
      </c>
      <c r="Y559" s="13" t="s">
        <v>143</v>
      </c>
      <c r="Z559" s="13">
        <v>7589154</v>
      </c>
      <c r="AA559" s="13">
        <v>1006</v>
      </c>
      <c r="AB559" s="13">
        <v>503</v>
      </c>
      <c r="AE559" s="51">
        <f>M559/O559</f>
        <v>2</v>
      </c>
      <c r="AG559" s="6" t="str">
        <f>C559</f>
        <v>90MB1BJ0-C1BAY0</v>
      </c>
      <c r="AH559" s="6" t="str">
        <f>IF($D559&lt;=AH$4,"",IF(AND($D558=AH$4,$D559&gt;AH$4),$F558,AH558))</f>
        <v>59MB1BJB-MB0A02S</v>
      </c>
      <c r="AI559" s="6" t="str">
        <f>IF($D559&lt;=AI$4,"",IF(AND($D558=AI$4,$D559&gt;AI$4),$F558,AI558))</f>
        <v/>
      </c>
      <c r="AJ559" s="6" t="str">
        <f>IF($D559&lt;=AJ$4,"",IF(AND($D558=AJ$4,$D559&gt;AJ$4),$F558,AJ558))</f>
        <v/>
      </c>
      <c r="AK559" s="6" t="str">
        <f>IF($D559&lt;=AK$4,"",IF(AND($D558=AK$4,$D559&gt;AK$4),$F558,AK558))</f>
        <v/>
      </c>
      <c r="AL559" s="6" t="str">
        <f>IF($D559&lt;=AL$4,"",IF(AND($D558=AL$4,$D559&gt;AL$4),$F558,AL558))</f>
        <v/>
      </c>
      <c r="AM559" s="6" t="str">
        <f>IF($D559&lt;=AM$4,"",IF(AND($D558=AM$4,$D559&gt;AM$4),$F558,AM558))</f>
        <v/>
      </c>
      <c r="AN559" s="6" t="str">
        <f>IF($D559&lt;=AN$4,"",IF(AND($D558=AN$4,$D559&gt;AN$4),$F558,AN558))</f>
        <v/>
      </c>
      <c r="AO559" s="6" t="str">
        <f>CONCATENATE(AG559," | ",AH559," | ",AI559," | ",AJ559," | ",AK559," | ",AL559," | ",AM559," | ",AN559)</f>
        <v xml:space="preserve">90MB1BJ0-C1BAY0 | 59MB1BJB-MB0A02S |  |  |  |  |  | </v>
      </c>
      <c r="AP559" s="6">
        <f>IF(TRIM(H559)="",100,J559)</f>
        <v>100</v>
      </c>
      <c r="AQ559" s="4"/>
      <c r="AR559" s="6" t="b">
        <f>NOT(TRIM(W559)&lt;&gt;"F")</f>
        <v>1</v>
      </c>
      <c r="AS559" s="6" t="str">
        <f>$B559&amp;" | "&amp;$AO559&amp;" | "&amp;IF(TRIM(H559)="","uniq"&amp;ROW(),TRIM(H559))</f>
        <v>461E | 90MB1BJ0-C1BAY0 | 59MB1BJB-MB0A02S |  |  |  |  |  |  | J6</v>
      </c>
      <c r="AT559" s="63">
        <f>IF(NOT(AR559),IF(TRIM($H559)="","Assembly","Phantom Alt"),VLOOKUP(F559,ZPCS04!B:G,6,0))</f>
        <v>727</v>
      </c>
      <c r="AU559" s="7"/>
      <c r="AV559" s="38">
        <f ca="1">IF(TRIM($W559)="F",OFFSET($A$5,MATCH($AS559,$AS$5:$AS559,0)-1,0),$A559)</f>
        <v>559</v>
      </c>
      <c r="AW559" s="38">
        <f ca="1">IFERROR(OFFSET(ZPCS04!$A$1,MATCH(F559,ZPCS04!B:B,0)-1,0),100)</f>
        <v>1.9999999499999999</v>
      </c>
      <c r="AX559" s="7"/>
      <c r="AY559" s="6" t="b">
        <f>SUMIF(AS:AS,AS559,AP:AP)=100</f>
        <v>1</v>
      </c>
      <c r="AZ559" s="6" t="b">
        <f>SUMIF(AS:AS,AS559,AE:AE)/COUNTIF(AS:AS,AS559)=AE559</f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>C559&amp;" | "&amp;F559</f>
        <v>90MB1BJ0-C1BAY0 | 10G216101001010</v>
      </c>
      <c r="BE559" s="55" t="str">
        <f ca="1">C559&amp;" | "&amp;OFFSET($AF559,0,8-COUNTBLANK($AG559:$AN559))</f>
        <v>90MB1BJ0-C1BAY0 | 59MB1BJB-MB0A02S</v>
      </c>
      <c r="BF559" s="57">
        <f ca="1">IFERROR(VLOOKUP($BE559,$BD$5:$BF558,3,0)*$AE559,VLOOKUP($C559,Demanda!$A:$B,2,0)*$AE559)*IF(AT559="Phantom Alt",$BC559,TRUE)</f>
        <v>2000</v>
      </c>
      <c r="BG559" s="57">
        <f ca="1">BF559*(AP559/100)</f>
        <v>2000</v>
      </c>
      <c r="BH559" s="57">
        <f>SUMIF(Invoice!A:A,F559,Invoice!B:B)</f>
        <v>5000</v>
      </c>
      <c r="BI559" s="57">
        <f ca="1">SUMIF(AS:AS,AS559,BG:BG)</f>
        <v>2000</v>
      </c>
      <c r="BJ559" s="57">
        <f ca="1">MIN((BI559-SUMIF($AS$5:AS558,AS559,$BJ$5:BJ558)),MAX(0,BH559-SUMIF($F$5:F558,F559,$BJ$5:BJ558)))</f>
        <v>2000</v>
      </c>
      <c r="BK559" s="57">
        <f ca="1">(-SUMIF(AS:AS,AS559,BG:BG)+SUMIF(AS:AS,AS559,BJ:BJ))*(AP559=100)*AR559</f>
        <v>0</v>
      </c>
      <c r="BL559" s="57">
        <f ca="1">MAX(0,SUMIF(Invoice!A:A,F559,Invoice!B:B)-SUMIF(F:F,F559,BJ:BJ))*(COUNTIF(F:F,F559)=COUNTIF($F$5:F559,F559))</f>
        <v>3000</v>
      </c>
    </row>
    <row r="560" spans="1:64" hidden="1">
      <c r="A560" s="43">
        <v>560</v>
      </c>
      <c r="B560" s="13" t="s">
        <v>147</v>
      </c>
      <c r="C560" s="13" t="s">
        <v>146</v>
      </c>
      <c r="D560" s="13">
        <v>2</v>
      </c>
      <c r="E560" s="13">
        <v>1960</v>
      </c>
      <c r="F560" s="71" t="s">
        <v>1359</v>
      </c>
      <c r="G560" s="71" t="s">
        <v>1360</v>
      </c>
      <c r="H560" s="13" t="s">
        <v>1358</v>
      </c>
      <c r="I560" s="13" t="s">
        <v>55</v>
      </c>
      <c r="J560" s="28">
        <v>0</v>
      </c>
      <c r="K560" s="13" t="s">
        <v>150</v>
      </c>
      <c r="L560" s="13" t="s">
        <v>53</v>
      </c>
      <c r="M560" s="13">
        <v>2</v>
      </c>
      <c r="O560" s="13">
        <v>1</v>
      </c>
      <c r="P560" s="13">
        <v>2</v>
      </c>
      <c r="Q560" s="13">
        <v>2</v>
      </c>
      <c r="R560" s="13" t="s">
        <v>73</v>
      </c>
      <c r="S560" s="13" t="s">
        <v>73</v>
      </c>
      <c r="T560" s="13">
        <v>44901</v>
      </c>
      <c r="U560" s="13">
        <v>2958465</v>
      </c>
      <c r="V560" s="13" t="s">
        <v>282</v>
      </c>
      <c r="W560" s="13" t="s">
        <v>145</v>
      </c>
      <c r="Y560" s="13" t="s">
        <v>143</v>
      </c>
      <c r="Z560" s="13">
        <v>7589154</v>
      </c>
      <c r="AA560" s="13">
        <v>1008</v>
      </c>
      <c r="AB560" s="13">
        <v>504</v>
      </c>
      <c r="AE560" s="51">
        <f>M560/O560</f>
        <v>2</v>
      </c>
      <c r="AG560" s="6" t="str">
        <f>C560</f>
        <v>90MB1BJ0-C1BAY0</v>
      </c>
      <c r="AH560" s="6" t="str">
        <f>IF($D560&lt;=AH$4,"",IF(AND($D559=AH$4,$D560&gt;AH$4),$F559,AH559))</f>
        <v>59MB1BJB-MB0A02S</v>
      </c>
      <c r="AI560" s="6" t="str">
        <f>IF($D560&lt;=AI$4,"",IF(AND($D559=AI$4,$D560&gt;AI$4),$F559,AI559))</f>
        <v/>
      </c>
      <c r="AJ560" s="6" t="str">
        <f>IF($D560&lt;=AJ$4,"",IF(AND($D559=AJ$4,$D560&gt;AJ$4),$F559,AJ559))</f>
        <v/>
      </c>
      <c r="AK560" s="6" t="str">
        <f>IF($D560&lt;=AK$4,"",IF(AND($D559=AK$4,$D560&gt;AK$4),$F559,AK559))</f>
        <v/>
      </c>
      <c r="AL560" s="6" t="str">
        <f>IF($D560&lt;=AL$4,"",IF(AND($D559=AL$4,$D560&gt;AL$4),$F559,AL559))</f>
        <v/>
      </c>
      <c r="AM560" s="6" t="str">
        <f>IF($D560&lt;=AM$4,"",IF(AND($D559=AM$4,$D560&gt;AM$4),$F559,AM559))</f>
        <v/>
      </c>
      <c r="AN560" s="6" t="str">
        <f>IF($D560&lt;=AN$4,"",IF(AND($D559=AN$4,$D560&gt;AN$4),$F559,AN559))</f>
        <v/>
      </c>
      <c r="AO560" s="6" t="str">
        <f>CONCATENATE(AG560," | ",AH560," | ",AI560," | ",AJ560," | ",AK560," | ",AL560," | ",AM560," | ",AN560)</f>
        <v xml:space="preserve">90MB1BJ0-C1BAY0 | 59MB1BJB-MB0A02S |  |  |  |  |  | </v>
      </c>
      <c r="AP560" s="6">
        <f>IF(TRIM(H560)="",100,J560)</f>
        <v>0</v>
      </c>
      <c r="AQ560" s="4"/>
      <c r="AR560" s="6" t="b">
        <f>NOT(TRIM(W560)&lt;&gt;"F")</f>
        <v>1</v>
      </c>
      <c r="AS560" s="6" t="str">
        <f>$B560&amp;" | "&amp;$AO560&amp;" | "&amp;IF(TRIM(H560)="","uniq"&amp;ROW(),TRIM(H560))</f>
        <v>461E | 90MB1BJ0-C1BAY0 | 59MB1BJB-MB0A02S |  |  |  |  |  |  | J6</v>
      </c>
      <c r="AT560" s="63">
        <f>IF(NOT(AR560),IF(TRIM($H560)="","Assembly","Phantom Alt"),VLOOKUP(F560,ZPCS04!B:G,6,0))</f>
        <v>727</v>
      </c>
      <c r="AU560" s="7"/>
      <c r="AV560" s="38">
        <f ca="1">IF(TRIM($W560)="F",OFFSET($A$5,MATCH($AS560,$AS$5:$AS560,0)-1,0),$A560)</f>
        <v>559</v>
      </c>
      <c r="AW560" s="38">
        <f ca="1">IFERROR(OFFSET(ZPCS04!$A$1,MATCH(F560,ZPCS04!B:B,0)-1,0),100)</f>
        <v>2</v>
      </c>
      <c r="AX560" s="7"/>
      <c r="AY560" s="6" t="b">
        <f>SUMIF(AS:AS,AS560,AP:AP)=100</f>
        <v>1</v>
      </c>
      <c r="AZ560" s="6" t="b">
        <f>SUMIF(AS:AS,AS560,AE:AE)/COUNTIF(AS:AS,AS560)=AE560</f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>C560&amp;" | "&amp;F560</f>
        <v>90MB1BJ0-C1BAY0 | 10G216101001020</v>
      </c>
      <c r="BE560" s="55" t="str">
        <f ca="1">C560&amp;" | "&amp;OFFSET($AF560,0,8-COUNTBLANK($AG560:$AN560))</f>
        <v>90MB1BJ0-C1BAY0 | 59MB1BJB-MB0A02S</v>
      </c>
      <c r="BF560" s="57">
        <f ca="1">IFERROR(VLOOKUP($BE560,$BD$5:$BF559,3,0)*$AE560,VLOOKUP($C560,Demanda!$A:$B,2,0)*$AE560)*IF(AT560="Phantom Alt",$BC560,TRUE)</f>
        <v>2000</v>
      </c>
      <c r="BG560" s="57">
        <f ca="1">BF560*(AP560/100)</f>
        <v>0</v>
      </c>
      <c r="BH560" s="57">
        <f>SUMIF(Invoice!A:A,F560,Invoice!B:B)</f>
        <v>0</v>
      </c>
      <c r="BI560" s="57">
        <f ca="1">SUMIF(AS:AS,AS560,BG:BG)</f>
        <v>2000</v>
      </c>
      <c r="BJ560" s="57">
        <f ca="1">MIN((BI560-SUMIF($AS$5:AS559,AS560,$BJ$5:BJ559)),MAX(0,BH560-SUMIF($F$5:F559,F560,$BJ$5:BJ559)))</f>
        <v>0</v>
      </c>
      <c r="BK560" s="57">
        <f ca="1">(-SUMIF(AS:AS,AS560,BG:BG)+SUMIF(AS:AS,AS560,BJ:BJ))*(AP560=100)*AR560</f>
        <v>0</v>
      </c>
      <c r="BL560" s="57">
        <f ca="1">MAX(0,SUMIF(Invoice!A:A,F560,Invoice!B:B)-SUMIF(F:F,F560,BJ:BJ))*(COUNTIF(F:F,F560)=COUNTIF($F$5:F560,F560))</f>
        <v>0</v>
      </c>
    </row>
    <row r="561" spans="1:64" hidden="1">
      <c r="A561" s="43">
        <v>561</v>
      </c>
      <c r="B561" s="13" t="s">
        <v>147</v>
      </c>
      <c r="C561" s="13" t="s">
        <v>146</v>
      </c>
      <c r="D561" s="13">
        <v>2</v>
      </c>
      <c r="E561" s="13">
        <v>1960</v>
      </c>
      <c r="F561" s="71" t="s">
        <v>1361</v>
      </c>
      <c r="G561" s="71" t="s">
        <v>1362</v>
      </c>
      <c r="H561" s="13" t="s">
        <v>1358</v>
      </c>
      <c r="I561" s="13" t="s">
        <v>55</v>
      </c>
      <c r="J561" s="28">
        <v>0</v>
      </c>
      <c r="K561" s="13" t="s">
        <v>150</v>
      </c>
      <c r="L561" s="13" t="s">
        <v>53</v>
      </c>
      <c r="M561" s="13">
        <v>2</v>
      </c>
      <c r="O561" s="13">
        <v>1</v>
      </c>
      <c r="P561" s="13">
        <v>2</v>
      </c>
      <c r="Q561" s="13">
        <v>3</v>
      </c>
      <c r="R561" s="13" t="s">
        <v>73</v>
      </c>
      <c r="S561" s="13" t="s">
        <v>73</v>
      </c>
      <c r="T561" s="13">
        <v>44901</v>
      </c>
      <c r="U561" s="13">
        <v>2958465</v>
      </c>
      <c r="V561" s="13" t="s">
        <v>282</v>
      </c>
      <c r="W561" s="13" t="s">
        <v>145</v>
      </c>
      <c r="Y561" s="13" t="s">
        <v>143</v>
      </c>
      <c r="Z561" s="13">
        <v>7589154</v>
      </c>
      <c r="AA561" s="13">
        <v>1010</v>
      </c>
      <c r="AB561" s="13">
        <v>505</v>
      </c>
      <c r="AE561" s="51">
        <f>M561/O561</f>
        <v>2</v>
      </c>
      <c r="AG561" s="6" t="str">
        <f>C561</f>
        <v>90MB1BJ0-C1BAY0</v>
      </c>
      <c r="AH561" s="6" t="str">
        <f>IF($D561&lt;=AH$4,"",IF(AND($D560=AH$4,$D561&gt;AH$4),$F560,AH560))</f>
        <v>59MB1BJB-MB0A02S</v>
      </c>
      <c r="AI561" s="6" t="str">
        <f>IF($D561&lt;=AI$4,"",IF(AND($D560=AI$4,$D561&gt;AI$4),$F560,AI560))</f>
        <v/>
      </c>
      <c r="AJ561" s="6" t="str">
        <f>IF($D561&lt;=AJ$4,"",IF(AND($D560=AJ$4,$D561&gt;AJ$4),$F560,AJ560))</f>
        <v/>
      </c>
      <c r="AK561" s="6" t="str">
        <f>IF($D561&lt;=AK$4,"",IF(AND($D560=AK$4,$D561&gt;AK$4),$F560,AK560))</f>
        <v/>
      </c>
      <c r="AL561" s="6" t="str">
        <f>IF($D561&lt;=AL$4,"",IF(AND($D560=AL$4,$D561&gt;AL$4),$F560,AL560))</f>
        <v/>
      </c>
      <c r="AM561" s="6" t="str">
        <f>IF($D561&lt;=AM$4,"",IF(AND($D560=AM$4,$D561&gt;AM$4),$F560,AM560))</f>
        <v/>
      </c>
      <c r="AN561" s="6" t="str">
        <f>IF($D561&lt;=AN$4,"",IF(AND($D560=AN$4,$D561&gt;AN$4),$F560,AN560))</f>
        <v/>
      </c>
      <c r="AO561" s="6" t="str">
        <f>CONCATENATE(AG561," | ",AH561," | ",AI561," | ",AJ561," | ",AK561," | ",AL561," | ",AM561," | ",AN561)</f>
        <v xml:space="preserve">90MB1BJ0-C1BAY0 | 59MB1BJB-MB0A02S |  |  |  |  |  | </v>
      </c>
      <c r="AP561" s="6">
        <f>IF(TRIM(H561)="",100,J561)</f>
        <v>0</v>
      </c>
      <c r="AQ561" s="4"/>
      <c r="AR561" s="6" t="b">
        <f>NOT(TRIM(W561)&lt;&gt;"F")</f>
        <v>1</v>
      </c>
      <c r="AS561" s="6" t="str">
        <f>$B561&amp;" | "&amp;$AO561&amp;" | "&amp;IF(TRIM(H561)="","uniq"&amp;ROW(),TRIM(H561))</f>
        <v>461E | 90MB1BJ0-C1BAY0 | 59MB1BJB-MB0A02S |  |  |  |  |  |  | J6</v>
      </c>
      <c r="AT561" s="63">
        <f>IF(NOT(AR561),IF(TRIM($H561)="","Assembly","Phantom Alt"),VLOOKUP(F561,ZPCS04!B:G,6,0))</f>
        <v>727</v>
      </c>
      <c r="AU561" s="7"/>
      <c r="AV561" s="38">
        <f ca="1">IF(TRIM($W561)="F",OFFSET($A$5,MATCH($AS561,$AS$5:$AS561,0)-1,0),$A561)</f>
        <v>559</v>
      </c>
      <c r="AW561" s="38">
        <f ca="1">IFERROR(OFFSET(ZPCS04!$A$1,MATCH(F561,ZPCS04!B:B,0)-1,0),100)</f>
        <v>2</v>
      </c>
      <c r="AX561" s="7"/>
      <c r="AY561" s="6" t="b">
        <f>SUMIF(AS:AS,AS561,AP:AP)=100</f>
        <v>1</v>
      </c>
      <c r="AZ561" s="6" t="b">
        <f>SUMIF(AS:AS,AS561,AE:AE)/COUNTIF(AS:AS,AS561)=AE561</f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>C561&amp;" | "&amp;F561</f>
        <v>90MB1BJ0-C1BAY0 | 10G216101001050</v>
      </c>
      <c r="BE561" s="55" t="str">
        <f ca="1">C561&amp;" | "&amp;OFFSET($AF561,0,8-COUNTBLANK($AG561:$AN561))</f>
        <v>90MB1BJ0-C1BAY0 | 59MB1BJB-MB0A02S</v>
      </c>
      <c r="BF561" s="57">
        <f ca="1">IFERROR(VLOOKUP($BE561,$BD$5:$BF560,3,0)*$AE561,VLOOKUP($C561,Demanda!$A:$B,2,0)*$AE561)*IF(AT561="Phantom Alt",$BC561,TRUE)</f>
        <v>2000</v>
      </c>
      <c r="BG561" s="57">
        <f ca="1">BF561*(AP561/100)</f>
        <v>0</v>
      </c>
      <c r="BH561" s="57">
        <f>SUMIF(Invoice!A:A,F561,Invoice!B:B)</f>
        <v>0</v>
      </c>
      <c r="BI561" s="57">
        <f ca="1">SUMIF(AS:AS,AS561,BG:BG)</f>
        <v>2000</v>
      </c>
      <c r="BJ561" s="57">
        <f ca="1">MIN((BI561-SUMIF($AS$5:AS560,AS561,$BJ$5:BJ560)),MAX(0,BH561-SUMIF($F$5:F560,F561,$BJ$5:BJ560)))</f>
        <v>0</v>
      </c>
      <c r="BK561" s="57">
        <f ca="1">(-SUMIF(AS:AS,AS561,BG:BG)+SUMIF(AS:AS,AS561,BJ:BJ))*(AP561=100)*AR561</f>
        <v>0</v>
      </c>
      <c r="BL561" s="57">
        <f ca="1">MAX(0,SUMIF(Invoice!A:A,F561,Invoice!B:B)-SUMIF(F:F,F561,BJ:BJ))*(COUNTIF(F:F,F561)=COUNTIF($F$5:F561,F561))</f>
        <v>0</v>
      </c>
    </row>
    <row r="562" spans="1:64" hidden="1">
      <c r="A562" s="43">
        <v>563</v>
      </c>
      <c r="B562" s="13" t="s">
        <v>147</v>
      </c>
      <c r="C562" s="13" t="s">
        <v>146</v>
      </c>
      <c r="D562" s="13">
        <v>2</v>
      </c>
      <c r="E562" s="13">
        <v>1970</v>
      </c>
      <c r="F562" s="71" t="s">
        <v>1366</v>
      </c>
      <c r="G562" s="71" t="s">
        <v>1367</v>
      </c>
      <c r="H562" s="13" t="s">
        <v>1365</v>
      </c>
      <c r="I562" s="13" t="s">
        <v>54</v>
      </c>
      <c r="J562" s="28">
        <v>100</v>
      </c>
      <c r="K562" s="13" t="s">
        <v>489</v>
      </c>
      <c r="L562" s="13" t="s">
        <v>53</v>
      </c>
      <c r="M562" s="13">
        <v>4</v>
      </c>
      <c r="N562" s="13">
        <v>4</v>
      </c>
      <c r="O562" s="13">
        <v>1</v>
      </c>
      <c r="P562" s="13">
        <v>2</v>
      </c>
      <c r="Q562" s="13">
        <v>1</v>
      </c>
      <c r="R562" s="13" t="s">
        <v>122</v>
      </c>
      <c r="S562" s="13" t="s">
        <v>122</v>
      </c>
      <c r="T562" s="13">
        <v>44901</v>
      </c>
      <c r="U562" s="13">
        <v>2958465</v>
      </c>
      <c r="V562" s="13" t="s">
        <v>282</v>
      </c>
      <c r="W562" s="13" t="s">
        <v>145</v>
      </c>
      <c r="Y562" s="13" t="s">
        <v>143</v>
      </c>
      <c r="Z562" s="13">
        <v>7589154</v>
      </c>
      <c r="AA562" s="13">
        <v>1012</v>
      </c>
      <c r="AB562" s="13">
        <v>506</v>
      </c>
      <c r="AE562" s="51">
        <f>M562/O562</f>
        <v>4</v>
      </c>
      <c r="AG562" s="6" t="str">
        <f>C562</f>
        <v>90MB1BJ0-C1BAY0</v>
      </c>
      <c r="AH562" s="6" t="str">
        <f>IF($D562&lt;=AH$4,"",IF(AND($D561=AH$4,$D562&gt;AH$4),$F561,AH561))</f>
        <v>59MB1BJB-MB0A02S</v>
      </c>
      <c r="AI562" s="6" t="str">
        <f>IF($D562&lt;=AI$4,"",IF(AND($D561=AI$4,$D562&gt;AI$4),$F561,AI561))</f>
        <v/>
      </c>
      <c r="AJ562" s="6" t="str">
        <f>IF($D562&lt;=AJ$4,"",IF(AND($D561=AJ$4,$D562&gt;AJ$4),$F561,AJ561))</f>
        <v/>
      </c>
      <c r="AK562" s="6" t="str">
        <f>IF($D562&lt;=AK$4,"",IF(AND($D561=AK$4,$D562&gt;AK$4),$F561,AK561))</f>
        <v/>
      </c>
      <c r="AL562" s="6" t="str">
        <f>IF($D562&lt;=AL$4,"",IF(AND($D561=AL$4,$D562&gt;AL$4),$F561,AL561))</f>
        <v/>
      </c>
      <c r="AM562" s="6" t="str">
        <f>IF($D562&lt;=AM$4,"",IF(AND($D561=AM$4,$D562&gt;AM$4),$F561,AM561))</f>
        <v/>
      </c>
      <c r="AN562" s="6" t="str">
        <f>IF($D562&lt;=AN$4,"",IF(AND($D561=AN$4,$D562&gt;AN$4),$F561,AN561))</f>
        <v/>
      </c>
      <c r="AO562" s="6" t="str">
        <f>CONCATENATE(AG562," | ",AH562," | ",AI562," | ",AJ562," | ",AK562," | ",AL562," | ",AM562," | ",AN562)</f>
        <v xml:space="preserve">90MB1BJ0-C1BAY0 | 59MB1BJB-MB0A02S |  |  |  |  |  | </v>
      </c>
      <c r="AP562" s="6">
        <f>IF(TRIM(H562)="",100,J562)</f>
        <v>100</v>
      </c>
      <c r="AQ562" s="4"/>
      <c r="AR562" s="6" t="b">
        <f>NOT(TRIM(W562)&lt;&gt;"F")</f>
        <v>1</v>
      </c>
      <c r="AS562" s="6" t="str">
        <f>$B562&amp;" | "&amp;$AO562&amp;" | "&amp;IF(TRIM(H562)="","uniq"&amp;ROW(),TRIM(H562))</f>
        <v>461E | 90MB1BJ0-C1BAY0 | 59MB1BJB-MB0A02S |  |  |  |  |  |  | J7</v>
      </c>
      <c r="AT562" s="63">
        <f>IF(NOT(AR562),IF(TRIM($H562)="","Assembly","Phantom Alt"),VLOOKUP(F562,ZPCS04!B:G,6,0))</f>
        <v>728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1.9999999499999999</v>
      </c>
      <c r="AX562" s="7"/>
      <c r="AY562" s="6" t="b">
        <f>SUMIF(AS:AS,AS562,AP:AP)=100</f>
        <v>1</v>
      </c>
      <c r="AZ562" s="6" t="b">
        <f>SUMIF(AS:AS,AS562,AE:AE)/COUNTIF(AS:AS,AS562)=AE562</f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>C562&amp;" | "&amp;F562</f>
        <v>90MB1BJ0-C1BAY0 | 10G2161R0001020</v>
      </c>
      <c r="BE562" s="55" t="str">
        <f ca="1">C562&amp;" | "&amp;OFFSET($AF562,0,8-COUNTBLANK($AG562:$AN562))</f>
        <v>90MB1BJ0-C1BAY0 | 59MB1BJB-MB0A02S</v>
      </c>
      <c r="BF562" s="57">
        <f ca="1">IFERROR(VLOOKUP($BE562,$BD$5:$BF561,3,0)*$AE562,VLOOKUP($C562,Demanda!$A:$B,2,0)*$AE562)*IF(AT562="Phantom Alt",$BC562,TRUE)</f>
        <v>4000</v>
      </c>
      <c r="BG562" s="57">
        <f ca="1">BF562*(AP562/100)</f>
        <v>4000</v>
      </c>
      <c r="BH562" s="57">
        <f>SUMIF(Invoice!A:A,F562,Invoice!B:B)</f>
        <v>5000</v>
      </c>
      <c r="BI562" s="57">
        <f ca="1">SUMIF(AS:AS,AS562,BG:BG)</f>
        <v>4000</v>
      </c>
      <c r="BJ562" s="57">
        <f ca="1">MIN((BI562-SUMIF($AS$5:AS561,AS562,$BJ$5:BJ561)),MAX(0,BH562-SUMIF($F$5:F561,F562,$BJ$5:BJ561)))</f>
        <v>4000</v>
      </c>
      <c r="BK562" s="57">
        <f ca="1">(-SUMIF(AS:AS,AS562,BG:BG)+SUMIF(AS:AS,AS562,BJ:BJ))*(AP562=100)*AR562</f>
        <v>0</v>
      </c>
      <c r="BL562" s="57">
        <f ca="1">MAX(0,SUMIF(Invoice!A:A,F562,Invoice!B:B)-SUMIF(F:F,F562,BJ:BJ))*(COUNTIF(F:F,F562)=COUNTIF($F$5:F562,F562))</f>
        <v>1000</v>
      </c>
    </row>
    <row r="563" spans="1:64" hidden="1">
      <c r="A563" s="43">
        <v>562</v>
      </c>
      <c r="B563" s="13" t="s">
        <v>147</v>
      </c>
      <c r="C563" s="13" t="s">
        <v>146</v>
      </c>
      <c r="D563" s="13">
        <v>2</v>
      </c>
      <c r="E563" s="13">
        <v>1970</v>
      </c>
      <c r="F563" s="71" t="s">
        <v>1363</v>
      </c>
      <c r="G563" s="71" t="s">
        <v>1364</v>
      </c>
      <c r="H563" s="13" t="s">
        <v>1365</v>
      </c>
      <c r="I563" s="13" t="s">
        <v>55</v>
      </c>
      <c r="J563" s="28">
        <v>0</v>
      </c>
      <c r="K563" s="13" t="s">
        <v>489</v>
      </c>
      <c r="L563" s="13" t="s">
        <v>53</v>
      </c>
      <c r="M563" s="13">
        <v>4</v>
      </c>
      <c r="O563" s="13">
        <v>1</v>
      </c>
      <c r="P563" s="13">
        <v>2</v>
      </c>
      <c r="Q563" s="13">
        <v>2</v>
      </c>
      <c r="R563" s="13" t="s">
        <v>122</v>
      </c>
      <c r="S563" s="13" t="s">
        <v>122</v>
      </c>
      <c r="T563" s="13">
        <v>44901</v>
      </c>
      <c r="U563" s="13">
        <v>2958465</v>
      </c>
      <c r="V563" s="13" t="s">
        <v>282</v>
      </c>
      <c r="W563" s="13" t="s">
        <v>145</v>
      </c>
      <c r="Y563" s="13" t="s">
        <v>143</v>
      </c>
      <c r="Z563" s="13">
        <v>7589154</v>
      </c>
      <c r="AA563" s="13">
        <v>1014</v>
      </c>
      <c r="AB563" s="13">
        <v>507</v>
      </c>
      <c r="AE563" s="51">
        <f>M563/O563</f>
        <v>4</v>
      </c>
      <c r="AG563" s="6" t="str">
        <f>C563</f>
        <v>90MB1BJ0-C1BAY0</v>
      </c>
      <c r="AH563" s="6" t="str">
        <f>IF($D563&lt;=AH$4,"",IF(AND($D562=AH$4,$D563&gt;AH$4),$F562,AH562))</f>
        <v>59MB1BJB-MB0A02S</v>
      </c>
      <c r="AI563" s="6" t="str">
        <f>IF($D563&lt;=AI$4,"",IF(AND($D562=AI$4,$D563&gt;AI$4),$F562,AI562))</f>
        <v/>
      </c>
      <c r="AJ563" s="6" t="str">
        <f>IF($D563&lt;=AJ$4,"",IF(AND($D562=AJ$4,$D563&gt;AJ$4),$F562,AJ562))</f>
        <v/>
      </c>
      <c r="AK563" s="6" t="str">
        <f>IF($D563&lt;=AK$4,"",IF(AND($D562=AK$4,$D563&gt;AK$4),$F562,AK562))</f>
        <v/>
      </c>
      <c r="AL563" s="6" t="str">
        <f>IF($D563&lt;=AL$4,"",IF(AND($D562=AL$4,$D563&gt;AL$4),$F562,AL562))</f>
        <v/>
      </c>
      <c r="AM563" s="6" t="str">
        <f>IF($D563&lt;=AM$4,"",IF(AND($D562=AM$4,$D563&gt;AM$4),$F562,AM562))</f>
        <v/>
      </c>
      <c r="AN563" s="6" t="str">
        <f>IF($D563&lt;=AN$4,"",IF(AND($D562=AN$4,$D563&gt;AN$4),$F562,AN562))</f>
        <v/>
      </c>
      <c r="AO563" s="6" t="str">
        <f>CONCATENATE(AG563," | ",AH563," | ",AI563," | ",AJ563," | ",AK563," | ",AL563," | ",AM563," | ",AN563)</f>
        <v xml:space="preserve">90MB1BJ0-C1BAY0 | 59MB1BJB-MB0A02S |  |  |  |  |  | </v>
      </c>
      <c r="AP563" s="6">
        <f>IF(TRIM(H563)="",100,J563)</f>
        <v>0</v>
      </c>
      <c r="AQ563" s="4"/>
      <c r="AR563" s="6" t="b">
        <f>NOT(TRIM(W563)&lt;&gt;"F")</f>
        <v>1</v>
      </c>
      <c r="AS563" s="6" t="str">
        <f>$B563&amp;" | "&amp;$AO563&amp;" | "&amp;IF(TRIM(H563)="","uniq"&amp;ROW(),TRIM(H563))</f>
        <v>461E | 90MB1BJ0-C1BAY0 | 59MB1BJB-MB0A02S |  |  |  |  |  |  | J7</v>
      </c>
      <c r="AT563" s="63">
        <f>IF(NOT(AR563),IF(TRIM($H563)="","Assembly","Phantom Alt"),VLOOKUP(F563,ZPCS04!B:G,6,0))</f>
        <v>728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>SUMIF(AS:AS,AS563,AP:AP)=100</f>
        <v>1</v>
      </c>
      <c r="AZ563" s="6" t="b">
        <f>SUMIF(AS:AS,AS563,AE:AE)/COUNTIF(AS:AS,AS563)=AE563</f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>C563&amp;" | "&amp;F563</f>
        <v>90MB1BJ0-C1BAY0 | 10G2161R0001010</v>
      </c>
      <c r="BE563" s="55" t="str">
        <f ca="1">C563&amp;" | "&amp;OFFSET($AF563,0,8-COUNTBLANK($AG563:$AN563))</f>
        <v>90MB1BJ0-C1BAY0 | 59MB1BJB-MB0A02S</v>
      </c>
      <c r="BF563" s="57">
        <f ca="1">IFERROR(VLOOKUP($BE563,$BD$5:$BF562,3,0)*$AE563,VLOOKUP($C563,Demanda!$A:$B,2,0)*$AE563)*IF(AT563="Phantom Alt",$BC563,TRUE)</f>
        <v>4000</v>
      </c>
      <c r="BG563" s="57">
        <f ca="1">BF563*(AP563/100)</f>
        <v>0</v>
      </c>
      <c r="BH563" s="57">
        <f>SUMIF(Invoice!A:A,F563,Invoice!B:B)</f>
        <v>0</v>
      </c>
      <c r="BI563" s="57">
        <f ca="1">SUMIF(AS:AS,AS563,BG:BG)</f>
        <v>4000</v>
      </c>
      <c r="BJ563" s="57">
        <f ca="1">MIN((BI563-SUMIF($AS$5:AS562,AS563,$BJ$5:BJ562)),MAX(0,BH563-SUMIF($F$5:F562,F563,$BJ$5:BJ562)))</f>
        <v>0</v>
      </c>
      <c r="BK563" s="57">
        <f ca="1">(-SUMIF(AS:AS,AS563,BG:BG)+SUMIF(AS:AS,AS563,BJ:BJ))*(AP563=100)*AR563</f>
        <v>0</v>
      </c>
      <c r="BL563" s="57">
        <f ca="1">MAX(0,SUMIF(Invoice!A:A,F563,Invoice!B:B)-SUMIF(F:F,F563,BJ:BJ))*(COUNTIF(F:F,F563)=COUNTIF($F$5:F563,F563))</f>
        <v>0</v>
      </c>
    </row>
    <row r="564" spans="1:64" hidden="1">
      <c r="A564" s="43">
        <v>564</v>
      </c>
      <c r="B564" s="13" t="s">
        <v>147</v>
      </c>
      <c r="C564" s="13" t="s">
        <v>146</v>
      </c>
      <c r="D564" s="13">
        <v>2</v>
      </c>
      <c r="E564" s="13">
        <v>1970</v>
      </c>
      <c r="F564" s="71" t="s">
        <v>1368</v>
      </c>
      <c r="G564" s="71" t="s">
        <v>1369</v>
      </c>
      <c r="H564" s="13" t="s">
        <v>1365</v>
      </c>
      <c r="I564" s="13" t="s">
        <v>55</v>
      </c>
      <c r="J564" s="28">
        <v>0</v>
      </c>
      <c r="K564" s="13" t="s">
        <v>150</v>
      </c>
      <c r="L564" s="13" t="s">
        <v>53</v>
      </c>
      <c r="M564" s="13">
        <v>4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44901</v>
      </c>
      <c r="U564" s="13">
        <v>2958465</v>
      </c>
      <c r="V564" s="13" t="s">
        <v>282</v>
      </c>
      <c r="W564" s="13" t="s">
        <v>145</v>
      </c>
      <c r="Y564" s="13" t="s">
        <v>143</v>
      </c>
      <c r="Z564" s="13">
        <v>7589154</v>
      </c>
      <c r="AA564" s="13">
        <v>1016</v>
      </c>
      <c r="AB564" s="13">
        <v>508</v>
      </c>
      <c r="AE564" s="51">
        <f>M564/O564</f>
        <v>4</v>
      </c>
      <c r="AG564" s="6" t="str">
        <f>C564</f>
        <v>90MB1BJ0-C1BAY0</v>
      </c>
      <c r="AH564" s="6" t="str">
        <f>IF($D564&lt;=AH$4,"",IF(AND($D563=AH$4,$D564&gt;AH$4),$F563,AH563))</f>
        <v>59MB1BJB-MB0A02S</v>
      </c>
      <c r="AI564" s="6" t="str">
        <f>IF($D564&lt;=AI$4,"",IF(AND($D563=AI$4,$D564&gt;AI$4),$F563,AI563))</f>
        <v/>
      </c>
      <c r="AJ564" s="6" t="str">
        <f>IF($D564&lt;=AJ$4,"",IF(AND($D563=AJ$4,$D564&gt;AJ$4),$F563,AJ563))</f>
        <v/>
      </c>
      <c r="AK564" s="6" t="str">
        <f>IF($D564&lt;=AK$4,"",IF(AND($D563=AK$4,$D564&gt;AK$4),$F563,AK563))</f>
        <v/>
      </c>
      <c r="AL564" s="6" t="str">
        <f>IF($D564&lt;=AL$4,"",IF(AND($D563=AL$4,$D564&gt;AL$4),$F563,AL563))</f>
        <v/>
      </c>
      <c r="AM564" s="6" t="str">
        <f>IF($D564&lt;=AM$4,"",IF(AND($D563=AM$4,$D564&gt;AM$4),$F563,AM563))</f>
        <v/>
      </c>
      <c r="AN564" s="6" t="str">
        <f>IF($D564&lt;=AN$4,"",IF(AND($D563=AN$4,$D564&gt;AN$4),$F563,AN563))</f>
        <v/>
      </c>
      <c r="AO564" s="6" t="str">
        <f>CONCATENATE(AG564," | ",AH564," | ",AI564," | ",AJ564," | ",AK564," | ",AL564," | ",AM564," | ",AN564)</f>
        <v xml:space="preserve">90MB1BJ0-C1BAY0 | 59MB1BJB-MB0A02S |  |  |  |  |  | </v>
      </c>
      <c r="AP564" s="6">
        <f>IF(TRIM(H564)="",100,J564)</f>
        <v>0</v>
      </c>
      <c r="AQ564" s="4"/>
      <c r="AR564" s="6" t="b">
        <f>NOT(TRIM(W564)&lt;&gt;"F")</f>
        <v>1</v>
      </c>
      <c r="AS564" s="6" t="str">
        <f>$B564&amp;" | "&amp;$AO564&amp;" | "&amp;IF(TRIM(H564)="","uniq"&amp;ROW(),TRIM(H564))</f>
        <v>461E | 90MB1BJ0-C1BAY0 | 59MB1BJB-MB0A02S |  |  |  |  |  |  | J7</v>
      </c>
      <c r="AT564" s="63">
        <f>IF(NOT(AR564),IF(TRIM($H564)="","Assembly","Phantom Alt"),VLOOKUP(F564,ZPCS04!B:G,6,0))</f>
        <v>728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>SUMIF(AS:AS,AS564,AP:AP)=100</f>
        <v>1</v>
      </c>
      <c r="AZ564" s="6" t="b">
        <f>SUMIF(AS:AS,AS564,AE:AE)/COUNTIF(AS:AS,AS564)=AE564</f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>C564&amp;" | "&amp;F564</f>
        <v>90MB1BJ0-C1BAY0 | 10G2161R0001050</v>
      </c>
      <c r="BE564" s="55" t="str">
        <f ca="1">C564&amp;" | "&amp;OFFSET($AF564,0,8-COUNTBLANK($AG564:$AN564))</f>
        <v>90MB1BJ0-C1BAY0 | 59MB1BJB-MB0A02S</v>
      </c>
      <c r="BF564" s="57">
        <f ca="1">IFERROR(VLOOKUP($BE564,$BD$5:$BF563,3,0)*$AE564,VLOOKUP($C564,Demanda!$A:$B,2,0)*$AE564)*IF(AT564="Phantom Alt",$BC564,TRUE)</f>
        <v>4000</v>
      </c>
      <c r="BG564" s="57">
        <f ca="1">BF564*(AP564/100)</f>
        <v>0</v>
      </c>
      <c r="BH564" s="57">
        <f>SUMIF(Invoice!A:A,F564,Invoice!B:B)</f>
        <v>0</v>
      </c>
      <c r="BI564" s="57">
        <f ca="1">SUMIF(AS:AS,AS564,BG:BG)</f>
        <v>4000</v>
      </c>
      <c r="BJ564" s="57">
        <f ca="1">MIN((BI564-SUMIF($AS$5:AS563,AS564,$BJ$5:BJ563)),MAX(0,BH564-SUMIF($F$5:F563,F564,$BJ$5:BJ563)))</f>
        <v>0</v>
      </c>
      <c r="BK564" s="57">
        <f ca="1">(-SUMIF(AS:AS,AS564,BG:BG)+SUMIF(AS:AS,AS564,BJ:BJ))*(AP564=100)*AR564</f>
        <v>0</v>
      </c>
      <c r="BL564" s="57">
        <f ca="1">MAX(0,SUMIF(Invoice!A:A,F564,Invoice!B:B)-SUMIF(F:F,F564,BJ:BJ))*(COUNTIF(F:F,F564)=COUNTIF($F$5:F564,F564))</f>
        <v>0</v>
      </c>
    </row>
    <row r="565" spans="1:64" hidden="1">
      <c r="A565" s="43">
        <v>565</v>
      </c>
      <c r="B565" s="13" t="s">
        <v>147</v>
      </c>
      <c r="C565" s="13" t="s">
        <v>146</v>
      </c>
      <c r="D565" s="13">
        <v>2</v>
      </c>
      <c r="E565" s="13">
        <v>1980</v>
      </c>
      <c r="F565" s="71" t="s">
        <v>1370</v>
      </c>
      <c r="G565" s="71" t="s">
        <v>1371</v>
      </c>
      <c r="H565" s="13" t="s">
        <v>1372</v>
      </c>
      <c r="I565" s="13" t="s">
        <v>55</v>
      </c>
      <c r="J565" s="28">
        <v>0</v>
      </c>
      <c r="K565" s="13" t="s">
        <v>150</v>
      </c>
      <c r="L565" s="13" t="s">
        <v>53</v>
      </c>
      <c r="M565" s="13">
        <v>1</v>
      </c>
      <c r="O565" s="13">
        <v>1</v>
      </c>
      <c r="P565" s="13">
        <v>2</v>
      </c>
      <c r="Q565" s="13">
        <v>2</v>
      </c>
      <c r="R565" s="13" t="s">
        <v>73</v>
      </c>
      <c r="S565" s="13" t="s">
        <v>73</v>
      </c>
      <c r="T565" s="13">
        <v>44901</v>
      </c>
      <c r="U565" s="13">
        <v>2958465</v>
      </c>
      <c r="V565" s="13" t="s">
        <v>282</v>
      </c>
      <c r="W565" s="13" t="s">
        <v>145</v>
      </c>
      <c r="Y565" s="13" t="s">
        <v>143</v>
      </c>
      <c r="Z565" s="13">
        <v>7589154</v>
      </c>
      <c r="AA565" s="13">
        <v>1020</v>
      </c>
      <c r="AB565" s="13">
        <v>510</v>
      </c>
      <c r="AE565" s="51">
        <f>M565/O565</f>
        <v>1</v>
      </c>
      <c r="AG565" s="6" t="str">
        <f>C565</f>
        <v>90MB1BJ0-C1BAY0</v>
      </c>
      <c r="AH565" s="6" t="str">
        <f>IF($D565&lt;=AH$4,"",IF(AND($D564=AH$4,$D565&gt;AH$4),$F564,AH564))</f>
        <v>59MB1BJB-MB0A02S</v>
      </c>
      <c r="AI565" s="6" t="str">
        <f>IF($D565&lt;=AI$4,"",IF(AND($D564=AI$4,$D565&gt;AI$4),$F564,AI564))</f>
        <v/>
      </c>
      <c r="AJ565" s="6" t="str">
        <f>IF($D565&lt;=AJ$4,"",IF(AND($D564=AJ$4,$D565&gt;AJ$4),$F564,AJ564))</f>
        <v/>
      </c>
      <c r="AK565" s="6" t="str">
        <f>IF($D565&lt;=AK$4,"",IF(AND($D564=AK$4,$D565&gt;AK$4),$F564,AK564))</f>
        <v/>
      </c>
      <c r="AL565" s="6" t="str">
        <f>IF($D565&lt;=AL$4,"",IF(AND($D564=AL$4,$D565&gt;AL$4),$F564,AL564))</f>
        <v/>
      </c>
      <c r="AM565" s="6" t="str">
        <f>IF($D565&lt;=AM$4,"",IF(AND($D564=AM$4,$D565&gt;AM$4),$F564,AM564))</f>
        <v/>
      </c>
      <c r="AN565" s="6" t="str">
        <f>IF($D565&lt;=AN$4,"",IF(AND($D564=AN$4,$D565&gt;AN$4),$F564,AN564))</f>
        <v/>
      </c>
      <c r="AO565" s="6" t="str">
        <f>CONCATENATE(AG565," | ",AH565," | ",AI565," | ",AJ565," | ",AK565," | ",AL565," | ",AM565," | ",AN565)</f>
        <v xml:space="preserve">90MB1BJ0-C1BAY0 | 59MB1BJB-MB0A02S |  |  |  |  |  | </v>
      </c>
      <c r="AP565" s="6">
        <f>IF(TRIM(H565)="",100,J565)</f>
        <v>0</v>
      </c>
      <c r="AQ565" s="4"/>
      <c r="AR565" s="6" t="b">
        <f>NOT(TRIM(W565)&lt;&gt;"F")</f>
        <v>1</v>
      </c>
      <c r="AS565" s="6" t="str">
        <f>$B565&amp;" | "&amp;$AO565&amp;" | "&amp;IF(TRIM(H565)="","uniq"&amp;ROW(),TRIM(H565))</f>
        <v>461E | 90MB1BJ0-C1BAY0 | 59MB1BJB-MB0A02S |  |  |  |  |  |  | J8</v>
      </c>
      <c r="AT565" s="63">
        <f>IF(NOT(AR565),IF(TRIM($H565)="","Assembly","Phantom Alt"),VLOOKUP(F565,ZPCS04!B:G,6,0))</f>
        <v>730</v>
      </c>
      <c r="AU565" s="7"/>
      <c r="AV565" s="38">
        <f ca="1">IF(TRIM($W565)="F",OFFSET($A$5,MATCH($AS565,$AS$5:$AS565,0)-1,0),$A565)</f>
        <v>565</v>
      </c>
      <c r="AW565" s="38">
        <f ca="1">IFERROR(OFFSET(ZPCS04!$A$1,MATCH(F565,ZPCS04!B:B,0)-1,0),100)</f>
        <v>1.9999999499999999</v>
      </c>
      <c r="AX565" s="7"/>
      <c r="AY565" s="6" t="b">
        <f>SUMIF(AS:AS,AS565,AP:AP)=100</f>
        <v>1</v>
      </c>
      <c r="AZ565" s="6" t="b">
        <f>SUMIF(AS:AS,AS565,AE:AE)/COUNTIF(AS:AS,AS565)=AE565</f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>C565&amp;" | "&amp;F565</f>
        <v>90MB1BJ0-C1BAY0 | 10302-00442000</v>
      </c>
      <c r="BE565" s="55" t="str">
        <f ca="1">C565&amp;" | "&amp;OFFSET($AF565,0,8-COUNTBLANK($AG565:$AN565))</f>
        <v>90MB1BJ0-C1BAY0 | 59MB1BJB-MB0A02S</v>
      </c>
      <c r="BF565" s="57">
        <f ca="1">IFERROR(VLOOKUP($BE565,$BD$5:$BF564,3,0)*$AE565,VLOOKUP($C565,Demanda!$A:$B,2,0)*$AE565)*IF(AT565="Phantom Alt",$BC565,TRUE)</f>
        <v>1000</v>
      </c>
      <c r="BG565" s="57">
        <f ca="1">BF565*(AP565/100)</f>
        <v>0</v>
      </c>
      <c r="BH565" s="57">
        <f>SUMIF(Invoice!A:A,F565,Invoice!B:B)</f>
        <v>5000</v>
      </c>
      <c r="BI565" s="57">
        <f ca="1">SUMIF(AS:AS,AS565,BG:BG)</f>
        <v>1000</v>
      </c>
      <c r="BJ565" s="57">
        <f ca="1">MIN((BI565-SUMIF($AS$5:AS564,AS565,$BJ$5:BJ564)),MAX(0,BH565-SUMIF($F$5:F564,F565,$BJ$5:BJ564)))</f>
        <v>1000</v>
      </c>
      <c r="BK565" s="57">
        <f ca="1">(-SUMIF(AS:AS,AS565,BG:BG)+SUMIF(AS:AS,AS565,BJ:BJ))*(AP565=100)*AR565</f>
        <v>0</v>
      </c>
      <c r="BL565" s="57">
        <f ca="1">MAX(0,SUMIF(Invoice!A:A,F565,Invoice!B:B)-SUMIF(F:F,F565,BJ:BJ))*(COUNTIF(F:F,F565)=COUNTIF($F$5:F565,F565))</f>
        <v>4000</v>
      </c>
    </row>
    <row r="566" spans="1:64" hidden="1">
      <c r="A566" s="43">
        <v>566</v>
      </c>
      <c r="B566" s="13" t="s">
        <v>147</v>
      </c>
      <c r="C566" s="13" t="s">
        <v>146</v>
      </c>
      <c r="D566" s="13">
        <v>2</v>
      </c>
      <c r="E566" s="13">
        <v>1980</v>
      </c>
      <c r="F566" s="71" t="s">
        <v>1373</v>
      </c>
      <c r="G566" s="71" t="s">
        <v>1374</v>
      </c>
      <c r="H566" s="13" t="s">
        <v>1372</v>
      </c>
      <c r="I566" s="13" t="s">
        <v>55</v>
      </c>
      <c r="J566" s="28">
        <v>0</v>
      </c>
      <c r="K566" s="13" t="s">
        <v>489</v>
      </c>
      <c r="L566" s="13" t="s">
        <v>53</v>
      </c>
      <c r="M566" s="13">
        <v>1</v>
      </c>
      <c r="O566" s="13">
        <v>1</v>
      </c>
      <c r="P566" s="13">
        <v>2</v>
      </c>
      <c r="Q566" s="13">
        <v>3</v>
      </c>
      <c r="R566" s="13" t="s">
        <v>122</v>
      </c>
      <c r="S566" s="13" t="s">
        <v>122</v>
      </c>
      <c r="T566" s="13">
        <v>44901</v>
      </c>
      <c r="U566" s="13">
        <v>2958465</v>
      </c>
      <c r="V566" s="13" t="s">
        <v>282</v>
      </c>
      <c r="W566" s="13" t="s">
        <v>145</v>
      </c>
      <c r="Y566" s="13" t="s">
        <v>143</v>
      </c>
      <c r="Z566" s="13">
        <v>7589154</v>
      </c>
      <c r="AA566" s="13">
        <v>1022</v>
      </c>
      <c r="AB566" s="13">
        <v>511</v>
      </c>
      <c r="AE566" s="51">
        <f>M566/O566</f>
        <v>1</v>
      </c>
      <c r="AG566" s="6" t="str">
        <f>C566</f>
        <v>90MB1BJ0-C1BAY0</v>
      </c>
      <c r="AH566" s="6" t="str">
        <f>IF($D566&lt;=AH$4,"",IF(AND($D565=AH$4,$D566&gt;AH$4),$F565,AH565))</f>
        <v>59MB1BJB-MB0A02S</v>
      </c>
      <c r="AI566" s="6" t="str">
        <f>IF($D566&lt;=AI$4,"",IF(AND($D565=AI$4,$D566&gt;AI$4),$F565,AI565))</f>
        <v/>
      </c>
      <c r="AJ566" s="6" t="str">
        <f>IF($D566&lt;=AJ$4,"",IF(AND($D565=AJ$4,$D566&gt;AJ$4),$F565,AJ565))</f>
        <v/>
      </c>
      <c r="AK566" s="6" t="str">
        <f>IF($D566&lt;=AK$4,"",IF(AND($D565=AK$4,$D566&gt;AK$4),$F565,AK565))</f>
        <v/>
      </c>
      <c r="AL566" s="6" t="str">
        <f>IF($D566&lt;=AL$4,"",IF(AND($D565=AL$4,$D566&gt;AL$4),$F565,AL565))</f>
        <v/>
      </c>
      <c r="AM566" s="6" t="str">
        <f>IF($D566&lt;=AM$4,"",IF(AND($D565=AM$4,$D566&gt;AM$4),$F565,AM565))</f>
        <v/>
      </c>
      <c r="AN566" s="6" t="str">
        <f>IF($D566&lt;=AN$4,"",IF(AND($D565=AN$4,$D566&gt;AN$4),$F565,AN565))</f>
        <v/>
      </c>
      <c r="AO566" s="6" t="str">
        <f>CONCATENATE(AG566," | ",AH566," | ",AI566," | ",AJ566," | ",AK566," | ",AL566," | ",AM566," | ",AN566)</f>
        <v xml:space="preserve">90MB1BJ0-C1BAY0 | 59MB1BJB-MB0A02S |  |  |  |  |  | </v>
      </c>
      <c r="AP566" s="6">
        <f>IF(TRIM(H566)="",100,J566)</f>
        <v>0</v>
      </c>
      <c r="AQ566" s="4"/>
      <c r="AR566" s="6" t="b">
        <f>NOT(TRIM(W566)&lt;&gt;"F")</f>
        <v>1</v>
      </c>
      <c r="AS566" s="6" t="str">
        <f>$B566&amp;" | "&amp;$AO566&amp;" | "&amp;IF(TRIM(H566)="","uniq"&amp;ROW(),TRIM(H566))</f>
        <v>461E | 90MB1BJ0-C1BAY0 | 59MB1BJB-MB0A02S |  |  |  |  |  |  | J8</v>
      </c>
      <c r="AT566" s="63">
        <f>IF(NOT(AR566),IF(TRIM($H566)="","Assembly","Phantom Alt"),VLOOKUP(F566,ZPCS04!B:G,6,0))</f>
        <v>730</v>
      </c>
      <c r="AU566" s="7"/>
      <c r="AV566" s="38">
        <f ca="1">IF(TRIM($W566)="F",OFFSET($A$5,MATCH($AS566,$AS$5:$AS566,0)-1,0),$A566)</f>
        <v>565</v>
      </c>
      <c r="AW566" s="38">
        <f ca="1">IFERROR(OFFSET(ZPCS04!$A$1,MATCH(F566,ZPCS04!B:B,0)-1,0),100)</f>
        <v>2</v>
      </c>
      <c r="AX566" s="7"/>
      <c r="AY566" s="6" t="b">
        <f>SUMIF(AS:AS,AS566,AP:AP)=100</f>
        <v>1</v>
      </c>
      <c r="AZ566" s="6" t="b">
        <f>SUMIF(AS:AS,AS566,AE:AE)/COUNTIF(AS:AS,AS566)=AE566</f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>C566&amp;" | "&amp;F566</f>
        <v>90MB1BJ0-C1BAY0 | 10G253102004010</v>
      </c>
      <c r="BE566" s="55" t="str">
        <f ca="1">C566&amp;" | "&amp;OFFSET($AF566,0,8-COUNTBLANK($AG566:$AN566))</f>
        <v>90MB1BJ0-C1BAY0 | 59MB1BJB-MB0A02S</v>
      </c>
      <c r="BF566" s="57">
        <f ca="1">IFERROR(VLOOKUP($BE566,$BD$5:$BF565,3,0)*$AE566,VLOOKUP($C566,Demanda!$A:$B,2,0)*$AE566)*IF(AT566="Phantom Alt",$BC566,TRUE)</f>
        <v>1000</v>
      </c>
      <c r="BG566" s="57">
        <f ca="1">BF566*(AP566/100)</f>
        <v>0</v>
      </c>
      <c r="BH566" s="57">
        <f>SUMIF(Invoice!A:A,F566,Invoice!B:B)</f>
        <v>0</v>
      </c>
      <c r="BI566" s="57">
        <f ca="1">SUMIF(AS:AS,AS566,BG:BG)</f>
        <v>1000</v>
      </c>
      <c r="BJ566" s="57">
        <f ca="1">MIN((BI566-SUMIF($AS$5:AS565,AS566,$BJ$5:BJ565)),MAX(0,BH566-SUMIF($F$5:F565,F566,$BJ$5:BJ565)))</f>
        <v>0</v>
      </c>
      <c r="BK566" s="57">
        <f ca="1">(-SUMIF(AS:AS,AS566,BG:BG)+SUMIF(AS:AS,AS566,BJ:BJ))*(AP566=100)*AR566</f>
        <v>0</v>
      </c>
      <c r="BL566" s="57">
        <f ca="1">MAX(0,SUMIF(Invoice!A:A,F566,Invoice!B:B)-SUMIF(F:F,F566,BJ:BJ))*(COUNTIF(F:F,F566)=COUNTIF($F$5:F566,F566))</f>
        <v>0</v>
      </c>
    </row>
    <row r="567" spans="1:64" hidden="1">
      <c r="A567" s="43">
        <v>567</v>
      </c>
      <c r="B567" s="13" t="s">
        <v>147</v>
      </c>
      <c r="C567" s="13" t="s">
        <v>146</v>
      </c>
      <c r="D567" s="13">
        <v>2</v>
      </c>
      <c r="E567" s="13">
        <v>1980</v>
      </c>
      <c r="F567" s="71" t="s">
        <v>1375</v>
      </c>
      <c r="G567" s="71" t="s">
        <v>1374</v>
      </c>
      <c r="H567" s="13" t="s">
        <v>1372</v>
      </c>
      <c r="I567" s="13" t="s">
        <v>54</v>
      </c>
      <c r="J567" s="28">
        <v>100</v>
      </c>
      <c r="K567" s="13" t="s">
        <v>489</v>
      </c>
      <c r="L567" s="13" t="s">
        <v>53</v>
      </c>
      <c r="M567" s="13">
        <v>1</v>
      </c>
      <c r="N567" s="13">
        <v>1</v>
      </c>
      <c r="O567" s="13">
        <v>1</v>
      </c>
      <c r="P567" s="13">
        <v>2</v>
      </c>
      <c r="Q567" s="13">
        <v>1</v>
      </c>
      <c r="R567" s="13" t="s">
        <v>122</v>
      </c>
      <c r="S567" s="13" t="s">
        <v>122</v>
      </c>
      <c r="T567" s="13">
        <v>44901</v>
      </c>
      <c r="U567" s="13">
        <v>2958465</v>
      </c>
      <c r="V567" s="13" t="s">
        <v>282</v>
      </c>
      <c r="W567" s="13" t="s">
        <v>145</v>
      </c>
      <c r="Y567" s="13" t="s">
        <v>143</v>
      </c>
      <c r="Z567" s="13">
        <v>7589154</v>
      </c>
      <c r="AA567" s="13">
        <v>1018</v>
      </c>
      <c r="AB567" s="13">
        <v>509</v>
      </c>
      <c r="AE567" s="51">
        <f>M567/O567</f>
        <v>1</v>
      </c>
      <c r="AG567" s="6" t="str">
        <f>C567</f>
        <v>90MB1BJ0-C1BAY0</v>
      </c>
      <c r="AH567" s="6" t="str">
        <f>IF($D567&lt;=AH$4,"",IF(AND($D566=AH$4,$D567&gt;AH$4),$F566,AH566))</f>
        <v>59MB1BJB-MB0A02S</v>
      </c>
      <c r="AI567" s="6" t="str">
        <f>IF($D567&lt;=AI$4,"",IF(AND($D566=AI$4,$D567&gt;AI$4),$F566,AI566))</f>
        <v/>
      </c>
      <c r="AJ567" s="6" t="str">
        <f>IF($D567&lt;=AJ$4,"",IF(AND($D566=AJ$4,$D567&gt;AJ$4),$F566,AJ566))</f>
        <v/>
      </c>
      <c r="AK567" s="6" t="str">
        <f>IF($D567&lt;=AK$4,"",IF(AND($D566=AK$4,$D567&gt;AK$4),$F566,AK566))</f>
        <v/>
      </c>
      <c r="AL567" s="6" t="str">
        <f>IF($D567&lt;=AL$4,"",IF(AND($D566=AL$4,$D567&gt;AL$4),$F566,AL566))</f>
        <v/>
      </c>
      <c r="AM567" s="6" t="str">
        <f>IF($D567&lt;=AM$4,"",IF(AND($D566=AM$4,$D567&gt;AM$4),$F566,AM566))</f>
        <v/>
      </c>
      <c r="AN567" s="6" t="str">
        <f>IF($D567&lt;=AN$4,"",IF(AND($D566=AN$4,$D567&gt;AN$4),$F566,AN566))</f>
        <v/>
      </c>
      <c r="AO567" s="6" t="str">
        <f>CONCATENATE(AG567," | ",AH567," | ",AI567," | ",AJ567," | ",AK567," | ",AL567," | ",AM567," | ",AN567)</f>
        <v xml:space="preserve">90MB1BJ0-C1BAY0 | 59MB1BJB-MB0A02S |  |  |  |  |  | </v>
      </c>
      <c r="AP567" s="6">
        <f>IF(TRIM(H567)="",100,J567)</f>
        <v>100</v>
      </c>
      <c r="AQ567" s="4"/>
      <c r="AR567" s="6" t="b">
        <f>NOT(TRIM(W567)&lt;&gt;"F")</f>
        <v>1</v>
      </c>
      <c r="AS567" s="6" t="str">
        <f>$B567&amp;" | "&amp;$AO567&amp;" | "&amp;IF(TRIM(H567)="","uniq"&amp;ROW(),TRIM(H567))</f>
        <v>461E | 90MB1BJ0-C1BAY0 | 59MB1BJB-MB0A02S |  |  |  |  |  |  | J8</v>
      </c>
      <c r="AT567" s="63">
        <f>IF(NOT(AR567),IF(TRIM($H567)="","Assembly","Phantom Alt"),VLOOKUP(F567,ZPCS04!B:G,6,0))</f>
        <v>730</v>
      </c>
      <c r="AU567" s="7"/>
      <c r="AV567" s="38">
        <f ca="1">IF(TRIM($W567)="F",OFFSET($A$5,MATCH($AS567,$AS$5:$AS567,0)-1,0),$A567)</f>
        <v>565</v>
      </c>
      <c r="AW567" s="38">
        <f ca="1">IFERROR(OFFSET(ZPCS04!$A$1,MATCH(F567,ZPCS04!B:B,0)-1,0),100)</f>
        <v>2</v>
      </c>
      <c r="AX567" s="7"/>
      <c r="AY567" s="6" t="b">
        <f>SUMIF(AS:AS,AS567,AP:AP)=100</f>
        <v>1</v>
      </c>
      <c r="AZ567" s="6" t="b">
        <f>SUMIF(AS:AS,AS567,AE:AE)/COUNTIF(AS:AS,AS567)=AE567</f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>C567&amp;" | "&amp;F567</f>
        <v>90MB1BJ0-C1BAY0 | 10G253102004050</v>
      </c>
      <c r="BE567" s="55" t="str">
        <f ca="1">C567&amp;" | "&amp;OFFSET($AF567,0,8-COUNTBLANK($AG567:$AN567))</f>
        <v>90MB1BJ0-C1BAY0 | 59MB1BJB-MB0A02S</v>
      </c>
      <c r="BF567" s="57">
        <f ca="1">IFERROR(VLOOKUP($BE567,$BD$5:$BF566,3,0)*$AE567,VLOOKUP($C567,Demanda!$A:$B,2,0)*$AE567)*IF(AT567="Phantom Alt",$BC567,TRUE)</f>
        <v>1000</v>
      </c>
      <c r="BG567" s="57">
        <f ca="1">BF567*(AP567/100)</f>
        <v>1000</v>
      </c>
      <c r="BH567" s="57">
        <f>SUMIF(Invoice!A:A,F567,Invoice!B:B)</f>
        <v>0</v>
      </c>
      <c r="BI567" s="57">
        <f ca="1">SUMIF(AS:AS,AS567,BG:BG)</f>
        <v>1000</v>
      </c>
      <c r="BJ567" s="57">
        <f ca="1">MIN((BI567-SUMIF($AS$5:AS566,AS567,$BJ$5:BJ566)),MAX(0,BH567-SUMIF($F$5:F566,F567,$BJ$5:BJ566)))</f>
        <v>0</v>
      </c>
      <c r="BK567" s="57">
        <f ca="1">(-SUMIF(AS:AS,AS567,BG:BG)+SUMIF(AS:AS,AS567,BJ:BJ))*(AP567=100)*AR567</f>
        <v>0</v>
      </c>
      <c r="BL567" s="57">
        <f ca="1">MAX(0,SUMIF(Invoice!A:A,F567,Invoice!B:B)-SUMIF(F:F,F567,BJ:BJ))*(COUNTIF(F:F,F567)=COUNTIF($F$5:F567,F567))</f>
        <v>0</v>
      </c>
    </row>
    <row r="568" spans="1:64" hidden="1">
      <c r="A568" s="43">
        <v>569</v>
      </c>
      <c r="B568" s="13" t="s">
        <v>147</v>
      </c>
      <c r="C568" s="13" t="s">
        <v>146</v>
      </c>
      <c r="D568" s="13">
        <v>2</v>
      </c>
      <c r="E568" s="13">
        <v>1990</v>
      </c>
      <c r="F568" s="71" t="s">
        <v>1379</v>
      </c>
      <c r="G568" s="71" t="s">
        <v>1380</v>
      </c>
      <c r="H568" s="13" t="s">
        <v>1378</v>
      </c>
      <c r="I568" s="13" t="s">
        <v>55</v>
      </c>
      <c r="J568" s="28">
        <v>0</v>
      </c>
      <c r="K568" s="13" t="s">
        <v>489</v>
      </c>
      <c r="L568" s="13" t="s">
        <v>53</v>
      </c>
      <c r="M568" s="13">
        <v>2</v>
      </c>
      <c r="O568" s="13">
        <v>1</v>
      </c>
      <c r="P568" s="13">
        <v>2</v>
      </c>
      <c r="Q568" s="13">
        <v>2</v>
      </c>
      <c r="R568" s="13" t="s">
        <v>122</v>
      </c>
      <c r="S568" s="13" t="s">
        <v>122</v>
      </c>
      <c r="T568" s="13">
        <v>44901</v>
      </c>
      <c r="U568" s="13">
        <v>2958465</v>
      </c>
      <c r="V568" s="13" t="s">
        <v>282</v>
      </c>
      <c r="W568" s="13" t="s">
        <v>145</v>
      </c>
      <c r="Y568" s="13" t="s">
        <v>143</v>
      </c>
      <c r="Z568" s="13">
        <v>7589154</v>
      </c>
      <c r="AA568" s="13">
        <v>1026</v>
      </c>
      <c r="AB568" s="13">
        <v>513</v>
      </c>
      <c r="AE568" s="51">
        <f>M568/O568</f>
        <v>2</v>
      </c>
      <c r="AG568" s="6" t="str">
        <f>C568</f>
        <v>90MB1BJ0-C1BAY0</v>
      </c>
      <c r="AH568" s="6" t="str">
        <f>IF($D568&lt;=AH$4,"",IF(AND($D567=AH$4,$D568&gt;AH$4),$F567,AH567))</f>
        <v>59MB1BJB-MB0A02S</v>
      </c>
      <c r="AI568" s="6" t="str">
        <f>IF($D568&lt;=AI$4,"",IF(AND($D567=AI$4,$D568&gt;AI$4),$F567,AI567))</f>
        <v/>
      </c>
      <c r="AJ568" s="6" t="str">
        <f>IF($D568&lt;=AJ$4,"",IF(AND($D567=AJ$4,$D568&gt;AJ$4),$F567,AJ567))</f>
        <v/>
      </c>
      <c r="AK568" s="6" t="str">
        <f>IF($D568&lt;=AK$4,"",IF(AND($D567=AK$4,$D568&gt;AK$4),$F567,AK567))</f>
        <v/>
      </c>
      <c r="AL568" s="6" t="str">
        <f>IF($D568&lt;=AL$4,"",IF(AND($D567=AL$4,$D568&gt;AL$4),$F567,AL567))</f>
        <v/>
      </c>
      <c r="AM568" s="6" t="str">
        <f>IF($D568&lt;=AM$4,"",IF(AND($D567=AM$4,$D568&gt;AM$4),$F567,AM567))</f>
        <v/>
      </c>
      <c r="AN568" s="6" t="str">
        <f>IF($D568&lt;=AN$4,"",IF(AND($D567=AN$4,$D568&gt;AN$4),$F567,AN567))</f>
        <v/>
      </c>
      <c r="AO568" s="6" t="str">
        <f>CONCATENATE(AG568," | ",AH568," | ",AI568," | ",AJ568," | ",AK568," | ",AL568," | ",AM568," | ",AN568)</f>
        <v xml:space="preserve">90MB1BJ0-C1BAY0 | 59MB1BJB-MB0A02S |  |  |  |  |  | </v>
      </c>
      <c r="AP568" s="6">
        <f>IF(TRIM(H568)="",100,J568)</f>
        <v>0</v>
      </c>
      <c r="AQ568" s="4"/>
      <c r="AR568" s="6" t="b">
        <f>NOT(TRIM(W568)&lt;&gt;"F")</f>
        <v>1</v>
      </c>
      <c r="AS568" s="6" t="str">
        <f>$B568&amp;" | "&amp;$AO568&amp;" | "&amp;IF(TRIM(H568)="","uniq"&amp;ROW(),TRIM(H568))</f>
        <v>461E | 90MB1BJ0-C1BAY0 | 59MB1BJB-MB0A02S |  |  |  |  |  |  | J9</v>
      </c>
      <c r="AT568" s="63">
        <f>IF(NOT(AR568),IF(TRIM($H568)="","Assembly","Phantom Alt"),VLOOKUP(F568,ZPCS04!B:G,6,0))</f>
        <v>731</v>
      </c>
      <c r="AU568" s="7"/>
      <c r="AV568" s="38">
        <f ca="1">IF(TRIM($W568)="F",OFFSET($A$5,MATCH($AS568,$AS$5:$AS568,0)-1,0),$A568)</f>
        <v>569</v>
      </c>
      <c r="AW568" s="38">
        <f ca="1">IFERROR(OFFSET(ZPCS04!$A$1,MATCH(F568,ZPCS04!B:B,0)-1,0),100)</f>
        <v>1.9999999499999999</v>
      </c>
      <c r="AX568" s="7"/>
      <c r="AY568" s="6" t="b">
        <f>SUMIF(AS:AS,AS568,AP:AP)=100</f>
        <v>1</v>
      </c>
      <c r="AZ568" s="6" t="b">
        <f>SUMIF(AS:AS,AS568,AE:AE)/COUNTIF(AS:AS,AS568)=AE568</f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>C568&amp;" | "&amp;F568</f>
        <v>90MB1BJ0-C1BAY0 | 10G253272004010</v>
      </c>
      <c r="BE568" s="55" t="str">
        <f ca="1">C568&amp;" | "&amp;OFFSET($AF568,0,8-COUNTBLANK($AG568:$AN568))</f>
        <v>90MB1BJ0-C1BAY0 | 59MB1BJB-MB0A02S</v>
      </c>
      <c r="BF568" s="57">
        <f ca="1">IFERROR(VLOOKUP($BE568,$BD$5:$BF567,3,0)*$AE568,VLOOKUP($C568,Demanda!$A:$B,2,0)*$AE568)*IF(AT568="Phantom Alt",$BC568,TRUE)</f>
        <v>2000</v>
      </c>
      <c r="BG568" s="57">
        <f ca="1">BF568*(AP568/100)</f>
        <v>0</v>
      </c>
      <c r="BH568" s="57">
        <f>SUMIF(Invoice!A:A,F568,Invoice!B:B)</f>
        <v>5000</v>
      </c>
      <c r="BI568" s="57">
        <f ca="1">SUMIF(AS:AS,AS568,BG:BG)</f>
        <v>2000</v>
      </c>
      <c r="BJ568" s="57">
        <f ca="1">MIN((BI568-SUMIF($AS$5:AS567,AS568,$BJ$5:BJ567)),MAX(0,BH568-SUMIF($F$5:F567,F568,$BJ$5:BJ567)))</f>
        <v>2000</v>
      </c>
      <c r="BK568" s="57">
        <f ca="1">(-SUMIF(AS:AS,AS568,BG:BG)+SUMIF(AS:AS,AS568,BJ:BJ))*(AP568=100)*AR568</f>
        <v>0</v>
      </c>
      <c r="BL568" s="57">
        <f ca="1">MAX(0,SUMIF(Invoice!A:A,F568,Invoice!B:B)-SUMIF(F:F,F568,BJ:BJ))*(COUNTIF(F:F,F568)=COUNTIF($F$5:F568,F568))</f>
        <v>3000</v>
      </c>
    </row>
    <row r="569" spans="1:64" hidden="1">
      <c r="A569" s="43">
        <v>568</v>
      </c>
      <c r="B569" s="13" t="s">
        <v>147</v>
      </c>
      <c r="C569" s="13" t="s">
        <v>146</v>
      </c>
      <c r="D569" s="13">
        <v>2</v>
      </c>
      <c r="E569" s="13">
        <v>1990</v>
      </c>
      <c r="F569" s="71" t="s">
        <v>1376</v>
      </c>
      <c r="G569" s="71" t="s">
        <v>1377</v>
      </c>
      <c r="H569" s="13" t="s">
        <v>1378</v>
      </c>
      <c r="I569" s="13" t="s">
        <v>55</v>
      </c>
      <c r="J569" s="28">
        <v>0</v>
      </c>
      <c r="K569" s="13" t="s">
        <v>150</v>
      </c>
      <c r="L569" s="13" t="s">
        <v>53</v>
      </c>
      <c r="M569" s="13">
        <v>2</v>
      </c>
      <c r="O569" s="13">
        <v>1</v>
      </c>
      <c r="P569" s="13">
        <v>2</v>
      </c>
      <c r="Q569" s="13">
        <v>3</v>
      </c>
      <c r="R569" s="13" t="s">
        <v>73</v>
      </c>
      <c r="S569" s="13" t="s">
        <v>73</v>
      </c>
      <c r="T569" s="13">
        <v>44901</v>
      </c>
      <c r="U569" s="13">
        <v>2958465</v>
      </c>
      <c r="V569" s="13" t="s">
        <v>282</v>
      </c>
      <c r="W569" s="13" t="s">
        <v>145</v>
      </c>
      <c r="Y569" s="13" t="s">
        <v>143</v>
      </c>
      <c r="Z569" s="13">
        <v>7589154</v>
      </c>
      <c r="AA569" s="13">
        <v>1028</v>
      </c>
      <c r="AB569" s="13">
        <v>514</v>
      </c>
      <c r="AE569" s="51">
        <f>M569/O569</f>
        <v>2</v>
      </c>
      <c r="AG569" s="6" t="str">
        <f>C569</f>
        <v>90MB1BJ0-C1BAY0</v>
      </c>
      <c r="AH569" s="6" t="str">
        <f>IF($D569&lt;=AH$4,"",IF(AND($D568=AH$4,$D569&gt;AH$4),$F568,AH568))</f>
        <v>59MB1BJB-MB0A02S</v>
      </c>
      <c r="AI569" s="6" t="str">
        <f>IF($D569&lt;=AI$4,"",IF(AND($D568=AI$4,$D569&gt;AI$4),$F568,AI568))</f>
        <v/>
      </c>
      <c r="AJ569" s="6" t="str">
        <f>IF($D569&lt;=AJ$4,"",IF(AND($D568=AJ$4,$D569&gt;AJ$4),$F568,AJ568))</f>
        <v/>
      </c>
      <c r="AK569" s="6" t="str">
        <f>IF($D569&lt;=AK$4,"",IF(AND($D568=AK$4,$D569&gt;AK$4),$F568,AK568))</f>
        <v/>
      </c>
      <c r="AL569" s="6" t="str">
        <f>IF($D569&lt;=AL$4,"",IF(AND($D568=AL$4,$D569&gt;AL$4),$F568,AL568))</f>
        <v/>
      </c>
      <c r="AM569" s="6" t="str">
        <f>IF($D569&lt;=AM$4,"",IF(AND($D568=AM$4,$D569&gt;AM$4),$F568,AM568))</f>
        <v/>
      </c>
      <c r="AN569" s="6" t="str">
        <f>IF($D569&lt;=AN$4,"",IF(AND($D568=AN$4,$D569&gt;AN$4),$F568,AN568))</f>
        <v/>
      </c>
      <c r="AO569" s="6" t="str">
        <f>CONCATENATE(AG569," | ",AH569," | ",AI569," | ",AJ569," | ",AK569," | ",AL569," | ",AM569," | ",AN569)</f>
        <v xml:space="preserve">90MB1BJ0-C1BAY0 | 59MB1BJB-MB0A02S |  |  |  |  |  | </v>
      </c>
      <c r="AP569" s="6">
        <f>IF(TRIM(H569)="",100,J569)</f>
        <v>0</v>
      </c>
      <c r="AQ569" s="4"/>
      <c r="AR569" s="6" t="b">
        <f>NOT(TRIM(W569)&lt;&gt;"F")</f>
        <v>1</v>
      </c>
      <c r="AS569" s="6" t="str">
        <f>$B569&amp;" | "&amp;$AO569&amp;" | "&amp;IF(TRIM(H569)="","uniq"&amp;ROW(),TRIM(H569))</f>
        <v>461E | 90MB1BJ0-C1BAY0 | 59MB1BJB-MB0A02S |  |  |  |  |  |  | J9</v>
      </c>
      <c r="AT569" s="63">
        <f>IF(NOT(AR569),IF(TRIM($H569)="","Assembly","Phantom Alt"),VLOOKUP(F569,ZPCS04!B:G,6,0))</f>
        <v>731</v>
      </c>
      <c r="AU569" s="7"/>
      <c r="AV569" s="38">
        <f ca="1">IF(TRIM($W569)="F",OFFSET($A$5,MATCH($AS569,$AS$5:$AS569,0)-1,0),$A569)</f>
        <v>569</v>
      </c>
      <c r="AW569" s="38">
        <f ca="1">IFERROR(OFFSET(ZPCS04!$A$1,MATCH(F569,ZPCS04!B:B,0)-1,0),100)</f>
        <v>2</v>
      </c>
      <c r="AX569" s="7"/>
      <c r="AY569" s="6" t="b">
        <f>SUMIF(AS:AS,AS569,AP:AP)=100</f>
        <v>1</v>
      </c>
      <c r="AZ569" s="6" t="b">
        <f>SUMIF(AS:AS,AS569,AE:AE)/COUNTIF(AS:AS,AS569)=AE569</f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>C569&amp;" | "&amp;F569</f>
        <v>90MB1BJ0-C1BAY0 | 10302-00362000</v>
      </c>
      <c r="BE569" s="55" t="str">
        <f ca="1">C569&amp;" | "&amp;OFFSET($AF569,0,8-COUNTBLANK($AG569:$AN569))</f>
        <v>90MB1BJ0-C1BAY0 | 59MB1BJB-MB0A02S</v>
      </c>
      <c r="BF569" s="57">
        <f ca="1">IFERROR(VLOOKUP($BE569,$BD$5:$BF568,3,0)*$AE569,VLOOKUP($C569,Demanda!$A:$B,2,0)*$AE569)*IF(AT569="Phantom Alt",$BC569,TRUE)</f>
        <v>2000</v>
      </c>
      <c r="BG569" s="57">
        <f ca="1">BF569*(AP569/100)</f>
        <v>0</v>
      </c>
      <c r="BH569" s="57">
        <f>SUMIF(Invoice!A:A,F569,Invoice!B:B)</f>
        <v>0</v>
      </c>
      <c r="BI569" s="57">
        <f ca="1">SUMIF(AS:AS,AS569,BG:BG)</f>
        <v>2000</v>
      </c>
      <c r="BJ569" s="57">
        <f ca="1">MIN((BI569-SUMIF($AS$5:AS568,AS569,$BJ$5:BJ568)),MAX(0,BH569-SUMIF($F$5:F568,F569,$BJ$5:BJ568)))</f>
        <v>0</v>
      </c>
      <c r="BK569" s="57">
        <f ca="1">(-SUMIF(AS:AS,AS569,BG:BG)+SUMIF(AS:AS,AS569,BJ:BJ))*(AP569=100)*AR569</f>
        <v>0</v>
      </c>
      <c r="BL569" s="57">
        <f ca="1">MAX(0,SUMIF(Invoice!A:A,F569,Invoice!B:B)-SUMIF(F:F,F569,BJ:BJ))*(COUNTIF(F:F,F569)=COUNTIF($F$5:F569,F569))</f>
        <v>0</v>
      </c>
    </row>
    <row r="570" spans="1:64" hidden="1">
      <c r="A570" s="43">
        <v>570</v>
      </c>
      <c r="B570" s="13" t="s">
        <v>147</v>
      </c>
      <c r="C570" s="13" t="s">
        <v>146</v>
      </c>
      <c r="D570" s="13">
        <v>2</v>
      </c>
      <c r="E570" s="13">
        <v>1990</v>
      </c>
      <c r="F570" s="71" t="s">
        <v>1381</v>
      </c>
      <c r="G570" s="71" t="s">
        <v>1382</v>
      </c>
      <c r="H570" s="13" t="s">
        <v>1378</v>
      </c>
      <c r="I570" s="13" t="s">
        <v>54</v>
      </c>
      <c r="J570" s="28">
        <v>100</v>
      </c>
      <c r="K570" s="13" t="s">
        <v>489</v>
      </c>
      <c r="L570" s="13" t="s">
        <v>53</v>
      </c>
      <c r="M570" s="13">
        <v>2</v>
      </c>
      <c r="N570" s="13">
        <v>2</v>
      </c>
      <c r="O570" s="13">
        <v>1</v>
      </c>
      <c r="P570" s="13">
        <v>2</v>
      </c>
      <c r="Q570" s="13">
        <v>1</v>
      </c>
      <c r="R570" s="13" t="s">
        <v>122</v>
      </c>
      <c r="S570" s="13" t="s">
        <v>122</v>
      </c>
      <c r="T570" s="13">
        <v>44901</v>
      </c>
      <c r="U570" s="13">
        <v>2958465</v>
      </c>
      <c r="V570" s="13" t="s">
        <v>282</v>
      </c>
      <c r="W570" s="13" t="s">
        <v>145</v>
      </c>
      <c r="Y570" s="13" t="s">
        <v>143</v>
      </c>
      <c r="Z570" s="13">
        <v>7589154</v>
      </c>
      <c r="AA570" s="13">
        <v>1024</v>
      </c>
      <c r="AB570" s="13">
        <v>512</v>
      </c>
      <c r="AE570" s="51">
        <f>M570/O570</f>
        <v>2</v>
      </c>
      <c r="AG570" s="6" t="str">
        <f>C570</f>
        <v>90MB1BJ0-C1BAY0</v>
      </c>
      <c r="AH570" s="6" t="str">
        <f>IF($D570&lt;=AH$4,"",IF(AND($D569=AH$4,$D570&gt;AH$4),$F569,AH569))</f>
        <v>59MB1BJB-MB0A02S</v>
      </c>
      <c r="AI570" s="6" t="str">
        <f>IF($D570&lt;=AI$4,"",IF(AND($D569=AI$4,$D570&gt;AI$4),$F569,AI569))</f>
        <v/>
      </c>
      <c r="AJ570" s="6" t="str">
        <f>IF($D570&lt;=AJ$4,"",IF(AND($D569=AJ$4,$D570&gt;AJ$4),$F569,AJ569))</f>
        <v/>
      </c>
      <c r="AK570" s="6" t="str">
        <f>IF($D570&lt;=AK$4,"",IF(AND($D569=AK$4,$D570&gt;AK$4),$F569,AK569))</f>
        <v/>
      </c>
      <c r="AL570" s="6" t="str">
        <f>IF($D570&lt;=AL$4,"",IF(AND($D569=AL$4,$D570&gt;AL$4),$F569,AL569))</f>
        <v/>
      </c>
      <c r="AM570" s="6" t="str">
        <f>IF($D570&lt;=AM$4,"",IF(AND($D569=AM$4,$D570&gt;AM$4),$F569,AM569))</f>
        <v/>
      </c>
      <c r="AN570" s="6" t="str">
        <f>IF($D570&lt;=AN$4,"",IF(AND($D569=AN$4,$D570&gt;AN$4),$F569,AN569))</f>
        <v/>
      </c>
      <c r="AO570" s="6" t="str">
        <f>CONCATENATE(AG570," | ",AH570," | ",AI570," | ",AJ570," | ",AK570," | ",AL570," | ",AM570," | ",AN570)</f>
        <v xml:space="preserve">90MB1BJ0-C1BAY0 | 59MB1BJB-MB0A02S |  |  |  |  |  | </v>
      </c>
      <c r="AP570" s="6">
        <f>IF(TRIM(H570)="",100,J570)</f>
        <v>100</v>
      </c>
      <c r="AQ570" s="4"/>
      <c r="AR570" s="6" t="b">
        <f>NOT(TRIM(W570)&lt;&gt;"F")</f>
        <v>1</v>
      </c>
      <c r="AS570" s="6" t="str">
        <f>$B570&amp;" | "&amp;$AO570&amp;" | "&amp;IF(TRIM(H570)="","uniq"&amp;ROW(),TRIM(H570))</f>
        <v>461E | 90MB1BJ0-C1BAY0 | 59MB1BJB-MB0A02S |  |  |  |  |  |  | J9</v>
      </c>
      <c r="AT570" s="63">
        <f>IF(NOT(AR570),IF(TRIM($H570)="","Assembly","Phantom Alt"),VLOOKUP(F570,ZPCS04!B:G,6,0))</f>
        <v>731</v>
      </c>
      <c r="AU570" s="7"/>
      <c r="AV570" s="38">
        <f ca="1">IF(TRIM($W570)="F",OFFSET($A$5,MATCH($AS570,$AS$5:$AS570,0)-1,0),$A570)</f>
        <v>569</v>
      </c>
      <c r="AW570" s="38">
        <f ca="1">IFERROR(OFFSET(ZPCS04!$A$1,MATCH(F570,ZPCS04!B:B,0)-1,0),100)</f>
        <v>2</v>
      </c>
      <c r="AX570" s="7"/>
      <c r="AY570" s="6" t="b">
        <f>SUMIF(AS:AS,AS570,AP:AP)=100</f>
        <v>1</v>
      </c>
      <c r="AZ570" s="6" t="b">
        <f>SUMIF(AS:AS,AS570,AE:AE)/COUNTIF(AS:AS,AS570)=AE570</f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>C570&amp;" | "&amp;F570</f>
        <v>90MB1BJ0-C1BAY0 | 10G253272004050</v>
      </c>
      <c r="BE570" s="55" t="str">
        <f ca="1">C570&amp;" | "&amp;OFFSET($AF570,0,8-COUNTBLANK($AG570:$AN570))</f>
        <v>90MB1BJ0-C1BAY0 | 59MB1BJB-MB0A02S</v>
      </c>
      <c r="BF570" s="57">
        <f ca="1">IFERROR(VLOOKUP($BE570,$BD$5:$BF569,3,0)*$AE570,VLOOKUP($C570,Demanda!$A:$B,2,0)*$AE570)*IF(AT570="Phantom Alt",$BC570,TRUE)</f>
        <v>2000</v>
      </c>
      <c r="BG570" s="57">
        <f ca="1">BF570*(AP570/100)</f>
        <v>2000</v>
      </c>
      <c r="BH570" s="57">
        <f>SUMIF(Invoice!A:A,F570,Invoice!B:B)</f>
        <v>0</v>
      </c>
      <c r="BI570" s="57">
        <f ca="1">SUMIF(AS:AS,AS570,BG:BG)</f>
        <v>2000</v>
      </c>
      <c r="BJ570" s="57">
        <f ca="1">MIN((BI570-SUMIF($AS$5:AS569,AS570,$BJ$5:BJ569)),MAX(0,BH570-SUMIF($F$5:F569,F570,$BJ$5:BJ569)))</f>
        <v>0</v>
      </c>
      <c r="BK570" s="57">
        <f ca="1">(-SUMIF(AS:AS,AS570,BG:BG)+SUMIF(AS:AS,AS570,BJ:BJ))*(AP570=100)*AR570</f>
        <v>0</v>
      </c>
      <c r="BL570" s="57">
        <f ca="1">MAX(0,SUMIF(Invoice!A:A,F570,Invoice!B:B)-SUMIF(F:F,F570,BJ:BJ))*(COUNTIF(F:F,F570)=COUNTIF($F$5:F570,F570))</f>
        <v>0</v>
      </c>
    </row>
    <row r="571" spans="1:64" hidden="1">
      <c r="A571" s="43">
        <v>571</v>
      </c>
      <c r="B571" s="13" t="s">
        <v>147</v>
      </c>
      <c r="C571" s="13" t="s">
        <v>146</v>
      </c>
      <c r="D571" s="13">
        <v>2</v>
      </c>
      <c r="E571" s="13">
        <v>2000</v>
      </c>
      <c r="F571" s="71" t="s">
        <v>1383</v>
      </c>
      <c r="G571" s="71" t="s">
        <v>1384</v>
      </c>
      <c r="H571" s="13" t="s">
        <v>1385</v>
      </c>
      <c r="I571" s="13" t="s">
        <v>55</v>
      </c>
      <c r="J571" s="28">
        <v>0</v>
      </c>
      <c r="K571" s="13" t="s">
        <v>150</v>
      </c>
      <c r="L571" s="13" t="s">
        <v>53</v>
      </c>
      <c r="M571" s="13">
        <v>1</v>
      </c>
      <c r="O571" s="13">
        <v>1</v>
      </c>
      <c r="P571" s="13">
        <v>2</v>
      </c>
      <c r="Q571" s="13">
        <v>3</v>
      </c>
      <c r="R571" s="13" t="s">
        <v>73</v>
      </c>
      <c r="S571" s="13" t="s">
        <v>73</v>
      </c>
      <c r="T571" s="13">
        <v>44901</v>
      </c>
      <c r="U571" s="13">
        <v>2958465</v>
      </c>
      <c r="V571" s="13" t="s">
        <v>282</v>
      </c>
      <c r="W571" s="13" t="s">
        <v>145</v>
      </c>
      <c r="Y571" s="13" t="s">
        <v>143</v>
      </c>
      <c r="Z571" s="13">
        <v>7589154</v>
      </c>
      <c r="AA571" s="13">
        <v>1034</v>
      </c>
      <c r="AB571" s="13">
        <v>517</v>
      </c>
      <c r="AE571" s="51">
        <f>M571/O571</f>
        <v>1</v>
      </c>
      <c r="AG571" s="6" t="str">
        <f>C571</f>
        <v>90MB1BJ0-C1BAY0</v>
      </c>
      <c r="AH571" s="6" t="str">
        <f>IF($D571&lt;=AH$4,"",IF(AND($D570=AH$4,$D571&gt;AH$4),$F570,AH570))</f>
        <v>59MB1BJB-MB0A02S</v>
      </c>
      <c r="AI571" s="6" t="str">
        <f>IF($D571&lt;=AI$4,"",IF(AND($D570=AI$4,$D571&gt;AI$4),$F570,AI570))</f>
        <v/>
      </c>
      <c r="AJ571" s="6" t="str">
        <f>IF($D571&lt;=AJ$4,"",IF(AND($D570=AJ$4,$D571&gt;AJ$4),$F570,AJ570))</f>
        <v/>
      </c>
      <c r="AK571" s="6" t="str">
        <f>IF($D571&lt;=AK$4,"",IF(AND($D570=AK$4,$D571&gt;AK$4),$F570,AK570))</f>
        <v/>
      </c>
      <c r="AL571" s="6" t="str">
        <f>IF($D571&lt;=AL$4,"",IF(AND($D570=AL$4,$D571&gt;AL$4),$F570,AL570))</f>
        <v/>
      </c>
      <c r="AM571" s="6" t="str">
        <f>IF($D571&lt;=AM$4,"",IF(AND($D570=AM$4,$D571&gt;AM$4),$F570,AM570))</f>
        <v/>
      </c>
      <c r="AN571" s="6" t="str">
        <f>IF($D571&lt;=AN$4,"",IF(AND($D570=AN$4,$D571&gt;AN$4),$F570,AN570))</f>
        <v/>
      </c>
      <c r="AO571" s="6" t="str">
        <f>CONCATENATE(AG571," | ",AH571," | ",AI571," | ",AJ571," | ",AK571," | ",AL571," | ",AM571," | ",AN571)</f>
        <v xml:space="preserve">90MB1BJ0-C1BAY0 | 59MB1BJB-MB0A02S |  |  |  |  |  | </v>
      </c>
      <c r="AP571" s="6">
        <f>IF(TRIM(H571)="",100,J571)</f>
        <v>0</v>
      </c>
      <c r="AQ571" s="4"/>
      <c r="AR571" s="6" t="b">
        <f>NOT(TRIM(W571)&lt;&gt;"F")</f>
        <v>1</v>
      </c>
      <c r="AS571" s="6" t="str">
        <f>$B571&amp;" | "&amp;$AO571&amp;" | "&amp;IF(TRIM(H571)="","uniq"&amp;ROW(),TRIM(H571))</f>
        <v>461E | 90MB1BJ0-C1BAY0 | 59MB1BJB-MB0A02S |  |  |  |  |  |  | K0</v>
      </c>
      <c r="AT571" s="63">
        <f>IF(NOT(AR571),IF(TRIM($H571)="","Assembly","Phantom Alt"),VLOOKUP(F571,ZPCS04!B:G,6,0))</f>
        <v>732</v>
      </c>
      <c r="AU571" s="7"/>
      <c r="AV571" s="38">
        <f ca="1">IF(TRIM($W571)="F",OFFSET($A$5,MATCH($AS571,$AS$5:$AS571,0)-1,0),$A571)</f>
        <v>571</v>
      </c>
      <c r="AW571" s="38">
        <f ca="1">IFERROR(OFFSET(ZPCS04!$A$1,MATCH(F571,ZPCS04!B:B,0)-1,0),100)</f>
        <v>1.9999999499999999</v>
      </c>
      <c r="AX571" s="7"/>
      <c r="AY571" s="6" t="b">
        <f>SUMIF(AS:AS,AS571,AP:AP)=100</f>
        <v>1</v>
      </c>
      <c r="AZ571" s="6" t="b">
        <f>SUMIF(AS:AS,AS571,AE:AE)/COUNTIF(AS:AS,AS571)=AE571</f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>C571&amp;" | "&amp;F571</f>
        <v>90MB1BJ0-C1BAY0 | 10302-00282000</v>
      </c>
      <c r="BE571" s="55" t="str">
        <f ca="1">C571&amp;" | "&amp;OFFSET($AF571,0,8-COUNTBLANK($AG571:$AN571))</f>
        <v>90MB1BJ0-C1BAY0 | 59MB1BJB-MB0A02S</v>
      </c>
      <c r="BF571" s="57">
        <f ca="1">IFERROR(VLOOKUP($BE571,$BD$5:$BF570,3,0)*$AE571,VLOOKUP($C571,Demanda!$A:$B,2,0)*$AE571)*IF(AT571="Phantom Alt",$BC571,TRUE)</f>
        <v>1000</v>
      </c>
      <c r="BG571" s="57">
        <f ca="1">BF571*(AP571/100)</f>
        <v>0</v>
      </c>
      <c r="BH571" s="57">
        <f>SUMIF(Invoice!A:A,F571,Invoice!B:B)</f>
        <v>5000</v>
      </c>
      <c r="BI571" s="57">
        <f ca="1">SUMIF(AS:AS,AS571,BG:BG)</f>
        <v>1000</v>
      </c>
      <c r="BJ571" s="57">
        <f ca="1">MIN((BI571-SUMIF($AS$5:AS570,AS571,$BJ$5:BJ570)),MAX(0,BH571-SUMIF($F$5:F570,F571,$BJ$5:BJ570)))</f>
        <v>1000</v>
      </c>
      <c r="BK571" s="57">
        <f ca="1">(-SUMIF(AS:AS,AS571,BG:BG)+SUMIF(AS:AS,AS571,BJ:BJ))*(AP571=100)*AR571</f>
        <v>0</v>
      </c>
      <c r="BL571" s="57">
        <f ca="1">MAX(0,SUMIF(Invoice!A:A,F571,Invoice!B:B)-SUMIF(F:F,F571,BJ:BJ))*(COUNTIF(F:F,F571)=COUNTIF($F$5:F571,F571))</f>
        <v>4000</v>
      </c>
    </row>
    <row r="572" spans="1:64" hidden="1">
      <c r="A572" s="43">
        <v>572</v>
      </c>
      <c r="B572" s="13" t="s">
        <v>147</v>
      </c>
      <c r="C572" s="13" t="s">
        <v>146</v>
      </c>
      <c r="D572" s="13">
        <v>2</v>
      </c>
      <c r="E572" s="13">
        <v>2000</v>
      </c>
      <c r="F572" s="71" t="s">
        <v>1386</v>
      </c>
      <c r="G572" s="71" t="s">
        <v>1387</v>
      </c>
      <c r="H572" s="13" t="s">
        <v>1385</v>
      </c>
      <c r="I572" s="13" t="s">
        <v>55</v>
      </c>
      <c r="J572" s="28">
        <v>0</v>
      </c>
      <c r="K572" s="13" t="s">
        <v>150</v>
      </c>
      <c r="L572" s="13" t="s">
        <v>53</v>
      </c>
      <c r="M572" s="13">
        <v>1</v>
      </c>
      <c r="O572" s="13">
        <v>1</v>
      </c>
      <c r="P572" s="13">
        <v>2</v>
      </c>
      <c r="Q572" s="13">
        <v>2</v>
      </c>
      <c r="R572" s="13" t="s">
        <v>73</v>
      </c>
      <c r="S572" s="13" t="s">
        <v>73</v>
      </c>
      <c r="T572" s="13">
        <v>44901</v>
      </c>
      <c r="U572" s="13">
        <v>2958465</v>
      </c>
      <c r="V572" s="13" t="s">
        <v>282</v>
      </c>
      <c r="W572" s="13" t="s">
        <v>145</v>
      </c>
      <c r="Y572" s="13" t="s">
        <v>143</v>
      </c>
      <c r="Z572" s="13">
        <v>7589154</v>
      </c>
      <c r="AA572" s="13">
        <v>1032</v>
      </c>
      <c r="AB572" s="13">
        <v>516</v>
      </c>
      <c r="AE572" s="51">
        <f>M572/O572</f>
        <v>1</v>
      </c>
      <c r="AG572" s="6" t="str">
        <f>C572</f>
        <v>90MB1BJ0-C1BAY0</v>
      </c>
      <c r="AH572" s="6" t="str">
        <f>IF($D572&lt;=AH$4,"",IF(AND($D571=AH$4,$D572&gt;AH$4),$F571,AH571))</f>
        <v>59MB1BJB-MB0A02S</v>
      </c>
      <c r="AI572" s="6" t="str">
        <f>IF($D572&lt;=AI$4,"",IF(AND($D571=AI$4,$D572&gt;AI$4),$F571,AI571))</f>
        <v/>
      </c>
      <c r="AJ572" s="6" t="str">
        <f>IF($D572&lt;=AJ$4,"",IF(AND($D571=AJ$4,$D572&gt;AJ$4),$F571,AJ571))</f>
        <v/>
      </c>
      <c r="AK572" s="6" t="str">
        <f>IF($D572&lt;=AK$4,"",IF(AND($D571=AK$4,$D572&gt;AK$4),$F571,AK571))</f>
        <v/>
      </c>
      <c r="AL572" s="6" t="str">
        <f>IF($D572&lt;=AL$4,"",IF(AND($D571=AL$4,$D572&gt;AL$4),$F571,AL571))</f>
        <v/>
      </c>
      <c r="AM572" s="6" t="str">
        <f>IF($D572&lt;=AM$4,"",IF(AND($D571=AM$4,$D572&gt;AM$4),$F571,AM571))</f>
        <v/>
      </c>
      <c r="AN572" s="6" t="str">
        <f>IF($D572&lt;=AN$4,"",IF(AND($D571=AN$4,$D572&gt;AN$4),$F571,AN571))</f>
        <v/>
      </c>
      <c r="AO572" s="6" t="str">
        <f>CONCATENATE(AG572," | ",AH572," | ",AI572," | ",AJ572," | ",AK572," | ",AL572," | ",AM572," | ",AN572)</f>
        <v xml:space="preserve">90MB1BJ0-C1BAY0 | 59MB1BJB-MB0A02S |  |  |  |  |  | </v>
      </c>
      <c r="AP572" s="6">
        <f>IF(TRIM(H572)="",100,J572)</f>
        <v>0</v>
      </c>
      <c r="AQ572" s="4"/>
      <c r="AR572" s="6" t="b">
        <f>NOT(TRIM(W572)&lt;&gt;"F")</f>
        <v>1</v>
      </c>
      <c r="AS572" s="6" t="str">
        <f>$B572&amp;" | "&amp;$AO572&amp;" | "&amp;IF(TRIM(H572)="","uniq"&amp;ROW(),TRIM(H572))</f>
        <v>461E | 90MB1BJ0-C1BAY0 | 59MB1BJB-MB0A02S |  |  |  |  |  |  | K0</v>
      </c>
      <c r="AT572" s="63">
        <f>IF(NOT(AR572),IF(TRIM($H572)="","Assembly","Phantom Alt"),VLOOKUP(F572,ZPCS04!B:G,6,0))</f>
        <v>732</v>
      </c>
      <c r="AU572" s="7"/>
      <c r="AV572" s="38">
        <f ca="1">IF(TRIM($W572)="F",OFFSET($A$5,MATCH($AS572,$AS$5:$AS572,0)-1,0),$A572)</f>
        <v>571</v>
      </c>
      <c r="AW572" s="38">
        <f ca="1">IFERROR(OFFSET(ZPCS04!$A$1,MATCH(F572,ZPCS04!B:B,0)-1,0),100)</f>
        <v>2</v>
      </c>
      <c r="AX572" s="7"/>
      <c r="AY572" s="6" t="b">
        <f>SUMIF(AS:AS,AS572,AP:AP)=100</f>
        <v>1</v>
      </c>
      <c r="AZ572" s="6" t="b">
        <f>SUMIF(AS:AS,AS572,AE:AE)/COUNTIF(AS:AS,AS572)=AE572</f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>C572&amp;" | "&amp;F572</f>
        <v>90MB1BJ0-C1BAY0 | 10G253301004010</v>
      </c>
      <c r="BE572" s="55" t="str">
        <f ca="1">C572&amp;" | "&amp;OFFSET($AF572,0,8-COUNTBLANK($AG572:$AN572))</f>
        <v>90MB1BJ0-C1BAY0 | 59MB1BJB-MB0A02S</v>
      </c>
      <c r="BF572" s="57">
        <f ca="1">IFERROR(VLOOKUP($BE572,$BD$5:$BF571,3,0)*$AE572,VLOOKUP($C572,Demanda!$A:$B,2,0)*$AE572)*IF(AT572="Phantom Alt",$BC572,TRUE)</f>
        <v>1000</v>
      </c>
      <c r="BG572" s="57">
        <f ca="1">BF572*(AP572/100)</f>
        <v>0</v>
      </c>
      <c r="BH572" s="57">
        <f>SUMIF(Invoice!A:A,F572,Invoice!B:B)</f>
        <v>0</v>
      </c>
      <c r="BI572" s="57">
        <f ca="1">SUMIF(AS:AS,AS572,BG:BG)</f>
        <v>1000</v>
      </c>
      <c r="BJ572" s="57">
        <f ca="1">MIN((BI572-SUMIF($AS$5:AS571,AS572,$BJ$5:BJ571)),MAX(0,BH572-SUMIF($F$5:F571,F572,$BJ$5:BJ571)))</f>
        <v>0</v>
      </c>
      <c r="BK572" s="57">
        <f ca="1">(-SUMIF(AS:AS,AS572,BG:BG)+SUMIF(AS:AS,AS572,BJ:BJ))*(AP572=100)*AR572</f>
        <v>0</v>
      </c>
      <c r="BL572" s="57">
        <f ca="1">MAX(0,SUMIF(Invoice!A:A,F572,Invoice!B:B)-SUMIF(F:F,F572,BJ:BJ))*(COUNTIF(F:F,F572)=COUNTIF($F$5:F572,F572))</f>
        <v>0</v>
      </c>
    </row>
    <row r="573" spans="1:64" hidden="1">
      <c r="A573" s="43">
        <v>573</v>
      </c>
      <c r="B573" s="13" t="s">
        <v>147</v>
      </c>
      <c r="C573" s="13" t="s">
        <v>146</v>
      </c>
      <c r="D573" s="13">
        <v>2</v>
      </c>
      <c r="E573" s="13">
        <v>2000</v>
      </c>
      <c r="F573" s="71" t="s">
        <v>1388</v>
      </c>
      <c r="G573" s="71" t="s">
        <v>1389</v>
      </c>
      <c r="H573" s="13" t="s">
        <v>1385</v>
      </c>
      <c r="I573" s="13" t="s">
        <v>54</v>
      </c>
      <c r="J573" s="28">
        <v>100</v>
      </c>
      <c r="K573" s="13" t="s">
        <v>150</v>
      </c>
      <c r="L573" s="13" t="s">
        <v>53</v>
      </c>
      <c r="M573" s="13">
        <v>1</v>
      </c>
      <c r="N573" s="13">
        <v>1</v>
      </c>
      <c r="O573" s="13">
        <v>1</v>
      </c>
      <c r="P573" s="13">
        <v>2</v>
      </c>
      <c r="Q573" s="13">
        <v>1</v>
      </c>
      <c r="R573" s="13" t="s">
        <v>73</v>
      </c>
      <c r="S573" s="13" t="s">
        <v>73</v>
      </c>
      <c r="T573" s="13">
        <v>44901</v>
      </c>
      <c r="U573" s="13">
        <v>2958465</v>
      </c>
      <c r="V573" s="13" t="s">
        <v>282</v>
      </c>
      <c r="W573" s="13" t="s">
        <v>145</v>
      </c>
      <c r="Y573" s="13" t="s">
        <v>143</v>
      </c>
      <c r="Z573" s="13">
        <v>7589154</v>
      </c>
      <c r="AA573" s="13">
        <v>1030</v>
      </c>
      <c r="AB573" s="13">
        <v>515</v>
      </c>
      <c r="AE573" s="51">
        <f>M573/O573</f>
        <v>1</v>
      </c>
      <c r="AG573" s="6" t="str">
        <f>C573</f>
        <v>90MB1BJ0-C1BAY0</v>
      </c>
      <c r="AH573" s="6" t="str">
        <f>IF($D573&lt;=AH$4,"",IF(AND($D572=AH$4,$D573&gt;AH$4),$F572,AH572))</f>
        <v>59MB1BJB-MB0A02S</v>
      </c>
      <c r="AI573" s="6" t="str">
        <f>IF($D573&lt;=AI$4,"",IF(AND($D572=AI$4,$D573&gt;AI$4),$F572,AI572))</f>
        <v/>
      </c>
      <c r="AJ573" s="6" t="str">
        <f>IF($D573&lt;=AJ$4,"",IF(AND($D572=AJ$4,$D573&gt;AJ$4),$F572,AJ572))</f>
        <v/>
      </c>
      <c r="AK573" s="6" t="str">
        <f>IF($D573&lt;=AK$4,"",IF(AND($D572=AK$4,$D573&gt;AK$4),$F572,AK572))</f>
        <v/>
      </c>
      <c r="AL573" s="6" t="str">
        <f>IF($D573&lt;=AL$4,"",IF(AND($D572=AL$4,$D573&gt;AL$4),$F572,AL572))</f>
        <v/>
      </c>
      <c r="AM573" s="6" t="str">
        <f>IF($D573&lt;=AM$4,"",IF(AND($D572=AM$4,$D573&gt;AM$4),$F572,AM572))</f>
        <v/>
      </c>
      <c r="AN573" s="6" t="str">
        <f>IF($D573&lt;=AN$4,"",IF(AND($D572=AN$4,$D573&gt;AN$4),$F572,AN572))</f>
        <v/>
      </c>
      <c r="AO573" s="6" t="str">
        <f>CONCATENATE(AG573," | ",AH573," | ",AI573," | ",AJ573," | ",AK573," | ",AL573," | ",AM573," | ",AN573)</f>
        <v xml:space="preserve">90MB1BJ0-C1BAY0 | 59MB1BJB-MB0A02S |  |  |  |  |  | </v>
      </c>
      <c r="AP573" s="6">
        <f>IF(TRIM(H573)="",100,J573)</f>
        <v>100</v>
      </c>
      <c r="AQ573" s="4"/>
      <c r="AR573" s="6" t="b">
        <f>NOT(TRIM(W573)&lt;&gt;"F")</f>
        <v>1</v>
      </c>
      <c r="AS573" s="6" t="str">
        <f>$B573&amp;" | "&amp;$AO573&amp;" | "&amp;IF(TRIM(H573)="","uniq"&amp;ROW(),TRIM(H573))</f>
        <v>461E | 90MB1BJ0-C1BAY0 | 59MB1BJB-MB0A02S |  |  |  |  |  |  | K0</v>
      </c>
      <c r="AT573" s="63">
        <f>IF(NOT(AR573),IF(TRIM($H573)="","Assembly","Phantom Alt"),VLOOKUP(F573,ZPCS04!B:G,6,0))</f>
        <v>732</v>
      </c>
      <c r="AU573" s="7"/>
      <c r="AV573" s="38">
        <f ca="1">IF(TRIM($W573)="F",OFFSET($A$5,MATCH($AS573,$AS$5:$AS573,0)-1,0),$A573)</f>
        <v>571</v>
      </c>
      <c r="AW573" s="38">
        <f ca="1">IFERROR(OFFSET(ZPCS04!$A$1,MATCH(F573,ZPCS04!B:B,0)-1,0),100)</f>
        <v>2</v>
      </c>
      <c r="AX573" s="7"/>
      <c r="AY573" s="6" t="b">
        <f>SUMIF(AS:AS,AS573,AP:AP)=100</f>
        <v>1</v>
      </c>
      <c r="AZ573" s="6" t="b">
        <f>SUMIF(AS:AS,AS573,AE:AE)/COUNTIF(AS:AS,AS573)=AE573</f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>C573&amp;" | "&amp;F573</f>
        <v>90MB1BJ0-C1BAY0 | 10G253301004050</v>
      </c>
      <c r="BE573" s="55" t="str">
        <f ca="1">C573&amp;" | "&amp;OFFSET($AF573,0,8-COUNTBLANK($AG573:$AN573))</f>
        <v>90MB1BJ0-C1BAY0 | 59MB1BJB-MB0A02S</v>
      </c>
      <c r="BF573" s="57">
        <f ca="1">IFERROR(VLOOKUP($BE573,$BD$5:$BF572,3,0)*$AE573,VLOOKUP($C573,Demanda!$A:$B,2,0)*$AE573)*IF(AT573="Phantom Alt",$BC573,TRUE)</f>
        <v>1000</v>
      </c>
      <c r="BG573" s="57">
        <f ca="1">BF573*(AP573/100)</f>
        <v>1000</v>
      </c>
      <c r="BH573" s="57">
        <f>SUMIF(Invoice!A:A,F573,Invoice!B:B)</f>
        <v>0</v>
      </c>
      <c r="BI573" s="57">
        <f ca="1">SUMIF(AS:AS,AS573,BG:BG)</f>
        <v>1000</v>
      </c>
      <c r="BJ573" s="57">
        <f ca="1">MIN((BI573-SUMIF($AS$5:AS572,AS573,$BJ$5:BJ572)),MAX(0,BH573-SUMIF($F$5:F572,F573,$BJ$5:BJ572)))</f>
        <v>0</v>
      </c>
      <c r="BK573" s="57">
        <f ca="1">(-SUMIF(AS:AS,AS573,BG:BG)+SUMIF(AS:AS,AS573,BJ:BJ))*(AP573=100)*AR573</f>
        <v>0</v>
      </c>
      <c r="BL573" s="57">
        <f ca="1">MAX(0,SUMIF(Invoice!A:A,F573,Invoice!B:B)-SUMIF(F:F,F573,BJ:BJ))*(COUNTIF(F:F,F573)=COUNTIF($F$5:F573,F573))</f>
        <v>0</v>
      </c>
    </row>
    <row r="574" spans="1:64" hidden="1">
      <c r="A574" s="43">
        <v>575</v>
      </c>
      <c r="B574" s="13" t="s">
        <v>147</v>
      </c>
      <c r="C574" s="13" t="s">
        <v>146</v>
      </c>
      <c r="D574" s="13">
        <v>2</v>
      </c>
      <c r="E574" s="13">
        <v>2010</v>
      </c>
      <c r="F574" s="71" t="s">
        <v>1393</v>
      </c>
      <c r="G574" s="71" t="s">
        <v>1394</v>
      </c>
      <c r="H574" s="13" t="s">
        <v>1392</v>
      </c>
      <c r="I574" s="13" t="s">
        <v>55</v>
      </c>
      <c r="J574" s="28">
        <v>0</v>
      </c>
      <c r="K574" s="13" t="s">
        <v>489</v>
      </c>
      <c r="L574" s="13" t="s">
        <v>53</v>
      </c>
      <c r="M574" s="13">
        <v>3</v>
      </c>
      <c r="O574" s="13">
        <v>1</v>
      </c>
      <c r="P574" s="13">
        <v>2</v>
      </c>
      <c r="Q574" s="13">
        <v>3</v>
      </c>
      <c r="R574" s="13" t="s">
        <v>122</v>
      </c>
      <c r="S574" s="13" t="s">
        <v>122</v>
      </c>
      <c r="T574" s="13">
        <v>44901</v>
      </c>
      <c r="U574" s="13">
        <v>2958465</v>
      </c>
      <c r="V574" s="13" t="s">
        <v>282</v>
      </c>
      <c r="W574" s="13" t="s">
        <v>145</v>
      </c>
      <c r="Y574" s="13" t="s">
        <v>143</v>
      </c>
      <c r="Z574" s="13">
        <v>7589154</v>
      </c>
      <c r="AA574" s="13">
        <v>1040</v>
      </c>
      <c r="AB574" s="13">
        <v>520</v>
      </c>
      <c r="AE574" s="51">
        <f>M574/O574</f>
        <v>3</v>
      </c>
      <c r="AG574" s="6" t="str">
        <f>C574</f>
        <v>90MB1BJ0-C1BAY0</v>
      </c>
      <c r="AH574" s="6" t="str">
        <f>IF($D574&lt;=AH$4,"",IF(AND($D573=AH$4,$D574&gt;AH$4),$F573,AH573))</f>
        <v>59MB1BJB-MB0A02S</v>
      </c>
      <c r="AI574" s="6" t="str">
        <f>IF($D574&lt;=AI$4,"",IF(AND($D573=AI$4,$D574&gt;AI$4),$F573,AI573))</f>
        <v/>
      </c>
      <c r="AJ574" s="6" t="str">
        <f>IF($D574&lt;=AJ$4,"",IF(AND($D573=AJ$4,$D574&gt;AJ$4),$F573,AJ573))</f>
        <v/>
      </c>
      <c r="AK574" s="6" t="str">
        <f>IF($D574&lt;=AK$4,"",IF(AND($D573=AK$4,$D574&gt;AK$4),$F573,AK573))</f>
        <v/>
      </c>
      <c r="AL574" s="6" t="str">
        <f>IF($D574&lt;=AL$4,"",IF(AND($D573=AL$4,$D574&gt;AL$4),$F573,AL573))</f>
        <v/>
      </c>
      <c r="AM574" s="6" t="str">
        <f>IF($D574&lt;=AM$4,"",IF(AND($D573=AM$4,$D574&gt;AM$4),$F573,AM573))</f>
        <v/>
      </c>
      <c r="AN574" s="6" t="str">
        <f>IF($D574&lt;=AN$4,"",IF(AND($D573=AN$4,$D574&gt;AN$4),$F573,AN573))</f>
        <v/>
      </c>
      <c r="AO574" s="6" t="str">
        <f>CONCATENATE(AG574," | ",AH574," | ",AI574," | ",AJ574," | ",AK574," | ",AL574," | ",AM574," | ",AN574)</f>
        <v xml:space="preserve">90MB1BJ0-C1BAY0 | 59MB1BJB-MB0A02S |  |  |  |  |  | </v>
      </c>
      <c r="AP574" s="6">
        <f>IF(TRIM(H574)="",100,J574)</f>
        <v>0</v>
      </c>
      <c r="AQ574" s="4"/>
      <c r="AR574" s="6" t="b">
        <f>NOT(TRIM(W574)&lt;&gt;"F")</f>
        <v>1</v>
      </c>
      <c r="AS574" s="6" t="str">
        <f>$B574&amp;" | "&amp;$AO574&amp;" | "&amp;IF(TRIM(H574)="","uniq"&amp;ROW(),TRIM(H574))</f>
        <v>461E | 90MB1BJ0-C1BAY0 | 59MB1BJB-MB0A02S |  |  |  |  |  |  | K1</v>
      </c>
      <c r="AT574" s="63">
        <f>IF(NOT(AR574),IF(TRIM($H574)="","Assembly","Phantom Alt"),VLOOKUP(F574,ZPCS04!B:G,6,0))</f>
        <v>733</v>
      </c>
      <c r="AU574" s="7"/>
      <c r="AV574" s="38">
        <f ca="1">IF(TRIM($W574)="F",OFFSET($A$5,MATCH($AS574,$AS$5:$AS574,0)-1,0),$A574)</f>
        <v>575</v>
      </c>
      <c r="AW574" s="38">
        <f ca="1">IFERROR(OFFSET(ZPCS04!$A$1,MATCH(F574,ZPCS04!B:B,0)-1,0),100)</f>
        <v>1.9999999499999999</v>
      </c>
      <c r="AX574" s="7"/>
      <c r="AY574" s="6" t="b">
        <f>SUMIF(AS:AS,AS574,AP:AP)=100</f>
        <v>1</v>
      </c>
      <c r="AZ574" s="6" t="b">
        <f>SUMIF(AS:AS,AS574,AE:AE)/COUNTIF(AS:AS,AS574)=AE574</f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>C574&amp;" | "&amp;F574</f>
        <v>90MB1BJ0-C1BAY0 | 10G253330004010</v>
      </c>
      <c r="BE574" s="55" t="str">
        <f ca="1">C574&amp;" | "&amp;OFFSET($AF574,0,8-COUNTBLANK($AG574:$AN574))</f>
        <v>90MB1BJ0-C1BAY0 | 59MB1BJB-MB0A02S</v>
      </c>
      <c r="BF574" s="57">
        <f ca="1">IFERROR(VLOOKUP($BE574,$BD$5:$BF573,3,0)*$AE574,VLOOKUP($C574,Demanda!$A:$B,2,0)*$AE574)*IF(AT574="Phantom Alt",$BC574,TRUE)</f>
        <v>3000</v>
      </c>
      <c r="BG574" s="57">
        <f ca="1">BF574*(AP574/100)</f>
        <v>0</v>
      </c>
      <c r="BH574" s="57">
        <f>SUMIF(Invoice!A:A,F574,Invoice!B:B)</f>
        <v>5000</v>
      </c>
      <c r="BI574" s="57">
        <f ca="1">SUMIF(AS:AS,AS574,BG:BG)</f>
        <v>3000</v>
      </c>
      <c r="BJ574" s="57">
        <f ca="1">MIN((BI574-SUMIF($AS$5:AS573,AS574,$BJ$5:BJ573)),MAX(0,BH574-SUMIF($F$5:F573,F574,$BJ$5:BJ573)))</f>
        <v>3000</v>
      </c>
      <c r="BK574" s="57">
        <f ca="1">(-SUMIF(AS:AS,AS574,BG:BG)+SUMIF(AS:AS,AS574,BJ:BJ))*(AP574=100)*AR574</f>
        <v>0</v>
      </c>
      <c r="BL574" s="57">
        <f ca="1">MAX(0,SUMIF(Invoice!A:A,F574,Invoice!B:B)-SUMIF(F:F,F574,BJ:BJ))*(COUNTIF(F:F,F574)=COUNTIF($F$5:F574,F574))</f>
        <v>2000</v>
      </c>
    </row>
    <row r="575" spans="1:64" hidden="1">
      <c r="A575" s="43">
        <v>574</v>
      </c>
      <c r="B575" s="13" t="s">
        <v>147</v>
      </c>
      <c r="C575" s="13" t="s">
        <v>146</v>
      </c>
      <c r="D575" s="13">
        <v>2</v>
      </c>
      <c r="E575" s="13">
        <v>2010</v>
      </c>
      <c r="F575" s="71" t="s">
        <v>1390</v>
      </c>
      <c r="G575" s="71" t="s">
        <v>1391</v>
      </c>
      <c r="H575" s="13" t="s">
        <v>1392</v>
      </c>
      <c r="I575" s="13" t="s">
        <v>55</v>
      </c>
      <c r="J575" s="28">
        <v>0</v>
      </c>
      <c r="K575" s="13" t="s">
        <v>150</v>
      </c>
      <c r="L575" s="13" t="s">
        <v>53</v>
      </c>
      <c r="M575" s="13">
        <v>3</v>
      </c>
      <c r="O575" s="13">
        <v>1</v>
      </c>
      <c r="P575" s="13">
        <v>2</v>
      </c>
      <c r="Q575" s="13">
        <v>2</v>
      </c>
      <c r="R575" s="13" t="s">
        <v>73</v>
      </c>
      <c r="S575" s="13" t="s">
        <v>73</v>
      </c>
      <c r="T575" s="13">
        <v>44901</v>
      </c>
      <c r="U575" s="13">
        <v>2958465</v>
      </c>
      <c r="V575" s="13" t="s">
        <v>282</v>
      </c>
      <c r="W575" s="13" t="s">
        <v>145</v>
      </c>
      <c r="Y575" s="13" t="s">
        <v>143</v>
      </c>
      <c r="Z575" s="13">
        <v>7589154</v>
      </c>
      <c r="AA575" s="13">
        <v>1038</v>
      </c>
      <c r="AB575" s="13">
        <v>519</v>
      </c>
      <c r="AE575" s="51">
        <f>M575/O575</f>
        <v>3</v>
      </c>
      <c r="AG575" s="6" t="str">
        <f>C575</f>
        <v>90MB1BJ0-C1BAY0</v>
      </c>
      <c r="AH575" s="6" t="str">
        <f>IF($D575&lt;=AH$4,"",IF(AND($D574=AH$4,$D575&gt;AH$4),$F574,AH574))</f>
        <v>59MB1BJB-MB0A02S</v>
      </c>
      <c r="AI575" s="6" t="str">
        <f>IF($D575&lt;=AI$4,"",IF(AND($D574=AI$4,$D575&gt;AI$4),$F574,AI574))</f>
        <v/>
      </c>
      <c r="AJ575" s="6" t="str">
        <f>IF($D575&lt;=AJ$4,"",IF(AND($D574=AJ$4,$D575&gt;AJ$4),$F574,AJ574))</f>
        <v/>
      </c>
      <c r="AK575" s="6" t="str">
        <f>IF($D575&lt;=AK$4,"",IF(AND($D574=AK$4,$D575&gt;AK$4),$F574,AK574))</f>
        <v/>
      </c>
      <c r="AL575" s="6" t="str">
        <f>IF($D575&lt;=AL$4,"",IF(AND($D574=AL$4,$D575&gt;AL$4),$F574,AL574))</f>
        <v/>
      </c>
      <c r="AM575" s="6" t="str">
        <f>IF($D575&lt;=AM$4,"",IF(AND($D574=AM$4,$D575&gt;AM$4),$F574,AM574))</f>
        <v/>
      </c>
      <c r="AN575" s="6" t="str">
        <f>IF($D575&lt;=AN$4,"",IF(AND($D574=AN$4,$D575&gt;AN$4),$F574,AN574))</f>
        <v/>
      </c>
      <c r="AO575" s="6" t="str">
        <f>CONCATENATE(AG575," | ",AH575," | ",AI575," | ",AJ575," | ",AK575," | ",AL575," | ",AM575," | ",AN575)</f>
        <v xml:space="preserve">90MB1BJ0-C1BAY0 | 59MB1BJB-MB0A02S |  |  |  |  |  | </v>
      </c>
      <c r="AP575" s="6">
        <f>IF(TRIM(H575)="",100,J575)</f>
        <v>0</v>
      </c>
      <c r="AQ575" s="4"/>
      <c r="AR575" s="6" t="b">
        <f>NOT(TRIM(W575)&lt;&gt;"F")</f>
        <v>1</v>
      </c>
      <c r="AS575" s="6" t="str">
        <f>$B575&amp;" | "&amp;$AO575&amp;" | "&amp;IF(TRIM(H575)="","uniq"&amp;ROW(),TRIM(H575))</f>
        <v>461E | 90MB1BJ0-C1BAY0 | 59MB1BJB-MB0A02S |  |  |  |  |  |  | K1</v>
      </c>
      <c r="AT575" s="63">
        <f>IF(NOT(AR575),IF(TRIM($H575)="","Assembly","Phantom Alt"),VLOOKUP(F575,ZPCS04!B:G,6,0))</f>
        <v>733</v>
      </c>
      <c r="AU575" s="7"/>
      <c r="AV575" s="38">
        <f ca="1">IF(TRIM($W575)="F",OFFSET($A$5,MATCH($AS575,$AS$5:$AS575,0)-1,0),$A575)</f>
        <v>575</v>
      </c>
      <c r="AW575" s="38">
        <f ca="1">IFERROR(OFFSET(ZPCS04!$A$1,MATCH(F575,ZPCS04!B:B,0)-1,0),100)</f>
        <v>2</v>
      </c>
      <c r="AX575" s="7"/>
      <c r="AY575" s="6" t="b">
        <f>SUMIF(AS:AS,AS575,AP:AP)=100</f>
        <v>1</v>
      </c>
      <c r="AZ575" s="6" t="b">
        <f>SUMIF(AS:AS,AS575,AE:AE)/COUNTIF(AS:AS,AS575)=AE575</f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>C575&amp;" | "&amp;F575</f>
        <v>90MB1BJ0-C1BAY0 | 10302-00292000</v>
      </c>
      <c r="BE575" s="55" t="str">
        <f ca="1">C575&amp;" | "&amp;OFFSET($AF575,0,8-COUNTBLANK($AG575:$AN575))</f>
        <v>90MB1BJ0-C1BAY0 | 59MB1BJB-MB0A02S</v>
      </c>
      <c r="BF575" s="57">
        <f ca="1">IFERROR(VLOOKUP($BE575,$BD$5:$BF574,3,0)*$AE575,VLOOKUP($C575,Demanda!$A:$B,2,0)*$AE575)*IF(AT575="Phantom Alt",$BC575,TRUE)</f>
        <v>3000</v>
      </c>
      <c r="BG575" s="57">
        <f ca="1">BF575*(AP575/100)</f>
        <v>0</v>
      </c>
      <c r="BH575" s="57">
        <f>SUMIF(Invoice!A:A,F575,Invoice!B:B)</f>
        <v>0</v>
      </c>
      <c r="BI575" s="57">
        <f ca="1">SUMIF(AS:AS,AS575,BG:BG)</f>
        <v>3000</v>
      </c>
      <c r="BJ575" s="57">
        <f ca="1">MIN((BI575-SUMIF($AS$5:AS574,AS575,$BJ$5:BJ574)),MAX(0,BH575-SUMIF($F$5:F574,F575,$BJ$5:BJ574)))</f>
        <v>0</v>
      </c>
      <c r="BK575" s="57">
        <f ca="1">(-SUMIF(AS:AS,AS575,BG:BG)+SUMIF(AS:AS,AS575,BJ:BJ))*(AP575=100)*AR575</f>
        <v>0</v>
      </c>
      <c r="BL575" s="57">
        <f ca="1">MAX(0,SUMIF(Invoice!A:A,F575,Invoice!B:B)-SUMIF(F:F,F575,BJ:BJ))*(COUNTIF(F:F,F575)=COUNTIF($F$5:F575,F575))</f>
        <v>0</v>
      </c>
    </row>
    <row r="576" spans="1:64" hidden="1">
      <c r="A576" s="43">
        <v>576</v>
      </c>
      <c r="B576" s="13" t="s">
        <v>147</v>
      </c>
      <c r="C576" s="13" t="s">
        <v>146</v>
      </c>
      <c r="D576" s="13">
        <v>2</v>
      </c>
      <c r="E576" s="13">
        <v>2010</v>
      </c>
      <c r="F576" s="71" t="s">
        <v>1395</v>
      </c>
      <c r="G576" s="71" t="s">
        <v>1396</v>
      </c>
      <c r="H576" s="13" t="s">
        <v>1392</v>
      </c>
      <c r="I576" s="13" t="s">
        <v>54</v>
      </c>
      <c r="J576" s="28">
        <v>100</v>
      </c>
      <c r="K576" s="13" t="s">
        <v>150</v>
      </c>
      <c r="L576" s="13" t="s">
        <v>53</v>
      </c>
      <c r="M576" s="13">
        <v>3</v>
      </c>
      <c r="N576" s="13">
        <v>3</v>
      </c>
      <c r="O576" s="13">
        <v>1</v>
      </c>
      <c r="P576" s="13">
        <v>2</v>
      </c>
      <c r="Q576" s="13">
        <v>1</v>
      </c>
      <c r="R576" s="13" t="s">
        <v>73</v>
      </c>
      <c r="S576" s="13" t="s">
        <v>73</v>
      </c>
      <c r="T576" s="13">
        <v>44901</v>
      </c>
      <c r="U576" s="13">
        <v>2958465</v>
      </c>
      <c r="V576" s="13" t="s">
        <v>282</v>
      </c>
      <c r="W576" s="13" t="s">
        <v>145</v>
      </c>
      <c r="Y576" s="13" t="s">
        <v>143</v>
      </c>
      <c r="Z576" s="13">
        <v>7589154</v>
      </c>
      <c r="AA576" s="13">
        <v>1036</v>
      </c>
      <c r="AB576" s="13">
        <v>518</v>
      </c>
      <c r="AE576" s="51">
        <f>M576/O576</f>
        <v>3</v>
      </c>
      <c r="AG576" s="6" t="str">
        <f>C576</f>
        <v>90MB1BJ0-C1BAY0</v>
      </c>
      <c r="AH576" s="6" t="str">
        <f>IF($D576&lt;=AH$4,"",IF(AND($D575=AH$4,$D576&gt;AH$4),$F575,AH575))</f>
        <v>59MB1BJB-MB0A02S</v>
      </c>
      <c r="AI576" s="6" t="str">
        <f>IF($D576&lt;=AI$4,"",IF(AND($D575=AI$4,$D576&gt;AI$4),$F575,AI575))</f>
        <v/>
      </c>
      <c r="AJ576" s="6" t="str">
        <f>IF($D576&lt;=AJ$4,"",IF(AND($D575=AJ$4,$D576&gt;AJ$4),$F575,AJ575))</f>
        <v/>
      </c>
      <c r="AK576" s="6" t="str">
        <f>IF($D576&lt;=AK$4,"",IF(AND($D575=AK$4,$D576&gt;AK$4),$F575,AK575))</f>
        <v/>
      </c>
      <c r="AL576" s="6" t="str">
        <f>IF($D576&lt;=AL$4,"",IF(AND($D575=AL$4,$D576&gt;AL$4),$F575,AL575))</f>
        <v/>
      </c>
      <c r="AM576" s="6" t="str">
        <f>IF($D576&lt;=AM$4,"",IF(AND($D575=AM$4,$D576&gt;AM$4),$F575,AM575))</f>
        <v/>
      </c>
      <c r="AN576" s="6" t="str">
        <f>IF($D576&lt;=AN$4,"",IF(AND($D575=AN$4,$D576&gt;AN$4),$F575,AN575))</f>
        <v/>
      </c>
      <c r="AO576" s="6" t="str">
        <f>CONCATENATE(AG576," | ",AH576," | ",AI576," | ",AJ576," | ",AK576," | ",AL576," | ",AM576," | ",AN576)</f>
        <v xml:space="preserve">90MB1BJ0-C1BAY0 | 59MB1BJB-MB0A02S |  |  |  |  |  | </v>
      </c>
      <c r="AP576" s="6">
        <f>IF(TRIM(H576)="",100,J576)</f>
        <v>100</v>
      </c>
      <c r="AQ576" s="4"/>
      <c r="AR576" s="6" t="b">
        <f>NOT(TRIM(W576)&lt;&gt;"F")</f>
        <v>1</v>
      </c>
      <c r="AS576" s="6" t="str">
        <f>$B576&amp;" | "&amp;$AO576&amp;" | "&amp;IF(TRIM(H576)="","uniq"&amp;ROW(),TRIM(H576))</f>
        <v>461E | 90MB1BJ0-C1BAY0 | 59MB1BJB-MB0A02S |  |  |  |  |  |  | K1</v>
      </c>
      <c r="AT576" s="63">
        <f>IF(NOT(AR576),IF(TRIM($H576)="","Assembly","Phantom Alt"),VLOOKUP(F576,ZPCS04!B:G,6,0))</f>
        <v>733</v>
      </c>
      <c r="AU576" s="7"/>
      <c r="AV576" s="38">
        <f ca="1">IF(TRIM($W576)="F",OFFSET($A$5,MATCH($AS576,$AS$5:$AS576,0)-1,0),$A576)</f>
        <v>575</v>
      </c>
      <c r="AW576" s="38">
        <f ca="1">IFERROR(OFFSET(ZPCS04!$A$1,MATCH(F576,ZPCS04!B:B,0)-1,0),100)</f>
        <v>2</v>
      </c>
      <c r="AX576" s="7"/>
      <c r="AY576" s="6" t="b">
        <f>SUMIF(AS:AS,AS576,AP:AP)=100</f>
        <v>1</v>
      </c>
      <c r="AZ576" s="6" t="b">
        <f>SUMIF(AS:AS,AS576,AE:AE)/COUNTIF(AS:AS,AS576)=AE576</f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>C576&amp;" | "&amp;F576</f>
        <v>90MB1BJ0-C1BAY0 | 10G253330004050</v>
      </c>
      <c r="BE576" s="55" t="str">
        <f ca="1">C576&amp;" | "&amp;OFFSET($AF576,0,8-COUNTBLANK($AG576:$AN576))</f>
        <v>90MB1BJ0-C1BAY0 | 59MB1BJB-MB0A02S</v>
      </c>
      <c r="BF576" s="57">
        <f ca="1">IFERROR(VLOOKUP($BE576,$BD$5:$BF575,3,0)*$AE576,VLOOKUP($C576,Demanda!$A:$B,2,0)*$AE576)*IF(AT576="Phantom Alt",$BC576,TRUE)</f>
        <v>3000</v>
      </c>
      <c r="BG576" s="57">
        <f ca="1">BF576*(AP576/100)</f>
        <v>3000</v>
      </c>
      <c r="BH576" s="57">
        <f>SUMIF(Invoice!A:A,F576,Invoice!B:B)</f>
        <v>0</v>
      </c>
      <c r="BI576" s="57">
        <f ca="1">SUMIF(AS:AS,AS576,BG:BG)</f>
        <v>3000</v>
      </c>
      <c r="BJ576" s="57">
        <f ca="1">MIN((BI576-SUMIF($AS$5:AS575,AS576,$BJ$5:BJ575)),MAX(0,BH576-SUMIF($F$5:F575,F576,$BJ$5:BJ575)))</f>
        <v>0</v>
      </c>
      <c r="BK576" s="57">
        <f ca="1">(-SUMIF(AS:AS,AS576,BG:BG)+SUMIF(AS:AS,AS576,BJ:BJ))*(AP576=100)*AR576</f>
        <v>0</v>
      </c>
      <c r="BL576" s="57">
        <f ca="1">MAX(0,SUMIF(Invoice!A:A,F576,Invoice!B:B)-SUMIF(F:F,F576,BJ:BJ))*(COUNTIF(F:F,F576)=COUNTIF($F$5:F576,F576))</f>
        <v>0</v>
      </c>
    </row>
    <row r="577" spans="1:64" hidden="1">
      <c r="A577" s="43">
        <v>579</v>
      </c>
      <c r="B577" s="13" t="s">
        <v>147</v>
      </c>
      <c r="C577" s="13" t="s">
        <v>146</v>
      </c>
      <c r="D577" s="13">
        <v>2</v>
      </c>
      <c r="E577" s="13">
        <v>2020</v>
      </c>
      <c r="F577" s="71" t="s">
        <v>1402</v>
      </c>
      <c r="G577" s="71" t="s">
        <v>1401</v>
      </c>
      <c r="H577" s="13" t="s">
        <v>1399</v>
      </c>
      <c r="I577" s="13" t="s">
        <v>54</v>
      </c>
      <c r="J577" s="28">
        <v>100</v>
      </c>
      <c r="K577" s="13" t="s">
        <v>489</v>
      </c>
      <c r="L577" s="13" t="s">
        <v>53</v>
      </c>
      <c r="M577" s="13">
        <v>2</v>
      </c>
      <c r="N577" s="13">
        <v>2</v>
      </c>
      <c r="O577" s="13">
        <v>1</v>
      </c>
      <c r="P577" s="13">
        <v>2</v>
      </c>
      <c r="Q577" s="13">
        <v>1</v>
      </c>
      <c r="R577" s="13" t="s">
        <v>122</v>
      </c>
      <c r="S577" s="13" t="s">
        <v>122</v>
      </c>
      <c r="T577" s="13">
        <v>44901</v>
      </c>
      <c r="U577" s="13">
        <v>2958465</v>
      </c>
      <c r="V577" s="13" t="s">
        <v>282</v>
      </c>
      <c r="W577" s="13" t="s">
        <v>145</v>
      </c>
      <c r="Y577" s="13" t="s">
        <v>143</v>
      </c>
      <c r="Z577" s="13">
        <v>7589154</v>
      </c>
      <c r="AA577" s="13">
        <v>1042</v>
      </c>
      <c r="AB577" s="13">
        <v>521</v>
      </c>
      <c r="AE577" s="51">
        <f>M577/O577</f>
        <v>2</v>
      </c>
      <c r="AG577" s="6" t="str">
        <f>C577</f>
        <v>90MB1BJ0-C1BAY0</v>
      </c>
      <c r="AH577" s="6" t="str">
        <f>IF($D577&lt;=AH$4,"",IF(AND($D576=AH$4,$D577&gt;AH$4),$F576,AH576))</f>
        <v>59MB1BJB-MB0A02S</v>
      </c>
      <c r="AI577" s="6" t="str">
        <f>IF($D577&lt;=AI$4,"",IF(AND($D576=AI$4,$D577&gt;AI$4),$F576,AI576))</f>
        <v/>
      </c>
      <c r="AJ577" s="6" t="str">
        <f>IF($D577&lt;=AJ$4,"",IF(AND($D576=AJ$4,$D577&gt;AJ$4),$F576,AJ576))</f>
        <v/>
      </c>
      <c r="AK577" s="6" t="str">
        <f>IF($D577&lt;=AK$4,"",IF(AND($D576=AK$4,$D577&gt;AK$4),$F576,AK576))</f>
        <v/>
      </c>
      <c r="AL577" s="6" t="str">
        <f>IF($D577&lt;=AL$4,"",IF(AND($D576=AL$4,$D577&gt;AL$4),$F576,AL576))</f>
        <v/>
      </c>
      <c r="AM577" s="6" t="str">
        <f>IF($D577&lt;=AM$4,"",IF(AND($D576=AM$4,$D577&gt;AM$4),$F576,AM576))</f>
        <v/>
      </c>
      <c r="AN577" s="6" t="str">
        <f>IF($D577&lt;=AN$4,"",IF(AND($D576=AN$4,$D577&gt;AN$4),$F576,AN576))</f>
        <v/>
      </c>
      <c r="AO577" s="6" t="str">
        <f>CONCATENATE(AG577," | ",AH577," | ",AI577," | ",AJ577," | ",AK577," | ",AL577," | ",AM577," | ",AN577)</f>
        <v xml:space="preserve">90MB1BJ0-C1BAY0 | 59MB1BJB-MB0A02S |  |  |  |  |  | </v>
      </c>
      <c r="AP577" s="6">
        <f>IF(TRIM(H577)="",100,J577)</f>
        <v>100</v>
      </c>
      <c r="AQ577" s="4"/>
      <c r="AR577" s="6" t="b">
        <f>NOT(TRIM(W577)&lt;&gt;"F")</f>
        <v>1</v>
      </c>
      <c r="AS577" s="6" t="str">
        <f>$B577&amp;" | "&amp;$AO577&amp;" | "&amp;IF(TRIM(H577)="","uniq"&amp;ROW(),TRIM(H577))</f>
        <v>461E | 90MB1BJ0-C1BAY0 | 59MB1BJB-MB0A02S |  |  |  |  |  |  | K2</v>
      </c>
      <c r="AT577" s="63">
        <f>IF(NOT(AR577),IF(TRIM($H577)="","Assembly","Phantom Alt"),VLOOKUP(F577,ZPCS04!B:G,6,0))</f>
        <v>736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1.9999999499999999</v>
      </c>
      <c r="AX577" s="7"/>
      <c r="AY577" s="6" t="b">
        <f>SUMIF(AS:AS,AS577,AP:AP)=100</f>
        <v>1</v>
      </c>
      <c r="AZ577" s="6" t="b">
        <f>SUMIF(AS:AS,AS577,AE:AE)/COUNTIF(AS:AS,AS577)=AE577</f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>C577&amp;" | "&amp;F577</f>
        <v>90MB1BJ0-C1BAY0 | 10G253822004050</v>
      </c>
      <c r="BE577" s="55" t="str">
        <f ca="1">C577&amp;" | "&amp;OFFSET($AF577,0,8-COUNTBLANK($AG577:$AN577))</f>
        <v>90MB1BJ0-C1BAY0 | 59MB1BJB-MB0A02S</v>
      </c>
      <c r="BF577" s="57">
        <f ca="1">IFERROR(VLOOKUP($BE577,$BD$5:$BF576,3,0)*$AE577,VLOOKUP($C577,Demanda!$A:$B,2,0)*$AE577)*IF(AT577="Phantom Alt",$BC577,TRUE)</f>
        <v>2000</v>
      </c>
      <c r="BG577" s="57">
        <f ca="1">BF577*(AP577/100)</f>
        <v>2000</v>
      </c>
      <c r="BH577" s="57">
        <f>SUMIF(Invoice!A:A,F577,Invoice!B:B)</f>
        <v>5000</v>
      </c>
      <c r="BI577" s="57">
        <f ca="1">SUMIF(AS:AS,AS577,BG:BG)</f>
        <v>2000</v>
      </c>
      <c r="BJ577" s="57">
        <f ca="1">MIN((BI577-SUMIF($AS$5:AS576,AS577,$BJ$5:BJ576)),MAX(0,BH577-SUMIF($F$5:F576,F577,$BJ$5:BJ576)))</f>
        <v>2000</v>
      </c>
      <c r="BK577" s="57">
        <f ca="1">(-SUMIF(AS:AS,AS577,BG:BG)+SUMIF(AS:AS,AS577,BJ:BJ))*(AP577=100)*AR577</f>
        <v>0</v>
      </c>
      <c r="BL577" s="57">
        <f ca="1">MAX(0,SUMIF(Invoice!A:A,F577,Invoice!B:B)-SUMIF(F:F,F577,BJ:BJ))*(COUNTIF(F:F,F577)=COUNTIF($F$5:F577,F577))</f>
        <v>3000</v>
      </c>
    </row>
    <row r="578" spans="1:64" hidden="1">
      <c r="A578" s="43">
        <v>577</v>
      </c>
      <c r="B578" s="13" t="s">
        <v>147</v>
      </c>
      <c r="C578" s="13" t="s">
        <v>146</v>
      </c>
      <c r="D578" s="13">
        <v>2</v>
      </c>
      <c r="E578" s="13">
        <v>2020</v>
      </c>
      <c r="F578" s="71" t="s">
        <v>1397</v>
      </c>
      <c r="G578" s="71" t="s">
        <v>1398</v>
      </c>
      <c r="H578" s="13" t="s">
        <v>1399</v>
      </c>
      <c r="I578" s="13" t="s">
        <v>55</v>
      </c>
      <c r="J578" s="28">
        <v>0</v>
      </c>
      <c r="K578" s="13" t="s">
        <v>150</v>
      </c>
      <c r="L578" s="13" t="s">
        <v>53</v>
      </c>
      <c r="M578" s="13">
        <v>2</v>
      </c>
      <c r="O578" s="13">
        <v>1</v>
      </c>
      <c r="P578" s="13">
        <v>2</v>
      </c>
      <c r="Q578" s="13">
        <v>3</v>
      </c>
      <c r="R578" s="13" t="s">
        <v>73</v>
      </c>
      <c r="S578" s="13" t="s">
        <v>73</v>
      </c>
      <c r="T578" s="13">
        <v>44901</v>
      </c>
      <c r="U578" s="13">
        <v>2958465</v>
      </c>
      <c r="V578" s="13" t="s">
        <v>282</v>
      </c>
      <c r="W578" s="13" t="s">
        <v>145</v>
      </c>
      <c r="Y578" s="13" t="s">
        <v>143</v>
      </c>
      <c r="Z578" s="13">
        <v>7589154</v>
      </c>
      <c r="AA578" s="13">
        <v>1046</v>
      </c>
      <c r="AB578" s="13">
        <v>523</v>
      </c>
      <c r="AE578" s="51">
        <f>M578/O578</f>
        <v>2</v>
      </c>
      <c r="AG578" s="6" t="str">
        <f>C578</f>
        <v>90MB1BJ0-C1BAY0</v>
      </c>
      <c r="AH578" s="6" t="str">
        <f>IF($D578&lt;=AH$4,"",IF(AND($D577=AH$4,$D578&gt;AH$4),$F577,AH577))</f>
        <v>59MB1BJB-MB0A02S</v>
      </c>
      <c r="AI578" s="6" t="str">
        <f>IF($D578&lt;=AI$4,"",IF(AND($D577=AI$4,$D578&gt;AI$4),$F577,AI577))</f>
        <v/>
      </c>
      <c r="AJ578" s="6" t="str">
        <f>IF($D578&lt;=AJ$4,"",IF(AND($D577=AJ$4,$D578&gt;AJ$4),$F577,AJ577))</f>
        <v/>
      </c>
      <c r="AK578" s="6" t="str">
        <f>IF($D578&lt;=AK$4,"",IF(AND($D577=AK$4,$D578&gt;AK$4),$F577,AK577))</f>
        <v/>
      </c>
      <c r="AL578" s="6" t="str">
        <f>IF($D578&lt;=AL$4,"",IF(AND($D577=AL$4,$D578&gt;AL$4),$F577,AL577))</f>
        <v/>
      </c>
      <c r="AM578" s="6" t="str">
        <f>IF($D578&lt;=AM$4,"",IF(AND($D577=AM$4,$D578&gt;AM$4),$F577,AM577))</f>
        <v/>
      </c>
      <c r="AN578" s="6" t="str">
        <f>IF($D578&lt;=AN$4,"",IF(AND($D577=AN$4,$D578&gt;AN$4),$F577,AN577))</f>
        <v/>
      </c>
      <c r="AO578" s="6" t="str">
        <f>CONCATENATE(AG578," | ",AH578," | ",AI578," | ",AJ578," | ",AK578," | ",AL578," | ",AM578," | ",AN578)</f>
        <v xml:space="preserve">90MB1BJ0-C1BAY0 | 59MB1BJB-MB0A02S |  |  |  |  |  | </v>
      </c>
      <c r="AP578" s="6">
        <f>IF(TRIM(H578)="",100,J578)</f>
        <v>0</v>
      </c>
      <c r="AQ578" s="4"/>
      <c r="AR578" s="6" t="b">
        <f>NOT(TRIM(W578)&lt;&gt;"F")</f>
        <v>1</v>
      </c>
      <c r="AS578" s="6" t="str">
        <f>$B578&amp;" | "&amp;$AO578&amp;" | "&amp;IF(TRIM(H578)="","uniq"&amp;ROW(),TRIM(H578))</f>
        <v>461E | 90MB1BJ0-C1BAY0 | 59MB1BJB-MB0A02S |  |  |  |  |  |  | K2</v>
      </c>
      <c r="AT578" s="63">
        <f>IF(NOT(AR578),IF(TRIM($H578)="","Assembly","Phantom Alt"),VLOOKUP(F578,ZPCS04!B:G,6,0))</f>
        <v>736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>SUMIF(AS:AS,AS578,AP:AP)=100</f>
        <v>1</v>
      </c>
      <c r="AZ578" s="6" t="b">
        <f>SUMIF(AS:AS,AS578,AE:AE)/COUNTIF(AS:AS,AS578)=AE578</f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>C578&amp;" | "&amp;F578</f>
        <v>90MB1BJ0-C1BAY0 | 10302-00492000</v>
      </c>
      <c r="BE578" s="55" t="str">
        <f ca="1">C578&amp;" | "&amp;OFFSET($AF578,0,8-COUNTBLANK($AG578:$AN578))</f>
        <v>90MB1BJ0-C1BAY0 | 59MB1BJB-MB0A02S</v>
      </c>
      <c r="BF578" s="57">
        <f ca="1">IFERROR(VLOOKUP($BE578,$BD$5:$BF577,3,0)*$AE578,VLOOKUP($C578,Demanda!$A:$B,2,0)*$AE578)*IF(AT578="Phantom Alt",$BC578,TRUE)</f>
        <v>2000</v>
      </c>
      <c r="BG578" s="57">
        <f ca="1">BF578*(AP578/100)</f>
        <v>0</v>
      </c>
      <c r="BH578" s="57">
        <f>SUMIF(Invoice!A:A,F578,Invoice!B:B)</f>
        <v>0</v>
      </c>
      <c r="BI578" s="57">
        <f ca="1">SUMIF(AS:AS,AS578,BG:BG)</f>
        <v>2000</v>
      </c>
      <c r="BJ578" s="57">
        <f ca="1">MIN((BI578-SUMIF($AS$5:AS577,AS578,$BJ$5:BJ577)),MAX(0,BH578-SUMIF($F$5:F577,F578,$BJ$5:BJ577)))</f>
        <v>0</v>
      </c>
      <c r="BK578" s="57">
        <f ca="1">(-SUMIF(AS:AS,AS578,BG:BG)+SUMIF(AS:AS,AS578,BJ:BJ))*(AP578=100)*AR578</f>
        <v>0</v>
      </c>
      <c r="BL578" s="57">
        <f ca="1">MAX(0,SUMIF(Invoice!A:A,F578,Invoice!B:B)-SUMIF(F:F,F578,BJ:BJ))*(COUNTIF(F:F,F578)=COUNTIF($F$5:F578,F578))</f>
        <v>0</v>
      </c>
    </row>
    <row r="579" spans="1:64" hidden="1">
      <c r="A579" s="43">
        <v>578</v>
      </c>
      <c r="B579" s="13" t="s">
        <v>147</v>
      </c>
      <c r="C579" s="13" t="s">
        <v>146</v>
      </c>
      <c r="D579" s="13">
        <v>2</v>
      </c>
      <c r="E579" s="13">
        <v>2020</v>
      </c>
      <c r="F579" s="71" t="s">
        <v>1400</v>
      </c>
      <c r="G579" s="71" t="s">
        <v>1401</v>
      </c>
      <c r="H579" s="13" t="s">
        <v>1399</v>
      </c>
      <c r="I579" s="13" t="s">
        <v>55</v>
      </c>
      <c r="J579" s="28">
        <v>0</v>
      </c>
      <c r="K579" s="13" t="s">
        <v>489</v>
      </c>
      <c r="L579" s="13" t="s">
        <v>53</v>
      </c>
      <c r="M579" s="13">
        <v>2</v>
      </c>
      <c r="O579" s="13">
        <v>1</v>
      </c>
      <c r="P579" s="13">
        <v>2</v>
      </c>
      <c r="Q579" s="13">
        <v>2</v>
      </c>
      <c r="R579" s="13" t="s">
        <v>122</v>
      </c>
      <c r="S579" s="13" t="s">
        <v>122</v>
      </c>
      <c r="T579" s="13">
        <v>44901</v>
      </c>
      <c r="U579" s="13">
        <v>2958465</v>
      </c>
      <c r="V579" s="13" t="s">
        <v>282</v>
      </c>
      <c r="W579" s="13" t="s">
        <v>145</v>
      </c>
      <c r="Y579" s="13" t="s">
        <v>143</v>
      </c>
      <c r="Z579" s="13">
        <v>7589154</v>
      </c>
      <c r="AA579" s="13">
        <v>1044</v>
      </c>
      <c r="AB579" s="13">
        <v>522</v>
      </c>
      <c r="AE579" s="51">
        <f>M579/O579</f>
        <v>2</v>
      </c>
      <c r="AG579" s="6" t="str">
        <f>C579</f>
        <v>90MB1BJ0-C1BAY0</v>
      </c>
      <c r="AH579" s="6" t="str">
        <f>IF($D579&lt;=AH$4,"",IF(AND($D578=AH$4,$D579&gt;AH$4),$F578,AH578))</f>
        <v>59MB1BJB-MB0A02S</v>
      </c>
      <c r="AI579" s="6" t="str">
        <f>IF($D579&lt;=AI$4,"",IF(AND($D578=AI$4,$D579&gt;AI$4),$F578,AI578))</f>
        <v/>
      </c>
      <c r="AJ579" s="6" t="str">
        <f>IF($D579&lt;=AJ$4,"",IF(AND($D578=AJ$4,$D579&gt;AJ$4),$F578,AJ578))</f>
        <v/>
      </c>
      <c r="AK579" s="6" t="str">
        <f>IF($D579&lt;=AK$4,"",IF(AND($D578=AK$4,$D579&gt;AK$4),$F578,AK578))</f>
        <v/>
      </c>
      <c r="AL579" s="6" t="str">
        <f>IF($D579&lt;=AL$4,"",IF(AND($D578=AL$4,$D579&gt;AL$4),$F578,AL578))</f>
        <v/>
      </c>
      <c r="AM579" s="6" t="str">
        <f>IF($D579&lt;=AM$4,"",IF(AND($D578=AM$4,$D579&gt;AM$4),$F578,AM578))</f>
        <v/>
      </c>
      <c r="AN579" s="6" t="str">
        <f>IF($D579&lt;=AN$4,"",IF(AND($D578=AN$4,$D579&gt;AN$4),$F578,AN578))</f>
        <v/>
      </c>
      <c r="AO579" s="6" t="str">
        <f>CONCATENATE(AG579," | ",AH579," | ",AI579," | ",AJ579," | ",AK579," | ",AL579," | ",AM579," | ",AN579)</f>
        <v xml:space="preserve">90MB1BJ0-C1BAY0 | 59MB1BJB-MB0A02S |  |  |  |  |  | </v>
      </c>
      <c r="AP579" s="6">
        <f>IF(TRIM(H579)="",100,J579)</f>
        <v>0</v>
      </c>
      <c r="AQ579" s="4"/>
      <c r="AR579" s="6" t="b">
        <f>NOT(TRIM(W579)&lt;&gt;"F")</f>
        <v>1</v>
      </c>
      <c r="AS579" s="6" t="str">
        <f>$B579&amp;" | "&amp;$AO579&amp;" | "&amp;IF(TRIM(H579)="","uniq"&amp;ROW(),TRIM(H579))</f>
        <v>461E | 90MB1BJ0-C1BAY0 | 59MB1BJB-MB0A02S |  |  |  |  |  |  | K2</v>
      </c>
      <c r="AT579" s="63">
        <f>IF(NOT(AR579),IF(TRIM($H579)="","Assembly","Phantom Alt"),VLOOKUP(F579,ZPCS04!B:G,6,0))</f>
        <v>736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>SUMIF(AS:AS,AS579,AP:AP)=100</f>
        <v>1</v>
      </c>
      <c r="AZ579" s="6" t="b">
        <f>SUMIF(AS:AS,AS579,AE:AE)/COUNTIF(AS:AS,AS579)=AE579</f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>C579&amp;" | "&amp;F579</f>
        <v>90MB1BJ0-C1BAY0 | 10G253822004010</v>
      </c>
      <c r="BE579" s="55" t="str">
        <f ca="1">C579&amp;" | "&amp;OFFSET($AF579,0,8-COUNTBLANK($AG579:$AN579))</f>
        <v>90MB1BJ0-C1BAY0 | 59MB1BJB-MB0A02S</v>
      </c>
      <c r="BF579" s="57">
        <f ca="1">IFERROR(VLOOKUP($BE579,$BD$5:$BF578,3,0)*$AE579,VLOOKUP($C579,Demanda!$A:$B,2,0)*$AE579)*IF(AT579="Phantom Alt",$BC579,TRUE)</f>
        <v>2000</v>
      </c>
      <c r="BG579" s="57">
        <f ca="1">BF579*(AP579/100)</f>
        <v>0</v>
      </c>
      <c r="BH579" s="57">
        <f>SUMIF(Invoice!A:A,F579,Invoice!B:B)</f>
        <v>0</v>
      </c>
      <c r="BI579" s="57">
        <f ca="1">SUMIF(AS:AS,AS579,BG:BG)</f>
        <v>2000</v>
      </c>
      <c r="BJ579" s="57">
        <f ca="1">MIN((BI579-SUMIF($AS$5:AS578,AS579,$BJ$5:BJ578)),MAX(0,BH579-SUMIF($F$5:F578,F579,$BJ$5:BJ578)))</f>
        <v>0</v>
      </c>
      <c r="BK579" s="57">
        <f ca="1">(-SUMIF(AS:AS,AS579,BG:BG)+SUMIF(AS:AS,AS579,BJ:BJ))*(AP579=100)*AR579</f>
        <v>0</v>
      </c>
      <c r="BL579" s="57">
        <f ca="1">MAX(0,SUMIF(Invoice!A:A,F579,Invoice!B:B)-SUMIF(F:F,F579,BJ:BJ))*(COUNTIF(F:F,F579)=COUNTIF($F$5:F579,F579))</f>
        <v>0</v>
      </c>
    </row>
    <row r="580" spans="1:64" hidden="1">
      <c r="A580" s="43">
        <v>583</v>
      </c>
      <c r="B580" s="13" t="s">
        <v>147</v>
      </c>
      <c r="C580" s="13" t="s">
        <v>146</v>
      </c>
      <c r="D580" s="13">
        <v>2</v>
      </c>
      <c r="E580" s="13">
        <v>2030</v>
      </c>
      <c r="F580" s="71" t="s">
        <v>1410</v>
      </c>
      <c r="G580" s="71" t="s">
        <v>1411</v>
      </c>
      <c r="H580" s="13" t="s">
        <v>1405</v>
      </c>
      <c r="I580" s="13" t="s">
        <v>54</v>
      </c>
      <c r="J580" s="28">
        <v>100</v>
      </c>
      <c r="K580" s="13" t="s">
        <v>150</v>
      </c>
      <c r="L580" s="13" t="s">
        <v>53</v>
      </c>
      <c r="M580" s="13">
        <v>54</v>
      </c>
      <c r="N580" s="13">
        <v>54</v>
      </c>
      <c r="O580" s="13">
        <v>1</v>
      </c>
      <c r="P580" s="13">
        <v>2</v>
      </c>
      <c r="Q580" s="13">
        <v>1</v>
      </c>
      <c r="R580" s="13" t="s">
        <v>73</v>
      </c>
      <c r="S580" s="13" t="s">
        <v>73</v>
      </c>
      <c r="T580" s="13">
        <v>44901</v>
      </c>
      <c r="U580" s="13">
        <v>2958465</v>
      </c>
      <c r="V580" s="13" t="s">
        <v>282</v>
      </c>
      <c r="W580" s="13" t="s">
        <v>145</v>
      </c>
      <c r="Y580" s="13" t="s">
        <v>143</v>
      </c>
      <c r="Z580" s="13">
        <v>7589154</v>
      </c>
      <c r="AA580" s="13">
        <v>1048</v>
      </c>
      <c r="AB580" s="13">
        <v>524</v>
      </c>
      <c r="AE580" s="51">
        <f>M580/O580</f>
        <v>54</v>
      </c>
      <c r="AG580" s="6" t="str">
        <f>C580</f>
        <v>90MB1BJ0-C1BAY0</v>
      </c>
      <c r="AH580" s="6" t="str">
        <f>IF($D580&lt;=AH$4,"",IF(AND($D579=AH$4,$D580&gt;AH$4),$F579,AH579))</f>
        <v>59MB1BJB-MB0A02S</v>
      </c>
      <c r="AI580" s="6" t="str">
        <f>IF($D580&lt;=AI$4,"",IF(AND($D579=AI$4,$D580&gt;AI$4),$F579,AI579))</f>
        <v/>
      </c>
      <c r="AJ580" s="6" t="str">
        <f>IF($D580&lt;=AJ$4,"",IF(AND($D579=AJ$4,$D580&gt;AJ$4),$F579,AJ579))</f>
        <v/>
      </c>
      <c r="AK580" s="6" t="str">
        <f>IF($D580&lt;=AK$4,"",IF(AND($D579=AK$4,$D580&gt;AK$4),$F579,AK579))</f>
        <v/>
      </c>
      <c r="AL580" s="6" t="str">
        <f>IF($D580&lt;=AL$4,"",IF(AND($D579=AL$4,$D580&gt;AL$4),$F579,AL579))</f>
        <v/>
      </c>
      <c r="AM580" s="6" t="str">
        <f>IF($D580&lt;=AM$4,"",IF(AND($D579=AM$4,$D580&gt;AM$4),$F579,AM579))</f>
        <v/>
      </c>
      <c r="AN580" s="6" t="str">
        <f>IF($D580&lt;=AN$4,"",IF(AND($D579=AN$4,$D580&gt;AN$4),$F579,AN579))</f>
        <v/>
      </c>
      <c r="AO580" s="6" t="str">
        <f>CONCATENATE(AG580," | ",AH580," | ",AI580," | ",AJ580," | ",AK580," | ",AL580," | ",AM580," | ",AN580)</f>
        <v xml:space="preserve">90MB1BJ0-C1BAY0 | 59MB1BJB-MB0A02S |  |  |  |  |  | </v>
      </c>
      <c r="AP580" s="6">
        <f>IF(TRIM(H580)="",100,J580)</f>
        <v>100</v>
      </c>
      <c r="AQ580" s="4"/>
      <c r="AR580" s="6" t="b">
        <f>NOT(TRIM(W580)&lt;&gt;"F")</f>
        <v>1</v>
      </c>
      <c r="AS580" s="6" t="str">
        <f>$B580&amp;" | "&amp;$AO580&amp;" | "&amp;IF(TRIM(H580)="","uniq"&amp;ROW(),TRIM(H580))</f>
        <v>461E | 90MB1BJ0-C1BAY0 | 59MB1BJB-MB0A02S |  |  |  |  |  |  | K3</v>
      </c>
      <c r="AT580" s="63">
        <f>IF(NOT(AR580),IF(TRIM($H580)="","Assembly","Phantom Alt"),VLOOKUP(F580,ZPCS04!B:G,6,0))</f>
        <v>877</v>
      </c>
      <c r="AU580" s="7"/>
      <c r="AV580" s="38">
        <f ca="1">IF(TRIM($W580)="F",OFFSET($A$5,MATCH($AS580,$AS$5:$AS580,0)-1,0),$A580)</f>
        <v>583</v>
      </c>
      <c r="AW580" s="38">
        <f ca="1">IFERROR(OFFSET(ZPCS04!$A$1,MATCH(F580,ZPCS04!B:B,0)-1,0),100)</f>
        <v>1.9999994000000001</v>
      </c>
      <c r="AX580" s="7"/>
      <c r="AY580" s="6" t="b">
        <f>SUMIF(AS:AS,AS580,AP:AP)=100</f>
        <v>1</v>
      </c>
      <c r="AZ580" s="6" t="b">
        <f>SUMIF(AS:AS,AS580,AE:AE)/COUNTIF(AS:AS,AS580)=AE580</f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>C580&amp;" | "&amp;F580</f>
        <v>90MB1BJ0-C1BAY0 | 11202-0027Q000</v>
      </c>
      <c r="BE580" s="55" t="str">
        <f ca="1">C580&amp;" | "&amp;OFFSET($AF580,0,8-COUNTBLANK($AG580:$AN580))</f>
        <v>90MB1BJ0-C1BAY0 | 59MB1BJB-MB0A02S</v>
      </c>
      <c r="BF580" s="57">
        <f ca="1">IFERROR(VLOOKUP($BE580,$BD$5:$BF579,3,0)*$AE580,VLOOKUP($C580,Demanda!$A:$B,2,0)*$AE580)*IF(AT580="Phantom Alt",$BC580,TRUE)</f>
        <v>54000</v>
      </c>
      <c r="BG580" s="57">
        <f ca="1">BF580*(AP580/100)</f>
        <v>54000</v>
      </c>
      <c r="BH580" s="57">
        <f>SUMIF(Invoice!A:A,F580,Invoice!B:B)</f>
        <v>60000</v>
      </c>
      <c r="BI580" s="57">
        <f ca="1">SUMIF(AS:AS,AS580,BG:BG)</f>
        <v>54000</v>
      </c>
      <c r="BJ580" s="57">
        <f ca="1">MIN((BI580-SUMIF($AS$5:AS579,AS580,$BJ$5:BJ579)),MAX(0,BH580-SUMIF($F$5:F579,F580,$BJ$5:BJ579)))</f>
        <v>54000</v>
      </c>
      <c r="BK580" s="57">
        <f ca="1">(-SUMIF(AS:AS,AS580,BG:BG)+SUMIF(AS:AS,AS580,BJ:BJ))*(AP580=100)*AR580</f>
        <v>0</v>
      </c>
      <c r="BL580" s="57">
        <f ca="1">MAX(0,SUMIF(Invoice!A:A,F580,Invoice!B:B)-SUMIF(F:F,F580,BJ:BJ))*(COUNTIF(F:F,F580)=COUNTIF($F$5:F580,F580))</f>
        <v>6000</v>
      </c>
    </row>
    <row r="581" spans="1:64" hidden="1">
      <c r="A581" s="43">
        <v>580</v>
      </c>
      <c r="B581" s="13" t="s">
        <v>147</v>
      </c>
      <c r="C581" s="13" t="s">
        <v>146</v>
      </c>
      <c r="D581" s="13">
        <v>2</v>
      </c>
      <c r="E581" s="13">
        <v>2030</v>
      </c>
      <c r="F581" s="71" t="s">
        <v>1403</v>
      </c>
      <c r="G581" s="71" t="s">
        <v>1404</v>
      </c>
      <c r="H581" s="13" t="s">
        <v>1405</v>
      </c>
      <c r="I581" s="13" t="s">
        <v>55</v>
      </c>
      <c r="J581" s="28">
        <v>0</v>
      </c>
      <c r="K581" s="13" t="s">
        <v>150</v>
      </c>
      <c r="L581" s="13" t="s">
        <v>53</v>
      </c>
      <c r="M581" s="13">
        <v>54</v>
      </c>
      <c r="O581" s="13">
        <v>1</v>
      </c>
      <c r="P581" s="13">
        <v>2</v>
      </c>
      <c r="Q581" s="13">
        <v>3</v>
      </c>
      <c r="R581" s="13" t="s">
        <v>73</v>
      </c>
      <c r="S581" s="13" t="s">
        <v>73</v>
      </c>
      <c r="T581" s="13">
        <v>44901</v>
      </c>
      <c r="U581" s="13">
        <v>2958465</v>
      </c>
      <c r="V581" s="13" t="s">
        <v>282</v>
      </c>
      <c r="W581" s="13" t="s">
        <v>145</v>
      </c>
      <c r="Y581" s="13" t="s">
        <v>143</v>
      </c>
      <c r="Z581" s="13">
        <v>7589154</v>
      </c>
      <c r="AA581" s="13">
        <v>1052</v>
      </c>
      <c r="AB581" s="13">
        <v>526</v>
      </c>
      <c r="AE581" s="51">
        <f>M581/O581</f>
        <v>54</v>
      </c>
      <c r="AG581" s="6" t="str">
        <f>C581</f>
        <v>90MB1BJ0-C1BAY0</v>
      </c>
      <c r="AH581" s="6" t="str">
        <f>IF($D581&lt;=AH$4,"",IF(AND($D580=AH$4,$D581&gt;AH$4),$F580,AH580))</f>
        <v>59MB1BJB-MB0A02S</v>
      </c>
      <c r="AI581" s="6" t="str">
        <f>IF($D581&lt;=AI$4,"",IF(AND($D580=AI$4,$D581&gt;AI$4),$F580,AI580))</f>
        <v/>
      </c>
      <c r="AJ581" s="6" t="str">
        <f>IF($D581&lt;=AJ$4,"",IF(AND($D580=AJ$4,$D581&gt;AJ$4),$F580,AJ580))</f>
        <v/>
      </c>
      <c r="AK581" s="6" t="str">
        <f>IF($D581&lt;=AK$4,"",IF(AND($D580=AK$4,$D581&gt;AK$4),$F580,AK580))</f>
        <v/>
      </c>
      <c r="AL581" s="6" t="str">
        <f>IF($D581&lt;=AL$4,"",IF(AND($D580=AL$4,$D581&gt;AL$4),$F580,AL580))</f>
        <v/>
      </c>
      <c r="AM581" s="6" t="str">
        <f>IF($D581&lt;=AM$4,"",IF(AND($D580=AM$4,$D581&gt;AM$4),$F580,AM580))</f>
        <v/>
      </c>
      <c r="AN581" s="6" t="str">
        <f>IF($D581&lt;=AN$4,"",IF(AND($D580=AN$4,$D581&gt;AN$4),$F580,AN580))</f>
        <v/>
      </c>
      <c r="AO581" s="6" t="str">
        <f>CONCATENATE(AG581," | ",AH581," | ",AI581," | ",AJ581," | ",AK581," | ",AL581," | ",AM581," | ",AN581)</f>
        <v xml:space="preserve">90MB1BJ0-C1BAY0 | 59MB1BJB-MB0A02S |  |  |  |  |  | </v>
      </c>
      <c r="AP581" s="6">
        <f>IF(TRIM(H581)="",100,J581)</f>
        <v>0</v>
      </c>
      <c r="AQ581" s="4"/>
      <c r="AR581" s="6" t="b">
        <f>NOT(TRIM(W581)&lt;&gt;"F")</f>
        <v>1</v>
      </c>
      <c r="AS581" s="6" t="str">
        <f>$B581&amp;" | "&amp;$AO581&amp;" | "&amp;IF(TRIM(H581)="","uniq"&amp;ROW(),TRIM(H581))</f>
        <v>461E | 90MB1BJ0-C1BAY0 | 59MB1BJB-MB0A02S |  |  |  |  |  |  | K3</v>
      </c>
      <c r="AT581" s="63">
        <f>IF(NOT(AR581),IF(TRIM($H581)="","Assembly","Phantom Alt"),VLOOKUP(F581,ZPCS04!B:G,6,0))</f>
        <v>877</v>
      </c>
      <c r="AU581" s="7"/>
      <c r="AV581" s="38">
        <f ca="1">IF(TRIM($W581)="F",OFFSET($A$5,MATCH($AS581,$AS$5:$AS581,0)-1,0),$A581)</f>
        <v>583</v>
      </c>
      <c r="AW581" s="38">
        <f ca="1">IFERROR(OFFSET(ZPCS04!$A$1,MATCH(F581,ZPCS04!B:B,0)-1,0),100)</f>
        <v>2</v>
      </c>
      <c r="AX581" s="7"/>
      <c r="AY581" s="6" t="b">
        <f>SUMIF(AS:AS,AS581,AP:AP)=100</f>
        <v>1</v>
      </c>
      <c r="AZ581" s="6" t="b">
        <f>SUMIF(AS:AS,AS581,AE:AE)/COUNTIF(AS:AS,AS581)=AE581</f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>C581&amp;" | "&amp;F581</f>
        <v>90MB1BJ0-C1BAY0 | 11202-0027D000</v>
      </c>
      <c r="BE581" s="55" t="str">
        <f ca="1">C581&amp;" | "&amp;OFFSET($AF581,0,8-COUNTBLANK($AG581:$AN581))</f>
        <v>90MB1BJ0-C1BAY0 | 59MB1BJB-MB0A02S</v>
      </c>
      <c r="BF581" s="57">
        <f ca="1">IFERROR(VLOOKUP($BE581,$BD$5:$BF580,3,0)*$AE581,VLOOKUP($C581,Demanda!$A:$B,2,0)*$AE581)*IF(AT581="Phantom Alt",$BC581,TRUE)</f>
        <v>54000</v>
      </c>
      <c r="BG581" s="57">
        <f ca="1">BF581*(AP581/100)</f>
        <v>0</v>
      </c>
      <c r="BH581" s="57">
        <f>SUMIF(Invoice!A:A,F581,Invoice!B:B)</f>
        <v>0</v>
      </c>
      <c r="BI581" s="57">
        <f ca="1">SUMIF(AS:AS,AS581,BG:BG)</f>
        <v>54000</v>
      </c>
      <c r="BJ581" s="57">
        <f ca="1">MIN((BI581-SUMIF($AS$5:AS580,AS581,$BJ$5:BJ580)),MAX(0,BH581-SUMIF($F$5:F580,F581,$BJ$5:BJ580)))</f>
        <v>0</v>
      </c>
      <c r="BK581" s="57">
        <f ca="1">(-SUMIF(AS:AS,AS581,BG:BG)+SUMIF(AS:AS,AS581,BJ:BJ))*(AP581=100)*AR581</f>
        <v>0</v>
      </c>
      <c r="BL581" s="57">
        <f ca="1">MAX(0,SUMIF(Invoice!A:A,F581,Invoice!B:B)-SUMIF(F:F,F581,BJ:BJ))*(COUNTIF(F:F,F581)=COUNTIF($F$5:F581,F581))</f>
        <v>0</v>
      </c>
    </row>
    <row r="582" spans="1:64" hidden="1">
      <c r="A582" s="43">
        <v>581</v>
      </c>
      <c r="B582" s="13" t="s">
        <v>147</v>
      </c>
      <c r="C582" s="13" t="s">
        <v>146</v>
      </c>
      <c r="D582" s="13">
        <v>2</v>
      </c>
      <c r="E582" s="13">
        <v>2030</v>
      </c>
      <c r="F582" s="71" t="s">
        <v>1406</v>
      </c>
      <c r="G582" s="71" t="s">
        <v>1407</v>
      </c>
      <c r="H582" s="13" t="s">
        <v>1405</v>
      </c>
      <c r="I582" s="13" t="s">
        <v>55</v>
      </c>
      <c r="J582" s="28">
        <v>0</v>
      </c>
      <c r="K582" s="13" t="s">
        <v>150</v>
      </c>
      <c r="L582" s="13" t="s">
        <v>53</v>
      </c>
      <c r="M582" s="13">
        <v>54</v>
      </c>
      <c r="O582" s="13">
        <v>1</v>
      </c>
      <c r="P582" s="13">
        <v>2</v>
      </c>
      <c r="Q582" s="13">
        <v>2</v>
      </c>
      <c r="R582" s="13" t="s">
        <v>73</v>
      </c>
      <c r="S582" s="13" t="s">
        <v>73</v>
      </c>
      <c r="T582" s="13">
        <v>44901</v>
      </c>
      <c r="U582" s="13">
        <v>2958465</v>
      </c>
      <c r="V582" s="13" t="s">
        <v>282</v>
      </c>
      <c r="W582" s="13" t="s">
        <v>145</v>
      </c>
      <c r="Y582" s="13" t="s">
        <v>143</v>
      </c>
      <c r="Z582" s="13">
        <v>7589154</v>
      </c>
      <c r="AA582" s="13">
        <v>1050</v>
      </c>
      <c r="AB582" s="13">
        <v>525</v>
      </c>
      <c r="AE582" s="51">
        <f>M582/O582</f>
        <v>54</v>
      </c>
      <c r="AG582" s="6" t="str">
        <f>C582</f>
        <v>90MB1BJ0-C1BAY0</v>
      </c>
      <c r="AH582" s="6" t="str">
        <f>IF($D582&lt;=AH$4,"",IF(AND($D581=AH$4,$D582&gt;AH$4),$F581,AH581))</f>
        <v>59MB1BJB-MB0A02S</v>
      </c>
      <c r="AI582" s="6" t="str">
        <f>IF($D582&lt;=AI$4,"",IF(AND($D581=AI$4,$D582&gt;AI$4),$F581,AI581))</f>
        <v/>
      </c>
      <c r="AJ582" s="6" t="str">
        <f>IF($D582&lt;=AJ$4,"",IF(AND($D581=AJ$4,$D582&gt;AJ$4),$F581,AJ581))</f>
        <v/>
      </c>
      <c r="AK582" s="6" t="str">
        <f>IF($D582&lt;=AK$4,"",IF(AND($D581=AK$4,$D582&gt;AK$4),$F581,AK581))</f>
        <v/>
      </c>
      <c r="AL582" s="6" t="str">
        <f>IF($D582&lt;=AL$4,"",IF(AND($D581=AL$4,$D582&gt;AL$4),$F581,AL581))</f>
        <v/>
      </c>
      <c r="AM582" s="6" t="str">
        <f>IF($D582&lt;=AM$4,"",IF(AND($D581=AM$4,$D582&gt;AM$4),$F581,AM581))</f>
        <v/>
      </c>
      <c r="AN582" s="6" t="str">
        <f>IF($D582&lt;=AN$4,"",IF(AND($D581=AN$4,$D582&gt;AN$4),$F581,AN581))</f>
        <v/>
      </c>
      <c r="AO582" s="6" t="str">
        <f>CONCATENATE(AG582," | ",AH582," | ",AI582," | ",AJ582," | ",AK582," | ",AL582," | ",AM582," | ",AN582)</f>
        <v xml:space="preserve">90MB1BJ0-C1BAY0 | 59MB1BJB-MB0A02S |  |  |  |  |  | </v>
      </c>
      <c r="AP582" s="6">
        <f>IF(TRIM(H582)="",100,J582)</f>
        <v>0</v>
      </c>
      <c r="AQ582" s="4"/>
      <c r="AR582" s="6" t="b">
        <f>NOT(TRIM(W582)&lt;&gt;"F")</f>
        <v>1</v>
      </c>
      <c r="AS582" s="6" t="str">
        <f>$B582&amp;" | "&amp;$AO582&amp;" | "&amp;IF(TRIM(H582)="","uniq"&amp;ROW(),TRIM(H582))</f>
        <v>461E | 90MB1BJ0-C1BAY0 | 59MB1BJB-MB0A02S |  |  |  |  |  |  | K3</v>
      </c>
      <c r="AT582" s="63">
        <f>IF(NOT(AR582),IF(TRIM($H582)="","Assembly","Phantom Alt"),VLOOKUP(F582,ZPCS04!B:G,6,0))</f>
        <v>877</v>
      </c>
      <c r="AU582" s="7"/>
      <c r="AV582" s="38">
        <f ca="1">IF(TRIM($W582)="F",OFFSET($A$5,MATCH($AS582,$AS$5:$AS582,0)-1,0),$A582)</f>
        <v>583</v>
      </c>
      <c r="AW582" s="38">
        <f ca="1">IFERROR(OFFSET(ZPCS04!$A$1,MATCH(F582,ZPCS04!B:B,0)-1,0),100)</f>
        <v>2</v>
      </c>
      <c r="AX582" s="7"/>
      <c r="AY582" s="6" t="b">
        <f>SUMIF(AS:AS,AS582,AP:AP)=100</f>
        <v>1</v>
      </c>
      <c r="AZ582" s="6" t="b">
        <f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>C582&amp;" | "&amp;F582</f>
        <v>90MB1BJ0-C1BAY0 | 11202-0027F100</v>
      </c>
      <c r="BE582" s="55" t="str">
        <f ca="1">C582&amp;" | "&amp;OFFSET($AF582,0,8-COUNTBLANK($AG582:$AN582))</f>
        <v>90MB1BJ0-C1BAY0 | 59MB1BJB-MB0A02S</v>
      </c>
      <c r="BF582" s="57">
        <f ca="1">IFERROR(VLOOKUP($BE582,$BD$5:$BF581,3,0)*$AE582,VLOOKUP($C582,Demanda!$A:$B,2,0)*$AE582)*IF(AT582="Phantom Alt",$BC582,TRUE)</f>
        <v>54000</v>
      </c>
      <c r="BG582" s="57">
        <f ca="1">BF582*(AP582/100)</f>
        <v>0</v>
      </c>
      <c r="BH582" s="57">
        <f>SUMIF(Invoice!A:A,F582,Invoice!B:B)</f>
        <v>0</v>
      </c>
      <c r="BI582" s="57">
        <f ca="1">SUMIF(AS:AS,AS582,BG:BG)</f>
        <v>54000</v>
      </c>
      <c r="BJ582" s="57">
        <f ca="1">MIN((BI582-SUMIF($AS$5:AS581,AS582,$BJ$5:BJ581)),MAX(0,BH582-SUMIF($F$5:F581,F582,$BJ$5:BJ581)))</f>
        <v>0</v>
      </c>
      <c r="BK582" s="57">
        <f ca="1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4" hidden="1">
      <c r="A583" s="43">
        <v>582</v>
      </c>
      <c r="B583" s="13" t="s">
        <v>147</v>
      </c>
      <c r="C583" s="13" t="s">
        <v>146</v>
      </c>
      <c r="D583" s="13">
        <v>2</v>
      </c>
      <c r="E583" s="13">
        <v>2030</v>
      </c>
      <c r="F583" s="71" t="s">
        <v>1408</v>
      </c>
      <c r="G583" s="71" t="s">
        <v>1409</v>
      </c>
      <c r="H583" s="13" t="s">
        <v>1405</v>
      </c>
      <c r="I583" s="13" t="s">
        <v>55</v>
      </c>
      <c r="J583" s="28">
        <v>0</v>
      </c>
      <c r="K583" s="13" t="s">
        <v>150</v>
      </c>
      <c r="L583" s="13" t="s">
        <v>53</v>
      </c>
      <c r="M583" s="13">
        <v>54</v>
      </c>
      <c r="O583" s="13">
        <v>1</v>
      </c>
      <c r="P583" s="13">
        <v>2</v>
      </c>
      <c r="Q583" s="13">
        <v>4</v>
      </c>
      <c r="R583" s="13" t="s">
        <v>73</v>
      </c>
      <c r="S583" s="13" t="s">
        <v>73</v>
      </c>
      <c r="T583" s="13">
        <v>44901</v>
      </c>
      <c r="U583" s="13">
        <v>2958465</v>
      </c>
      <c r="V583" s="13" t="s">
        <v>282</v>
      </c>
      <c r="W583" s="13" t="s">
        <v>145</v>
      </c>
      <c r="Y583" s="13" t="s">
        <v>143</v>
      </c>
      <c r="Z583" s="13">
        <v>7589154</v>
      </c>
      <c r="AA583" s="13">
        <v>1054</v>
      </c>
      <c r="AB583" s="13">
        <v>527</v>
      </c>
      <c r="AE583" s="51">
        <f>M583/O583</f>
        <v>54</v>
      </c>
      <c r="AG583" s="6" t="str">
        <f>C583</f>
        <v>90MB1BJ0-C1BAY0</v>
      </c>
      <c r="AH583" s="6" t="str">
        <f>IF($D583&lt;=AH$4,"",IF(AND($D582=AH$4,$D583&gt;AH$4),$F582,AH582))</f>
        <v>59MB1BJB-MB0A02S</v>
      </c>
      <c r="AI583" s="6" t="str">
        <f>IF($D583&lt;=AI$4,"",IF(AND($D582=AI$4,$D583&gt;AI$4),$F582,AI582))</f>
        <v/>
      </c>
      <c r="AJ583" s="6" t="str">
        <f>IF($D583&lt;=AJ$4,"",IF(AND($D582=AJ$4,$D583&gt;AJ$4),$F582,AJ582))</f>
        <v/>
      </c>
      <c r="AK583" s="6" t="str">
        <f>IF($D583&lt;=AK$4,"",IF(AND($D582=AK$4,$D583&gt;AK$4),$F582,AK582))</f>
        <v/>
      </c>
      <c r="AL583" s="6" t="str">
        <f>IF($D583&lt;=AL$4,"",IF(AND($D582=AL$4,$D583&gt;AL$4),$F582,AL582))</f>
        <v/>
      </c>
      <c r="AM583" s="6" t="str">
        <f>IF($D583&lt;=AM$4,"",IF(AND($D582=AM$4,$D583&gt;AM$4),$F582,AM582))</f>
        <v/>
      </c>
      <c r="AN583" s="6" t="str">
        <f>IF($D583&lt;=AN$4,"",IF(AND($D582=AN$4,$D583&gt;AN$4),$F582,AN582))</f>
        <v/>
      </c>
      <c r="AO583" s="6" t="str">
        <f>CONCATENATE(AG583," | ",AH583," | ",AI583," | ",AJ583," | ",AK583," | ",AL583," | ",AM583," | ",AN583)</f>
        <v xml:space="preserve">90MB1BJ0-C1BAY0 | 59MB1BJB-MB0A02S |  |  |  |  |  | </v>
      </c>
      <c r="AP583" s="6">
        <f>IF(TRIM(H583)="",100,J583)</f>
        <v>0</v>
      </c>
      <c r="AQ583" s="4"/>
      <c r="AR583" s="6" t="b">
        <f>NOT(TRIM(W583)&lt;&gt;"F")</f>
        <v>1</v>
      </c>
      <c r="AS583" s="6" t="str">
        <f>$B583&amp;" | "&amp;$AO583&amp;" | "&amp;IF(TRIM(H583)="","uniq"&amp;ROW(),TRIM(H583))</f>
        <v>461E | 90MB1BJ0-C1BAY0 | 59MB1BJB-MB0A02S |  |  |  |  |  |  | K3</v>
      </c>
      <c r="AT583" s="63">
        <f>IF(NOT(AR583),IF(TRIM($H583)="","Assembly","Phantom Alt"),VLOOKUP(F583,ZPCS04!B:G,6,0))</f>
        <v>877</v>
      </c>
      <c r="AU583" s="7"/>
      <c r="AV583" s="38">
        <f ca="1">IF(TRIM($W583)="F",OFFSET($A$5,MATCH($AS583,$AS$5:$AS583,0)-1,0),$A583)</f>
        <v>583</v>
      </c>
      <c r="AW583" s="38">
        <f ca="1">IFERROR(OFFSET(ZPCS04!$A$1,MATCH(F583,ZPCS04!B:B,0)-1,0),100)</f>
        <v>2</v>
      </c>
      <c r="AX583" s="7"/>
      <c r="AY583" s="6" t="b">
        <f>SUMIF(AS:AS,AS583,AP:AP)=100</f>
        <v>1</v>
      </c>
      <c r="AZ583" s="6" t="b">
        <f>SUMIF(AS:AS,AS583,AE:AE)/COUNTIF(AS:AS,AS583)=AE583</f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>C583&amp;" | "&amp;F583</f>
        <v>90MB1BJ0-C1BAY0 | 11202-0027K000</v>
      </c>
      <c r="BE583" s="55" t="str">
        <f ca="1">C583&amp;" | "&amp;OFFSET($AF583,0,8-COUNTBLANK($AG583:$AN583))</f>
        <v>90MB1BJ0-C1BAY0 | 59MB1BJB-MB0A02S</v>
      </c>
      <c r="BF583" s="57">
        <f ca="1">IFERROR(VLOOKUP($BE583,$BD$5:$BF582,3,0)*$AE583,VLOOKUP($C583,Demanda!$A:$B,2,0)*$AE583)*IF(AT583="Phantom Alt",$BC583,TRUE)</f>
        <v>54000</v>
      </c>
      <c r="BG583" s="57">
        <f ca="1">BF583*(AP583/100)</f>
        <v>0</v>
      </c>
      <c r="BH583" s="57">
        <f>SUMIF(Invoice!A:A,F583,Invoice!B:B)</f>
        <v>0</v>
      </c>
      <c r="BI583" s="57">
        <f ca="1">SUMIF(AS:AS,AS583,BG:BG)</f>
        <v>54000</v>
      </c>
      <c r="BJ583" s="57">
        <f ca="1">MIN((BI583-SUMIF($AS$5:AS582,AS583,$BJ$5:BJ582)),MAX(0,BH583-SUMIF($F$5:F582,F583,$BJ$5:BJ582)))</f>
        <v>0</v>
      </c>
      <c r="BK583" s="57">
        <f ca="1">(-SUMIF(AS:AS,AS583,BG:BG)+SUMIF(AS:AS,AS583,BJ:BJ))*(AP583=100)*AR583</f>
        <v>0</v>
      </c>
      <c r="BL583" s="57">
        <f ca="1">MAX(0,SUMIF(Invoice!A:A,F583,Invoice!B:B)-SUMIF(F:F,F583,BJ:BJ))*(COUNTIF(F:F,F583)=COUNTIF($F$5:F583,F583))</f>
        <v>0</v>
      </c>
    </row>
    <row r="584" spans="1:64" hidden="1">
      <c r="A584" s="43">
        <v>588</v>
      </c>
      <c r="B584" s="13" t="s">
        <v>147</v>
      </c>
      <c r="C584" s="13" t="s">
        <v>146</v>
      </c>
      <c r="D584" s="13">
        <v>2</v>
      </c>
      <c r="E584" s="13">
        <v>2040</v>
      </c>
      <c r="F584" s="71" t="s">
        <v>1421</v>
      </c>
      <c r="G584" s="71" t="s">
        <v>1422</v>
      </c>
      <c r="H584" s="13" t="s">
        <v>1414</v>
      </c>
      <c r="I584" s="13" t="s">
        <v>54</v>
      </c>
      <c r="J584" s="28">
        <v>100</v>
      </c>
      <c r="K584" s="13" t="s">
        <v>150</v>
      </c>
      <c r="L584" s="13" t="s">
        <v>53</v>
      </c>
      <c r="M584" s="13">
        <v>18</v>
      </c>
      <c r="N584" s="13">
        <v>18</v>
      </c>
      <c r="O584" s="13">
        <v>1</v>
      </c>
      <c r="P584" s="13">
        <v>2</v>
      </c>
      <c r="Q584" s="13">
        <v>1</v>
      </c>
      <c r="R584" s="13" t="s">
        <v>73</v>
      </c>
      <c r="S584" s="13" t="s">
        <v>73</v>
      </c>
      <c r="T584" s="13">
        <v>44901</v>
      </c>
      <c r="U584" s="13">
        <v>2958465</v>
      </c>
      <c r="V584" s="13" t="s">
        <v>282</v>
      </c>
      <c r="W584" s="13" t="s">
        <v>145</v>
      </c>
      <c r="Y584" s="13" t="s">
        <v>143</v>
      </c>
      <c r="Z584" s="13">
        <v>7589154</v>
      </c>
      <c r="AA584" s="13">
        <v>1056</v>
      </c>
      <c r="AB584" s="13">
        <v>528</v>
      </c>
      <c r="AE584" s="51">
        <f>M584/O584</f>
        <v>18</v>
      </c>
      <c r="AG584" s="6" t="str">
        <f>C584</f>
        <v>90MB1BJ0-C1BAY0</v>
      </c>
      <c r="AH584" s="6" t="str">
        <f>IF($D584&lt;=AH$4,"",IF(AND($D583=AH$4,$D584&gt;AH$4),$F583,AH583))</f>
        <v>59MB1BJB-MB0A02S</v>
      </c>
      <c r="AI584" s="6" t="str">
        <f>IF($D584&lt;=AI$4,"",IF(AND($D583=AI$4,$D584&gt;AI$4),$F583,AI583))</f>
        <v/>
      </c>
      <c r="AJ584" s="6" t="str">
        <f>IF($D584&lt;=AJ$4,"",IF(AND($D583=AJ$4,$D584&gt;AJ$4),$F583,AJ583))</f>
        <v/>
      </c>
      <c r="AK584" s="6" t="str">
        <f>IF($D584&lt;=AK$4,"",IF(AND($D583=AK$4,$D584&gt;AK$4),$F583,AK583))</f>
        <v/>
      </c>
      <c r="AL584" s="6" t="str">
        <f>IF($D584&lt;=AL$4,"",IF(AND($D583=AL$4,$D584&gt;AL$4),$F583,AL583))</f>
        <v/>
      </c>
      <c r="AM584" s="6" t="str">
        <f>IF($D584&lt;=AM$4,"",IF(AND($D583=AM$4,$D584&gt;AM$4),$F583,AM583))</f>
        <v/>
      </c>
      <c r="AN584" s="6" t="str">
        <f>IF($D584&lt;=AN$4,"",IF(AND($D583=AN$4,$D584&gt;AN$4),$F583,AN583))</f>
        <v/>
      </c>
      <c r="AO584" s="6" t="str">
        <f>CONCATENATE(AG584," | ",AH584," | ",AI584," | ",AJ584," | ",AK584," | ",AL584," | ",AM584," | ",AN584)</f>
        <v xml:space="preserve">90MB1BJ0-C1BAY0 | 59MB1BJB-MB0A02S |  |  |  |  |  | </v>
      </c>
      <c r="AP584" s="6">
        <f>IF(TRIM(H584)="",100,J584)</f>
        <v>100</v>
      </c>
      <c r="AQ584" s="4"/>
      <c r="AR584" s="6" t="b">
        <f>NOT(TRIM(W584)&lt;&gt;"F")</f>
        <v>1</v>
      </c>
      <c r="AS584" s="6" t="str">
        <f>$B584&amp;" | "&amp;$AO584&amp;" | "&amp;IF(TRIM(H584)="","uniq"&amp;ROW(),TRIM(H584))</f>
        <v>461E | 90MB1BJ0-C1BAY0 | 59MB1BJB-MB0A02S |  |  |  |  |  |  | K4</v>
      </c>
      <c r="AT584" s="63">
        <f>IF(NOT(AR584),IF(TRIM($H584)="","Assembly","Phantom Alt"),VLOOKUP(F584,ZPCS04!B:G,6,0))</f>
        <v>1228</v>
      </c>
      <c r="AU584" s="7"/>
      <c r="AV584" s="38">
        <f ca="1">IF(TRIM($W584)="F",OFFSET($A$5,MATCH($AS584,$AS$5:$AS584,0)-1,0),$A584)</f>
        <v>588</v>
      </c>
      <c r="AW584" s="38">
        <f ca="1">IFERROR(OFFSET(ZPCS04!$A$1,MATCH(F584,ZPCS04!B:B,0)-1,0),100)</f>
        <v>1.9999997</v>
      </c>
      <c r="AX584" s="7"/>
      <c r="AY584" s="6" t="b">
        <f>SUMIF(AS:AS,AS584,AP:AP)=100</f>
        <v>1</v>
      </c>
      <c r="AZ584" s="6" t="b">
        <f>SUMIF(AS:AS,AS584,AE:AE)/COUNTIF(AS:AS,AS584)=AE584</f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>C584&amp;" | "&amp;F584</f>
        <v>90MB1BJ0-C1BAY0 | 11202-0065Q000</v>
      </c>
      <c r="BE584" s="55" t="str">
        <f ca="1">C584&amp;" | "&amp;OFFSET($AF584,0,8-COUNTBLANK($AG584:$AN584))</f>
        <v>90MB1BJ0-C1BAY0 | 59MB1BJB-MB0A02S</v>
      </c>
      <c r="BF584" s="57">
        <f ca="1">IFERROR(VLOOKUP($BE584,$BD$5:$BF583,3,0)*$AE584,VLOOKUP($C584,Demanda!$A:$B,2,0)*$AE584)*IF(AT584="Phantom Alt",$BC584,TRUE)</f>
        <v>18000</v>
      </c>
      <c r="BG584" s="57">
        <f ca="1">BF584*(AP584/100)</f>
        <v>18000</v>
      </c>
      <c r="BH584" s="57">
        <f>SUMIF(Invoice!A:A,F584,Invoice!B:B)</f>
        <v>30000</v>
      </c>
      <c r="BI584" s="57">
        <f ca="1">SUMIF(AS:AS,AS584,BG:BG)</f>
        <v>18000</v>
      </c>
      <c r="BJ584" s="57">
        <f ca="1">MIN((BI584-SUMIF($AS$5:AS583,AS584,$BJ$5:BJ583)),MAX(0,BH584-SUMIF($F$5:F583,F584,$BJ$5:BJ583)))</f>
        <v>18000</v>
      </c>
      <c r="BK584" s="57">
        <f ca="1">(-SUMIF(AS:AS,AS584,BG:BG)+SUMIF(AS:AS,AS584,BJ:BJ))*(AP584=100)*AR584</f>
        <v>0</v>
      </c>
      <c r="BL584" s="57">
        <f ca="1">MAX(0,SUMIF(Invoice!A:A,F584,Invoice!B:B)-SUMIF(F:F,F584,BJ:BJ))*(COUNTIF(F:F,F584)=COUNTIF($F$5:F584,F584))</f>
        <v>12000</v>
      </c>
    </row>
    <row r="585" spans="1:64" hidden="1">
      <c r="A585" s="43">
        <v>584</v>
      </c>
      <c r="B585" s="13" t="s">
        <v>147</v>
      </c>
      <c r="C585" s="13" t="s">
        <v>146</v>
      </c>
      <c r="D585" s="13">
        <v>2</v>
      </c>
      <c r="E585" s="13">
        <v>2040</v>
      </c>
      <c r="F585" s="71" t="s">
        <v>1412</v>
      </c>
      <c r="G585" s="71" t="s">
        <v>1413</v>
      </c>
      <c r="H585" s="13" t="s">
        <v>1414</v>
      </c>
      <c r="I585" s="13" t="s">
        <v>55</v>
      </c>
      <c r="J585" s="28">
        <v>0</v>
      </c>
      <c r="K585" s="13" t="s">
        <v>150</v>
      </c>
      <c r="L585" s="13" t="s">
        <v>53</v>
      </c>
      <c r="M585" s="13">
        <v>18</v>
      </c>
      <c r="O585" s="13">
        <v>1</v>
      </c>
      <c r="P585" s="13">
        <v>2</v>
      </c>
      <c r="Q585" s="13">
        <v>4</v>
      </c>
      <c r="R585" s="13" t="s">
        <v>73</v>
      </c>
      <c r="S585" s="13" t="s">
        <v>73</v>
      </c>
      <c r="T585" s="13">
        <v>44901</v>
      </c>
      <c r="U585" s="13">
        <v>2958465</v>
      </c>
      <c r="V585" s="13" t="s">
        <v>282</v>
      </c>
      <c r="W585" s="13" t="s">
        <v>145</v>
      </c>
      <c r="Y585" s="13" t="s">
        <v>143</v>
      </c>
      <c r="Z585" s="13">
        <v>7589154</v>
      </c>
      <c r="AA585" s="13">
        <v>1062</v>
      </c>
      <c r="AB585" s="13">
        <v>531</v>
      </c>
      <c r="AE585" s="51">
        <f>M585/O585</f>
        <v>18</v>
      </c>
      <c r="AG585" s="6" t="str">
        <f>C585</f>
        <v>90MB1BJ0-C1BAY0</v>
      </c>
      <c r="AH585" s="6" t="str">
        <f>IF($D585&lt;=AH$4,"",IF(AND($D584=AH$4,$D585&gt;AH$4),$F584,AH584))</f>
        <v>59MB1BJB-MB0A02S</v>
      </c>
      <c r="AI585" s="6" t="str">
        <f>IF($D585&lt;=AI$4,"",IF(AND($D584=AI$4,$D585&gt;AI$4),$F584,AI584))</f>
        <v/>
      </c>
      <c r="AJ585" s="6" t="str">
        <f>IF($D585&lt;=AJ$4,"",IF(AND($D584=AJ$4,$D585&gt;AJ$4),$F584,AJ584))</f>
        <v/>
      </c>
      <c r="AK585" s="6" t="str">
        <f>IF($D585&lt;=AK$4,"",IF(AND($D584=AK$4,$D585&gt;AK$4),$F584,AK584))</f>
        <v/>
      </c>
      <c r="AL585" s="6" t="str">
        <f>IF($D585&lt;=AL$4,"",IF(AND($D584=AL$4,$D585&gt;AL$4),$F584,AL584))</f>
        <v/>
      </c>
      <c r="AM585" s="6" t="str">
        <f>IF($D585&lt;=AM$4,"",IF(AND($D584=AM$4,$D585&gt;AM$4),$F584,AM584))</f>
        <v/>
      </c>
      <c r="AN585" s="6" t="str">
        <f>IF($D585&lt;=AN$4,"",IF(AND($D584=AN$4,$D585&gt;AN$4),$F584,AN584))</f>
        <v/>
      </c>
      <c r="AO585" s="6" t="str">
        <f>CONCATENATE(AG585," | ",AH585," | ",AI585," | ",AJ585," | ",AK585," | ",AL585," | ",AM585," | ",AN585)</f>
        <v xml:space="preserve">90MB1BJ0-C1BAY0 | 59MB1BJB-MB0A02S |  |  |  |  |  | </v>
      </c>
      <c r="AP585" s="6">
        <f>IF(TRIM(H585)="",100,J585)</f>
        <v>0</v>
      </c>
      <c r="AQ585" s="4"/>
      <c r="AR585" s="6" t="b">
        <f>NOT(TRIM(W585)&lt;&gt;"F")</f>
        <v>1</v>
      </c>
      <c r="AS585" s="6" t="str">
        <f>$B585&amp;" | "&amp;$AO585&amp;" | "&amp;IF(TRIM(H585)="","uniq"&amp;ROW(),TRIM(H585))</f>
        <v>461E | 90MB1BJ0-C1BAY0 | 59MB1BJB-MB0A02S |  |  |  |  |  |  | K4</v>
      </c>
      <c r="AT585" s="63">
        <f>IF(NOT(AR585),IF(TRIM($H585)="","Assembly","Phantom Alt"),VLOOKUP(F585,ZPCS04!B:G,6,0))</f>
        <v>1228</v>
      </c>
      <c r="AU585" s="7"/>
      <c r="AV585" s="38">
        <f ca="1">IF(TRIM($W585)="F",OFFSET($A$5,MATCH($AS585,$AS$5:$AS585,0)-1,0),$A585)</f>
        <v>588</v>
      </c>
      <c r="AW585" s="38">
        <f ca="1">IFERROR(OFFSET(ZPCS04!$A$1,MATCH(F585,ZPCS04!B:B,0)-1,0),100)</f>
        <v>2</v>
      </c>
      <c r="AX585" s="7"/>
      <c r="AY585" s="6" t="b">
        <f>SUMIF(AS:AS,AS585,AP:AP)=100</f>
        <v>1</v>
      </c>
      <c r="AZ585" s="6" t="b">
        <f>SUMIF(AS:AS,AS585,AE:AE)/COUNTIF(AS:AS,AS585)=AE585</f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>C585&amp;" | "&amp;F585</f>
        <v>90MB1BJ0-C1BAY0 | 11202-00657000</v>
      </c>
      <c r="BE585" s="55" t="str">
        <f ca="1">C585&amp;" | "&amp;OFFSET($AF585,0,8-COUNTBLANK($AG585:$AN585))</f>
        <v>90MB1BJ0-C1BAY0 | 59MB1BJB-MB0A02S</v>
      </c>
      <c r="BF585" s="57">
        <f ca="1">IFERROR(VLOOKUP($BE585,$BD$5:$BF584,3,0)*$AE585,VLOOKUP($C585,Demanda!$A:$B,2,0)*$AE585)*IF(AT585="Phantom Alt",$BC585,TRUE)</f>
        <v>18000</v>
      </c>
      <c r="BG585" s="57">
        <f ca="1">BF585*(AP585/100)</f>
        <v>0</v>
      </c>
      <c r="BH585" s="57">
        <f>SUMIF(Invoice!A:A,F585,Invoice!B:B)</f>
        <v>0</v>
      </c>
      <c r="BI585" s="57">
        <f ca="1">SUMIF(AS:AS,AS585,BG:BG)</f>
        <v>18000</v>
      </c>
      <c r="BJ585" s="57">
        <f ca="1">MIN((BI585-SUMIF($AS$5:AS584,AS585,$BJ$5:BJ584)),MAX(0,BH585-SUMIF($F$5:F584,F585,$BJ$5:BJ584)))</f>
        <v>0</v>
      </c>
      <c r="BK585" s="57">
        <f ca="1">(-SUMIF(AS:AS,AS585,BG:BG)+SUMIF(AS:AS,AS585,BJ:BJ))*(AP585=100)*AR585</f>
        <v>0</v>
      </c>
      <c r="BL585" s="57">
        <f ca="1">MAX(0,SUMIF(Invoice!A:A,F585,Invoice!B:B)-SUMIF(F:F,F585,BJ:BJ))*(COUNTIF(F:F,F585)=COUNTIF($F$5:F585,F585))</f>
        <v>0</v>
      </c>
    </row>
    <row r="586" spans="1:64" hidden="1">
      <c r="A586" s="43">
        <v>585</v>
      </c>
      <c r="B586" s="13" t="s">
        <v>147</v>
      </c>
      <c r="C586" s="13" t="s">
        <v>146</v>
      </c>
      <c r="D586" s="13">
        <v>2</v>
      </c>
      <c r="E586" s="13">
        <v>2040</v>
      </c>
      <c r="F586" s="71" t="s">
        <v>1415</v>
      </c>
      <c r="G586" s="71" t="s">
        <v>1416</v>
      </c>
      <c r="H586" s="13" t="s">
        <v>1414</v>
      </c>
      <c r="I586" s="13" t="s">
        <v>55</v>
      </c>
      <c r="J586" s="28">
        <v>0</v>
      </c>
      <c r="K586" s="13" t="s">
        <v>150</v>
      </c>
      <c r="L586" s="13" t="s">
        <v>53</v>
      </c>
      <c r="M586" s="13">
        <v>18</v>
      </c>
      <c r="O586" s="13">
        <v>1</v>
      </c>
      <c r="P586" s="13">
        <v>2</v>
      </c>
      <c r="Q586" s="13">
        <v>5</v>
      </c>
      <c r="R586" s="13" t="s">
        <v>73</v>
      </c>
      <c r="S586" s="13" t="s">
        <v>73</v>
      </c>
      <c r="T586" s="13">
        <v>44901</v>
      </c>
      <c r="U586" s="13">
        <v>2958465</v>
      </c>
      <c r="V586" s="13" t="s">
        <v>282</v>
      </c>
      <c r="W586" s="13" t="s">
        <v>145</v>
      </c>
      <c r="Y586" s="13" t="s">
        <v>143</v>
      </c>
      <c r="Z586" s="13">
        <v>7589154</v>
      </c>
      <c r="AA586" s="13">
        <v>1064</v>
      </c>
      <c r="AB586" s="13">
        <v>532</v>
      </c>
      <c r="AE586" s="51">
        <f>M586/O586</f>
        <v>18</v>
      </c>
      <c r="AG586" s="6" t="str">
        <f>C586</f>
        <v>90MB1BJ0-C1BAY0</v>
      </c>
      <c r="AH586" s="6" t="str">
        <f>IF($D586&lt;=AH$4,"",IF(AND($D585=AH$4,$D586&gt;AH$4),$F585,AH585))</f>
        <v>59MB1BJB-MB0A02S</v>
      </c>
      <c r="AI586" s="6" t="str">
        <f>IF($D586&lt;=AI$4,"",IF(AND($D585=AI$4,$D586&gt;AI$4),$F585,AI585))</f>
        <v/>
      </c>
      <c r="AJ586" s="6" t="str">
        <f>IF($D586&lt;=AJ$4,"",IF(AND($D585=AJ$4,$D586&gt;AJ$4),$F585,AJ585))</f>
        <v/>
      </c>
      <c r="AK586" s="6" t="str">
        <f>IF($D586&lt;=AK$4,"",IF(AND($D585=AK$4,$D586&gt;AK$4),$F585,AK585))</f>
        <v/>
      </c>
      <c r="AL586" s="6" t="str">
        <f>IF($D586&lt;=AL$4,"",IF(AND($D585=AL$4,$D586&gt;AL$4),$F585,AL585))</f>
        <v/>
      </c>
      <c r="AM586" s="6" t="str">
        <f>IF($D586&lt;=AM$4,"",IF(AND($D585=AM$4,$D586&gt;AM$4),$F585,AM585))</f>
        <v/>
      </c>
      <c r="AN586" s="6" t="str">
        <f>IF($D586&lt;=AN$4,"",IF(AND($D585=AN$4,$D586&gt;AN$4),$F585,AN585))</f>
        <v/>
      </c>
      <c r="AO586" s="6" t="str">
        <f>CONCATENATE(AG586," | ",AH586," | ",AI586," | ",AJ586," | ",AK586," | ",AL586," | ",AM586," | ",AN586)</f>
        <v xml:space="preserve">90MB1BJ0-C1BAY0 | 59MB1BJB-MB0A02S |  |  |  |  |  | </v>
      </c>
      <c r="AP586" s="6">
        <f>IF(TRIM(H586)="",100,J586)</f>
        <v>0</v>
      </c>
      <c r="AQ586" s="4"/>
      <c r="AR586" s="6" t="b">
        <f>NOT(TRIM(W586)&lt;&gt;"F")</f>
        <v>1</v>
      </c>
      <c r="AS586" s="6" t="str">
        <f>$B586&amp;" | "&amp;$AO586&amp;" | "&amp;IF(TRIM(H586)="","uniq"&amp;ROW(),TRIM(H586))</f>
        <v>461E | 90MB1BJ0-C1BAY0 | 59MB1BJB-MB0A02S |  |  |  |  |  |  | K4</v>
      </c>
      <c r="AT586" s="63">
        <f>IF(NOT(AR586),IF(TRIM($H586)="","Assembly","Phantom Alt"),VLOOKUP(F586,ZPCS04!B:G,6,0))</f>
        <v>1228</v>
      </c>
      <c r="AU586" s="7"/>
      <c r="AV586" s="38">
        <f ca="1">IF(TRIM($W586)="F",OFFSET($A$5,MATCH($AS586,$AS$5:$AS586,0)-1,0),$A586)</f>
        <v>588</v>
      </c>
      <c r="AW586" s="38">
        <f ca="1">IFERROR(OFFSET(ZPCS04!$A$1,MATCH(F586,ZPCS04!B:B,0)-1,0),100)</f>
        <v>2</v>
      </c>
      <c r="AX586" s="7"/>
      <c r="AY586" s="6" t="b">
        <f>SUMIF(AS:AS,AS586,AP:AP)=100</f>
        <v>1</v>
      </c>
      <c r="AZ586" s="6" t="b">
        <f>SUMIF(AS:AS,AS586,AE:AE)/COUNTIF(AS:AS,AS586)=AE586</f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>C586&amp;" | "&amp;F586</f>
        <v>90MB1BJ0-C1BAY0 | 11202-0065D000</v>
      </c>
      <c r="BE586" s="55" t="str">
        <f ca="1">C586&amp;" | "&amp;OFFSET($AF586,0,8-COUNTBLANK($AG586:$AN586))</f>
        <v>90MB1BJ0-C1BAY0 | 59MB1BJB-MB0A02S</v>
      </c>
      <c r="BF586" s="57">
        <f ca="1">IFERROR(VLOOKUP($BE586,$BD$5:$BF585,3,0)*$AE586,VLOOKUP($C586,Demanda!$A:$B,2,0)*$AE586)*IF(AT586="Phantom Alt",$BC586,TRUE)</f>
        <v>18000</v>
      </c>
      <c r="BG586" s="57">
        <f ca="1">BF586*(AP586/100)</f>
        <v>0</v>
      </c>
      <c r="BH586" s="57">
        <f>SUMIF(Invoice!A:A,F586,Invoice!B:B)</f>
        <v>0</v>
      </c>
      <c r="BI586" s="57">
        <f ca="1">SUMIF(AS:AS,AS586,BG:BG)</f>
        <v>18000</v>
      </c>
      <c r="BJ586" s="57">
        <f ca="1">MIN((BI586-SUMIF($AS$5:AS585,AS586,$BJ$5:BJ585)),MAX(0,BH586-SUMIF($F$5:F585,F586,$BJ$5:BJ585)))</f>
        <v>0</v>
      </c>
      <c r="BK586" s="57">
        <f ca="1">(-SUMIF(AS:AS,AS586,BG:BG)+SUMIF(AS:AS,AS586,BJ:BJ))*(AP586=100)*AR586</f>
        <v>0</v>
      </c>
      <c r="BL586" s="57">
        <f ca="1">MAX(0,SUMIF(Invoice!A:A,F586,Invoice!B:B)-SUMIF(F:F,F586,BJ:BJ))*(COUNTIF(F:F,F586)=COUNTIF($F$5:F586,F586))</f>
        <v>0</v>
      </c>
    </row>
    <row r="587" spans="1:64" hidden="1">
      <c r="A587" s="43">
        <v>586</v>
      </c>
      <c r="B587" s="13" t="s">
        <v>147</v>
      </c>
      <c r="C587" s="13" t="s">
        <v>146</v>
      </c>
      <c r="D587" s="13">
        <v>2</v>
      </c>
      <c r="E587" s="13">
        <v>2040</v>
      </c>
      <c r="F587" s="71" t="s">
        <v>1417</v>
      </c>
      <c r="G587" s="71" t="s">
        <v>1418</v>
      </c>
      <c r="H587" s="13" t="s">
        <v>1414</v>
      </c>
      <c r="I587" s="13" t="s">
        <v>55</v>
      </c>
      <c r="J587" s="28">
        <v>0</v>
      </c>
      <c r="K587" s="13" t="s">
        <v>150</v>
      </c>
      <c r="L587" s="13" t="s">
        <v>53</v>
      </c>
      <c r="M587" s="13">
        <v>18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44901</v>
      </c>
      <c r="U587" s="13">
        <v>2958465</v>
      </c>
      <c r="V587" s="13" t="s">
        <v>282</v>
      </c>
      <c r="W587" s="13" t="s">
        <v>145</v>
      </c>
      <c r="Y587" s="13" t="s">
        <v>143</v>
      </c>
      <c r="Z587" s="13">
        <v>7589154</v>
      </c>
      <c r="AA587" s="13">
        <v>1060</v>
      </c>
      <c r="AB587" s="13">
        <v>530</v>
      </c>
      <c r="AE587" s="51">
        <f>M587/O587</f>
        <v>18</v>
      </c>
      <c r="AG587" s="6" t="str">
        <f>C587</f>
        <v>90MB1BJ0-C1BAY0</v>
      </c>
      <c r="AH587" s="6" t="str">
        <f>IF($D587&lt;=AH$4,"",IF(AND($D586=AH$4,$D587&gt;AH$4),$F586,AH586))</f>
        <v>59MB1BJB-MB0A02S</v>
      </c>
      <c r="AI587" s="6" t="str">
        <f>IF($D587&lt;=AI$4,"",IF(AND($D586=AI$4,$D587&gt;AI$4),$F586,AI586))</f>
        <v/>
      </c>
      <c r="AJ587" s="6" t="str">
        <f>IF($D587&lt;=AJ$4,"",IF(AND($D586=AJ$4,$D587&gt;AJ$4),$F586,AJ586))</f>
        <v/>
      </c>
      <c r="AK587" s="6" t="str">
        <f>IF($D587&lt;=AK$4,"",IF(AND($D586=AK$4,$D587&gt;AK$4),$F586,AK586))</f>
        <v/>
      </c>
      <c r="AL587" s="6" t="str">
        <f>IF($D587&lt;=AL$4,"",IF(AND($D586=AL$4,$D587&gt;AL$4),$F586,AL586))</f>
        <v/>
      </c>
      <c r="AM587" s="6" t="str">
        <f>IF($D587&lt;=AM$4,"",IF(AND($D586=AM$4,$D587&gt;AM$4),$F586,AM586))</f>
        <v/>
      </c>
      <c r="AN587" s="6" t="str">
        <f>IF($D587&lt;=AN$4,"",IF(AND($D586=AN$4,$D587&gt;AN$4),$F586,AN586))</f>
        <v/>
      </c>
      <c r="AO587" s="6" t="str">
        <f>CONCATENATE(AG587," | ",AH587," | ",AI587," | ",AJ587," | ",AK587," | ",AL587," | ",AM587," | ",AN587)</f>
        <v xml:space="preserve">90MB1BJ0-C1BAY0 | 59MB1BJB-MB0A02S |  |  |  |  |  | </v>
      </c>
      <c r="AP587" s="6">
        <f>IF(TRIM(H587)="",100,J587)</f>
        <v>0</v>
      </c>
      <c r="AQ587" s="4"/>
      <c r="AR587" s="6" t="b">
        <f>NOT(TRIM(W587)&lt;&gt;"F")</f>
        <v>1</v>
      </c>
      <c r="AS587" s="6" t="str">
        <f>$B587&amp;" | "&amp;$AO587&amp;" | "&amp;IF(TRIM(H587)="","uniq"&amp;ROW(),TRIM(H587))</f>
        <v>461E | 90MB1BJ0-C1BAY0 | 59MB1BJB-MB0A02S |  |  |  |  |  |  | K4</v>
      </c>
      <c r="AT587" s="63">
        <f>IF(NOT(AR587),IF(TRIM($H587)="","Assembly","Phantom Alt"),VLOOKUP(F587,ZPCS04!B:G,6,0))</f>
        <v>1228</v>
      </c>
      <c r="AU587" s="7"/>
      <c r="AV587" s="38">
        <f ca="1">IF(TRIM($W587)="F",OFFSET($A$5,MATCH($AS587,$AS$5:$AS587,0)-1,0),$A587)</f>
        <v>588</v>
      </c>
      <c r="AW587" s="38">
        <f ca="1">IFERROR(OFFSET(ZPCS04!$A$1,MATCH(F587,ZPCS04!B:B,0)-1,0),100)</f>
        <v>2</v>
      </c>
      <c r="AX587" s="7"/>
      <c r="AY587" s="6" t="b">
        <f>SUMIF(AS:AS,AS587,AP:AP)=100</f>
        <v>1</v>
      </c>
      <c r="AZ587" s="6" t="b">
        <f>SUMIF(AS:AS,AS587,AE:AE)/COUNTIF(AS:AS,AS587)=AE587</f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>C587&amp;" | "&amp;F587</f>
        <v>90MB1BJ0-C1BAY0 | 11202-0065F100</v>
      </c>
      <c r="BE587" s="55" t="str">
        <f ca="1">C587&amp;" | "&amp;OFFSET($AF587,0,8-COUNTBLANK($AG587:$AN587))</f>
        <v>90MB1BJ0-C1BAY0 | 59MB1BJB-MB0A02S</v>
      </c>
      <c r="BF587" s="57">
        <f ca="1">IFERROR(VLOOKUP($BE587,$BD$5:$BF586,3,0)*$AE587,VLOOKUP($C587,Demanda!$A:$B,2,0)*$AE587)*IF(AT587="Phantom Alt",$BC587,TRUE)</f>
        <v>18000</v>
      </c>
      <c r="BG587" s="57">
        <f ca="1">BF587*(AP587/100)</f>
        <v>0</v>
      </c>
      <c r="BH587" s="57">
        <f>SUMIF(Invoice!A:A,F587,Invoice!B:B)</f>
        <v>0</v>
      </c>
      <c r="BI587" s="57">
        <f ca="1">SUMIF(AS:AS,AS587,BG:BG)</f>
        <v>18000</v>
      </c>
      <c r="BJ587" s="57">
        <f ca="1">MIN((BI587-SUMIF($AS$5:AS586,AS587,$BJ$5:BJ586)),MAX(0,BH587-SUMIF($F$5:F586,F587,$BJ$5:BJ586)))</f>
        <v>0</v>
      </c>
      <c r="BK587" s="57">
        <f ca="1">(-SUMIF(AS:AS,AS587,BG:BG)+SUMIF(AS:AS,AS587,BJ:BJ))*(AP587=100)*AR587</f>
        <v>0</v>
      </c>
      <c r="BL587" s="57">
        <f ca="1">MAX(0,SUMIF(Invoice!A:A,F587,Invoice!B:B)-SUMIF(F:F,F587,BJ:BJ))*(COUNTIF(F:F,F587)=COUNTIF($F$5:F587,F587))</f>
        <v>0</v>
      </c>
    </row>
    <row r="588" spans="1:64" hidden="1">
      <c r="A588" s="43">
        <v>587</v>
      </c>
      <c r="B588" s="13" t="s">
        <v>147</v>
      </c>
      <c r="C588" s="13" t="s">
        <v>146</v>
      </c>
      <c r="D588" s="13">
        <v>2</v>
      </c>
      <c r="E588" s="13">
        <v>2040</v>
      </c>
      <c r="F588" s="71" t="s">
        <v>1419</v>
      </c>
      <c r="G588" s="71" t="s">
        <v>1420</v>
      </c>
      <c r="H588" s="13" t="s">
        <v>1414</v>
      </c>
      <c r="I588" s="13" t="s">
        <v>55</v>
      </c>
      <c r="J588" s="28">
        <v>0</v>
      </c>
      <c r="K588" s="13" t="s">
        <v>150</v>
      </c>
      <c r="L588" s="13" t="s">
        <v>53</v>
      </c>
      <c r="M588" s="13">
        <v>18</v>
      </c>
      <c r="O588" s="13">
        <v>1</v>
      </c>
      <c r="P588" s="13">
        <v>2</v>
      </c>
      <c r="Q588" s="13">
        <v>2</v>
      </c>
      <c r="R588" s="13" t="s">
        <v>73</v>
      </c>
      <c r="S588" s="13" t="s">
        <v>73</v>
      </c>
      <c r="T588" s="13">
        <v>44901</v>
      </c>
      <c r="U588" s="13">
        <v>2958465</v>
      </c>
      <c r="V588" s="13" t="s">
        <v>282</v>
      </c>
      <c r="W588" s="13" t="s">
        <v>145</v>
      </c>
      <c r="Y588" s="13" t="s">
        <v>143</v>
      </c>
      <c r="Z588" s="13">
        <v>7589154</v>
      </c>
      <c r="AA588" s="13">
        <v>1058</v>
      </c>
      <c r="AB588" s="13">
        <v>529</v>
      </c>
      <c r="AE588" s="51">
        <f>M588/O588</f>
        <v>18</v>
      </c>
      <c r="AG588" s="6" t="str">
        <f>C588</f>
        <v>90MB1BJ0-C1BAY0</v>
      </c>
      <c r="AH588" s="6" t="str">
        <f>IF($D588&lt;=AH$4,"",IF(AND($D587=AH$4,$D588&gt;AH$4),$F587,AH587))</f>
        <v>59MB1BJB-MB0A02S</v>
      </c>
      <c r="AI588" s="6" t="str">
        <f>IF($D588&lt;=AI$4,"",IF(AND($D587=AI$4,$D588&gt;AI$4),$F587,AI587))</f>
        <v/>
      </c>
      <c r="AJ588" s="6" t="str">
        <f>IF($D588&lt;=AJ$4,"",IF(AND($D587=AJ$4,$D588&gt;AJ$4),$F587,AJ587))</f>
        <v/>
      </c>
      <c r="AK588" s="6" t="str">
        <f>IF($D588&lt;=AK$4,"",IF(AND($D587=AK$4,$D588&gt;AK$4),$F587,AK587))</f>
        <v/>
      </c>
      <c r="AL588" s="6" t="str">
        <f>IF($D588&lt;=AL$4,"",IF(AND($D587=AL$4,$D588&gt;AL$4),$F587,AL587))</f>
        <v/>
      </c>
      <c r="AM588" s="6" t="str">
        <f>IF($D588&lt;=AM$4,"",IF(AND($D587=AM$4,$D588&gt;AM$4),$F587,AM587))</f>
        <v/>
      </c>
      <c r="AN588" s="6" t="str">
        <f>IF($D588&lt;=AN$4,"",IF(AND($D587=AN$4,$D588&gt;AN$4),$F587,AN587))</f>
        <v/>
      </c>
      <c r="AO588" s="6" t="str">
        <f>CONCATENATE(AG588," | ",AH588," | ",AI588," | ",AJ588," | ",AK588," | ",AL588," | ",AM588," | ",AN588)</f>
        <v xml:space="preserve">90MB1BJ0-C1BAY0 | 59MB1BJB-MB0A02S |  |  |  |  |  | </v>
      </c>
      <c r="AP588" s="6">
        <f>IF(TRIM(H588)="",100,J588)</f>
        <v>0</v>
      </c>
      <c r="AQ588" s="4"/>
      <c r="AR588" s="6" t="b">
        <f>NOT(TRIM(W588)&lt;&gt;"F")</f>
        <v>1</v>
      </c>
      <c r="AS588" s="6" t="str">
        <f>$B588&amp;" | "&amp;$AO588&amp;" | "&amp;IF(TRIM(H588)="","uniq"&amp;ROW(),TRIM(H588))</f>
        <v>461E | 90MB1BJ0-C1BAY0 | 59MB1BJB-MB0A02S |  |  |  |  |  |  | K4</v>
      </c>
      <c r="AT588" s="63">
        <f>IF(NOT(AR588),IF(TRIM($H588)="","Assembly","Phantom Alt"),VLOOKUP(F588,ZPCS04!B:G,6,0))</f>
        <v>1228</v>
      </c>
      <c r="AU588" s="7"/>
      <c r="AV588" s="38">
        <f ca="1">IF(TRIM($W588)="F",OFFSET($A$5,MATCH($AS588,$AS$5:$AS588,0)-1,0),$A588)</f>
        <v>588</v>
      </c>
      <c r="AW588" s="38">
        <f ca="1">IFERROR(OFFSET(ZPCS04!$A$1,MATCH(F588,ZPCS04!B:B,0)-1,0),100)</f>
        <v>2</v>
      </c>
      <c r="AX588" s="7"/>
      <c r="AY588" s="6" t="b">
        <f>SUMIF(AS:AS,AS588,AP:AP)=100</f>
        <v>1</v>
      </c>
      <c r="AZ588" s="6" t="b">
        <f>SUMIF(AS:AS,AS588,AE:AE)/COUNTIF(AS:AS,AS588)=AE588</f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>C588&amp;" | "&amp;F588</f>
        <v>90MB1BJ0-C1BAY0 | 11202-0065K000</v>
      </c>
      <c r="BE588" s="55" t="str">
        <f ca="1">C588&amp;" | "&amp;OFFSET($AF588,0,8-COUNTBLANK($AG588:$AN588))</f>
        <v>90MB1BJ0-C1BAY0 | 59MB1BJB-MB0A02S</v>
      </c>
      <c r="BF588" s="57">
        <f ca="1">IFERROR(VLOOKUP($BE588,$BD$5:$BF587,3,0)*$AE588,VLOOKUP($C588,Demanda!$A:$B,2,0)*$AE588)*IF(AT588="Phantom Alt",$BC588,TRUE)</f>
        <v>18000</v>
      </c>
      <c r="BG588" s="57">
        <f ca="1">BF588*(AP588/100)</f>
        <v>0</v>
      </c>
      <c r="BH588" s="57">
        <f>SUMIF(Invoice!A:A,F588,Invoice!B:B)</f>
        <v>0</v>
      </c>
      <c r="BI588" s="57">
        <f ca="1">SUMIF(AS:AS,AS588,BG:BG)</f>
        <v>18000</v>
      </c>
      <c r="BJ588" s="57">
        <f ca="1">MIN((BI588-SUMIF($AS$5:AS587,AS588,$BJ$5:BJ587)),MAX(0,BH588-SUMIF($F$5:F587,F588,$BJ$5:BJ587)))</f>
        <v>0</v>
      </c>
      <c r="BK588" s="57">
        <f ca="1">(-SUMIF(AS:AS,AS588,BG:BG)+SUMIF(AS:AS,AS588,BJ:BJ))*(AP588=100)*AR588</f>
        <v>0</v>
      </c>
      <c r="BL588" s="57">
        <f ca="1">MAX(0,SUMIF(Invoice!A:A,F588,Invoice!B:B)-SUMIF(F:F,F588,BJ:BJ))*(COUNTIF(F:F,F588)=COUNTIF($F$5:F588,F588))</f>
        <v>0</v>
      </c>
    </row>
    <row r="589" spans="1:64" hidden="1">
      <c r="A589" s="43">
        <v>592</v>
      </c>
      <c r="B589" s="13" t="s">
        <v>147</v>
      </c>
      <c r="C589" s="13" t="s">
        <v>146</v>
      </c>
      <c r="D589" s="13">
        <v>2</v>
      </c>
      <c r="E589" s="13">
        <v>2050</v>
      </c>
      <c r="F589" s="71" t="s">
        <v>1430</v>
      </c>
      <c r="G589" s="71" t="s">
        <v>1431</v>
      </c>
      <c r="H589" s="13" t="s">
        <v>1425</v>
      </c>
      <c r="I589" s="13" t="s">
        <v>54</v>
      </c>
      <c r="J589" s="28">
        <v>100</v>
      </c>
      <c r="K589" s="13" t="s">
        <v>150</v>
      </c>
      <c r="L589" s="13" t="s">
        <v>53</v>
      </c>
      <c r="M589" s="13">
        <v>1</v>
      </c>
      <c r="N589" s="13">
        <v>1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44901</v>
      </c>
      <c r="U589" s="13">
        <v>2958465</v>
      </c>
      <c r="V589" s="13" t="s">
        <v>282</v>
      </c>
      <c r="W589" s="13" t="s">
        <v>145</v>
      </c>
      <c r="Y589" s="13" t="s">
        <v>143</v>
      </c>
      <c r="Z589" s="13">
        <v>7589154</v>
      </c>
      <c r="AA589" s="13">
        <v>1066</v>
      </c>
      <c r="AB589" s="13">
        <v>533</v>
      </c>
      <c r="AE589" s="51">
        <f>M589/O589</f>
        <v>1</v>
      </c>
      <c r="AG589" s="6" t="str">
        <f>C589</f>
        <v>90MB1BJ0-C1BAY0</v>
      </c>
      <c r="AH589" s="6" t="str">
        <f>IF($D589&lt;=AH$4,"",IF(AND($D588=AH$4,$D589&gt;AH$4),$F588,AH588))</f>
        <v>59MB1BJB-MB0A02S</v>
      </c>
      <c r="AI589" s="6" t="str">
        <f>IF($D589&lt;=AI$4,"",IF(AND($D588=AI$4,$D589&gt;AI$4),$F588,AI588))</f>
        <v/>
      </c>
      <c r="AJ589" s="6" t="str">
        <f>IF($D589&lt;=AJ$4,"",IF(AND($D588=AJ$4,$D589&gt;AJ$4),$F588,AJ588))</f>
        <v/>
      </c>
      <c r="AK589" s="6" t="str">
        <f>IF($D589&lt;=AK$4,"",IF(AND($D588=AK$4,$D589&gt;AK$4),$F588,AK588))</f>
        <v/>
      </c>
      <c r="AL589" s="6" t="str">
        <f>IF($D589&lt;=AL$4,"",IF(AND($D588=AL$4,$D589&gt;AL$4),$F588,AL588))</f>
        <v/>
      </c>
      <c r="AM589" s="6" t="str">
        <f>IF($D589&lt;=AM$4,"",IF(AND($D588=AM$4,$D589&gt;AM$4),$F588,AM588))</f>
        <v/>
      </c>
      <c r="AN589" s="6" t="str">
        <f>IF($D589&lt;=AN$4,"",IF(AND($D588=AN$4,$D589&gt;AN$4),$F588,AN588))</f>
        <v/>
      </c>
      <c r="AO589" s="6" t="str">
        <f>CONCATENATE(AG589," | ",AH589," | ",AI589," | ",AJ589," | ",AK589," | ",AL589," | ",AM589," | ",AN589)</f>
        <v xml:space="preserve">90MB1BJ0-C1BAY0 | 59MB1BJB-MB0A02S |  |  |  |  |  | </v>
      </c>
      <c r="AP589" s="6">
        <f>IF(TRIM(H589)="",100,J589)</f>
        <v>100</v>
      </c>
      <c r="AQ589" s="4"/>
      <c r="AR589" s="6" t="b">
        <f>NOT(TRIM(W589)&lt;&gt;"F")</f>
        <v>1</v>
      </c>
      <c r="AS589" s="6" t="str">
        <f>$B589&amp;" | "&amp;$AO589&amp;" | "&amp;IF(TRIM(H589)="","uniq"&amp;ROW(),TRIM(H589))</f>
        <v>461E | 90MB1BJ0-C1BAY0 | 59MB1BJB-MB0A02S |  |  |  |  |  |  | K5</v>
      </c>
      <c r="AT589" s="63">
        <f>IF(NOT(AR589),IF(TRIM($H589)="","Assembly","Phantom Alt"),VLOOKUP(F589,ZPCS04!B:G,6,0))</f>
        <v>987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1.99999985</v>
      </c>
      <c r="AX589" s="7"/>
      <c r="AY589" s="6" t="b">
        <f>SUMIF(AS:AS,AS589,AP:AP)=100</f>
        <v>1</v>
      </c>
      <c r="AZ589" s="6" t="b">
        <f>SUMIF(AS:AS,AS589,AE:AE)/COUNTIF(AS:AS,AS589)=AE589</f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>C589&amp;" | "&amp;F589</f>
        <v>90MB1BJ0-C1BAY0 | 11202-0144Q000</v>
      </c>
      <c r="BE589" s="55" t="str">
        <f ca="1">C589&amp;" | "&amp;OFFSET($AF589,0,8-COUNTBLANK($AG589:$AN589))</f>
        <v>90MB1BJ0-C1BAY0 | 59MB1BJB-MB0A02S</v>
      </c>
      <c r="BF589" s="57">
        <f ca="1">IFERROR(VLOOKUP($BE589,$BD$5:$BF588,3,0)*$AE589,VLOOKUP($C589,Demanda!$A:$B,2,0)*$AE589)*IF(AT589="Phantom Alt",$BC589,TRUE)</f>
        <v>1000</v>
      </c>
      <c r="BG589" s="57">
        <f ca="1">BF589*(AP589/100)</f>
        <v>1000</v>
      </c>
      <c r="BH589" s="57">
        <f>SUMIF(Invoice!A:A,F589,Invoice!B:B)</f>
        <v>15000</v>
      </c>
      <c r="BI589" s="57">
        <f ca="1">SUMIF(AS:AS,AS589,BG:BG)</f>
        <v>1000</v>
      </c>
      <c r="BJ589" s="57">
        <f ca="1">MIN((BI589-SUMIF($AS$5:AS588,AS589,$BJ$5:BJ588)),MAX(0,BH589-SUMIF($F$5:F588,F589,$BJ$5:BJ588)))</f>
        <v>1000</v>
      </c>
      <c r="BK589" s="57">
        <f ca="1">(-SUMIF(AS:AS,AS589,BG:BG)+SUMIF(AS:AS,AS589,BJ:BJ))*(AP589=100)*AR589</f>
        <v>0</v>
      </c>
      <c r="BL589" s="57">
        <f ca="1">MAX(0,SUMIF(Invoice!A:A,F589,Invoice!B:B)-SUMIF(F:F,F589,BJ:BJ))*(COUNTIF(F:F,F589)=COUNTIF($F$5:F589,F589))</f>
        <v>14000</v>
      </c>
    </row>
    <row r="590" spans="1:64" hidden="1">
      <c r="A590" s="43">
        <v>589</v>
      </c>
      <c r="B590" s="13" t="s">
        <v>147</v>
      </c>
      <c r="C590" s="13" t="s">
        <v>146</v>
      </c>
      <c r="D590" s="13">
        <v>2</v>
      </c>
      <c r="E590" s="13">
        <v>2050</v>
      </c>
      <c r="F590" s="71" t="s">
        <v>1423</v>
      </c>
      <c r="G590" s="71" t="s">
        <v>1424</v>
      </c>
      <c r="H590" s="13" t="s">
        <v>1425</v>
      </c>
      <c r="I590" s="13" t="s">
        <v>55</v>
      </c>
      <c r="J590" s="28">
        <v>0</v>
      </c>
      <c r="K590" s="13" t="s">
        <v>150</v>
      </c>
      <c r="L590" s="13" t="s">
        <v>53</v>
      </c>
      <c r="M590" s="13">
        <v>1</v>
      </c>
      <c r="O590" s="13">
        <v>1</v>
      </c>
      <c r="P590" s="13">
        <v>2</v>
      </c>
      <c r="Q590" s="13">
        <v>3</v>
      </c>
      <c r="R590" s="13" t="s">
        <v>73</v>
      </c>
      <c r="S590" s="13" t="s">
        <v>73</v>
      </c>
      <c r="T590" s="13">
        <v>44901</v>
      </c>
      <c r="U590" s="13">
        <v>2958465</v>
      </c>
      <c r="V590" s="13" t="s">
        <v>282</v>
      </c>
      <c r="W590" s="13" t="s">
        <v>145</v>
      </c>
      <c r="Y590" s="13" t="s">
        <v>143</v>
      </c>
      <c r="Z590" s="13">
        <v>7589154</v>
      </c>
      <c r="AA590" s="13">
        <v>1070</v>
      </c>
      <c r="AB590" s="13">
        <v>535</v>
      </c>
      <c r="AE590" s="51">
        <f>M590/O590</f>
        <v>1</v>
      </c>
      <c r="AG590" s="6" t="str">
        <f>C590</f>
        <v>90MB1BJ0-C1BAY0</v>
      </c>
      <c r="AH590" s="6" t="str">
        <f>IF($D590&lt;=AH$4,"",IF(AND($D589=AH$4,$D590&gt;AH$4),$F589,AH589))</f>
        <v>59MB1BJB-MB0A02S</v>
      </c>
      <c r="AI590" s="6" t="str">
        <f>IF($D590&lt;=AI$4,"",IF(AND($D589=AI$4,$D590&gt;AI$4),$F589,AI589))</f>
        <v/>
      </c>
      <c r="AJ590" s="6" t="str">
        <f>IF($D590&lt;=AJ$4,"",IF(AND($D589=AJ$4,$D590&gt;AJ$4),$F589,AJ589))</f>
        <v/>
      </c>
      <c r="AK590" s="6" t="str">
        <f>IF($D590&lt;=AK$4,"",IF(AND($D589=AK$4,$D590&gt;AK$4),$F589,AK589))</f>
        <v/>
      </c>
      <c r="AL590" s="6" t="str">
        <f>IF($D590&lt;=AL$4,"",IF(AND($D589=AL$4,$D590&gt;AL$4),$F589,AL589))</f>
        <v/>
      </c>
      <c r="AM590" s="6" t="str">
        <f>IF($D590&lt;=AM$4,"",IF(AND($D589=AM$4,$D590&gt;AM$4),$F589,AM589))</f>
        <v/>
      </c>
      <c r="AN590" s="6" t="str">
        <f>IF($D590&lt;=AN$4,"",IF(AND($D589=AN$4,$D590&gt;AN$4),$F589,AN589))</f>
        <v/>
      </c>
      <c r="AO590" s="6" t="str">
        <f>CONCATENATE(AG590," | ",AH590," | ",AI590," | ",AJ590," | ",AK590," | ",AL590," | ",AM590," | ",AN590)</f>
        <v xml:space="preserve">90MB1BJ0-C1BAY0 | 59MB1BJB-MB0A02S |  |  |  |  |  | </v>
      </c>
      <c r="AP590" s="6">
        <f>IF(TRIM(H590)="",100,J590)</f>
        <v>0</v>
      </c>
      <c r="AQ590" s="4"/>
      <c r="AR590" s="6" t="b">
        <f>NOT(TRIM(W590)&lt;&gt;"F")</f>
        <v>1</v>
      </c>
      <c r="AS590" s="6" t="str">
        <f>$B590&amp;" | "&amp;$AO590&amp;" | "&amp;IF(TRIM(H590)="","uniq"&amp;ROW(),TRIM(H590))</f>
        <v>461E | 90MB1BJ0-C1BAY0 | 59MB1BJB-MB0A02S |  |  |  |  |  |  | K5</v>
      </c>
      <c r="AT590" s="63">
        <f>IF(NOT(AR590),IF(TRIM($H590)="","Assembly","Phantom Alt"),VLOOKUP(F590,ZPCS04!B:G,6,0))</f>
        <v>987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>SUMIF(AS:AS,AS590,AP:AP)=100</f>
        <v>1</v>
      </c>
      <c r="AZ590" s="6" t="b">
        <f>SUMIF(AS:AS,AS590,AE:AE)/COUNTIF(AS:AS,AS590)=AE590</f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>C590&amp;" | "&amp;F590</f>
        <v>90MB1BJ0-C1BAY0 | 11202-01447000</v>
      </c>
      <c r="BE590" s="55" t="str">
        <f ca="1">C590&amp;" | "&amp;OFFSET($AF590,0,8-COUNTBLANK($AG590:$AN590))</f>
        <v>90MB1BJ0-C1BAY0 | 59MB1BJB-MB0A02S</v>
      </c>
      <c r="BF590" s="57">
        <f ca="1">IFERROR(VLOOKUP($BE590,$BD$5:$BF589,3,0)*$AE590,VLOOKUP($C590,Demanda!$A:$B,2,0)*$AE590)*IF(AT590="Phantom Alt",$BC590,TRUE)</f>
        <v>1000</v>
      </c>
      <c r="BG590" s="57">
        <f ca="1">BF590*(AP590/100)</f>
        <v>0</v>
      </c>
      <c r="BH590" s="57">
        <f>SUMIF(Invoice!A:A,F590,Invoice!B:B)</f>
        <v>0</v>
      </c>
      <c r="BI590" s="57">
        <f ca="1">SUMIF(AS:AS,AS590,BG:BG)</f>
        <v>1000</v>
      </c>
      <c r="BJ590" s="57">
        <f ca="1">MIN((BI590-SUMIF($AS$5:AS589,AS590,$BJ$5:BJ589)),MAX(0,BH590-SUMIF($F$5:F589,F590,$BJ$5:BJ589)))</f>
        <v>0</v>
      </c>
      <c r="BK590" s="57">
        <f ca="1">(-SUMIF(AS:AS,AS590,BG:BG)+SUMIF(AS:AS,AS590,BJ:BJ))*(AP590=100)*AR590</f>
        <v>0</v>
      </c>
      <c r="BL590" s="57">
        <f ca="1">MAX(0,SUMIF(Invoice!A:A,F590,Invoice!B:B)-SUMIF(F:F,F590,BJ:BJ))*(COUNTIF(F:F,F590)=COUNTIF($F$5:F590,F590))</f>
        <v>0</v>
      </c>
    </row>
    <row r="591" spans="1:64" hidden="1">
      <c r="A591" s="43">
        <v>590</v>
      </c>
      <c r="B591" s="13" t="s">
        <v>147</v>
      </c>
      <c r="C591" s="13" t="s">
        <v>146</v>
      </c>
      <c r="D591" s="13">
        <v>2</v>
      </c>
      <c r="E591" s="13">
        <v>2050</v>
      </c>
      <c r="F591" s="71" t="s">
        <v>1426</v>
      </c>
      <c r="G591" s="71" t="s">
        <v>1427</v>
      </c>
      <c r="H591" s="13" t="s">
        <v>1425</v>
      </c>
      <c r="I591" s="13" t="s">
        <v>55</v>
      </c>
      <c r="J591" s="28">
        <v>0</v>
      </c>
      <c r="K591" s="13" t="s">
        <v>1428</v>
      </c>
      <c r="L591" s="13" t="s">
        <v>53</v>
      </c>
      <c r="M591" s="13">
        <v>1</v>
      </c>
      <c r="O591" s="13">
        <v>1</v>
      </c>
      <c r="P591" s="13">
        <v>2</v>
      </c>
      <c r="Q591" s="13">
        <v>2</v>
      </c>
      <c r="R591" s="13" t="s">
        <v>73</v>
      </c>
      <c r="S591" s="13" t="s">
        <v>73</v>
      </c>
      <c r="T591" s="13">
        <v>44901</v>
      </c>
      <c r="U591" s="13">
        <v>2958465</v>
      </c>
      <c r="V591" s="13" t="s">
        <v>282</v>
      </c>
      <c r="W591" s="13" t="s">
        <v>145</v>
      </c>
      <c r="Y591" s="13" t="s">
        <v>143</v>
      </c>
      <c r="Z591" s="13">
        <v>7589154</v>
      </c>
      <c r="AA591" s="13">
        <v>1068</v>
      </c>
      <c r="AB591" s="13">
        <v>534</v>
      </c>
      <c r="AE591" s="51">
        <f>M591/O591</f>
        <v>1</v>
      </c>
      <c r="AG591" s="6" t="str">
        <f>C591</f>
        <v>90MB1BJ0-C1BAY0</v>
      </c>
      <c r="AH591" s="6" t="str">
        <f>IF($D591&lt;=AH$4,"",IF(AND($D590=AH$4,$D591&gt;AH$4),$F590,AH590))</f>
        <v>59MB1BJB-MB0A02S</v>
      </c>
      <c r="AI591" s="6" t="str">
        <f>IF($D591&lt;=AI$4,"",IF(AND($D590=AI$4,$D591&gt;AI$4),$F590,AI590))</f>
        <v/>
      </c>
      <c r="AJ591" s="6" t="str">
        <f>IF($D591&lt;=AJ$4,"",IF(AND($D590=AJ$4,$D591&gt;AJ$4),$F590,AJ590))</f>
        <v/>
      </c>
      <c r="AK591" s="6" t="str">
        <f>IF($D591&lt;=AK$4,"",IF(AND($D590=AK$4,$D591&gt;AK$4),$F590,AK590))</f>
        <v/>
      </c>
      <c r="AL591" s="6" t="str">
        <f>IF($D591&lt;=AL$4,"",IF(AND($D590=AL$4,$D591&gt;AL$4),$F590,AL590))</f>
        <v/>
      </c>
      <c r="AM591" s="6" t="str">
        <f>IF($D591&lt;=AM$4,"",IF(AND($D590=AM$4,$D591&gt;AM$4),$F590,AM590))</f>
        <v/>
      </c>
      <c r="AN591" s="6" t="str">
        <f>IF($D591&lt;=AN$4,"",IF(AND($D590=AN$4,$D591&gt;AN$4),$F590,AN590))</f>
        <v/>
      </c>
      <c r="AO591" s="6" t="str">
        <f>CONCATENATE(AG591," | ",AH591," | ",AI591," | ",AJ591," | ",AK591," | ",AL591," | ",AM591," | ",AN591)</f>
        <v xml:space="preserve">90MB1BJ0-C1BAY0 | 59MB1BJB-MB0A02S |  |  |  |  |  | </v>
      </c>
      <c r="AP591" s="6">
        <f>IF(TRIM(H591)="",100,J591)</f>
        <v>0</v>
      </c>
      <c r="AQ591" s="4"/>
      <c r="AR591" s="6" t="b">
        <f>NOT(TRIM(W591)&lt;&gt;"F")</f>
        <v>1</v>
      </c>
      <c r="AS591" s="6" t="str">
        <f>$B591&amp;" | "&amp;$AO591&amp;" | "&amp;IF(TRIM(H591)="","uniq"&amp;ROW(),TRIM(H591))</f>
        <v>461E | 90MB1BJ0-C1BAY0 | 59MB1BJB-MB0A02S |  |  |  |  |  |  | K5</v>
      </c>
      <c r="AT591" s="63">
        <f>IF(NOT(AR591),IF(TRIM($H591)="","Assembly","Phantom Alt"),VLOOKUP(F591,ZPCS04!B:G,6,0))</f>
        <v>987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>SUMIF(AS:AS,AS591,AP:AP)=100</f>
        <v>1</v>
      </c>
      <c r="AZ591" s="6" t="b">
        <f>SUMIF(AS:AS,AS591,AE:AE)/COUNTIF(AS:AS,AS591)=AE591</f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>C591&amp;" | "&amp;F591</f>
        <v>90MB1BJ0-C1BAY0 | 11202-0144F000</v>
      </c>
      <c r="BE591" s="55" t="str">
        <f ca="1">C591&amp;" | "&amp;OFFSET($AF591,0,8-COUNTBLANK($AG591:$AN591))</f>
        <v>90MB1BJ0-C1BAY0 | 59MB1BJB-MB0A02S</v>
      </c>
      <c r="BF591" s="57">
        <f ca="1">IFERROR(VLOOKUP($BE591,$BD$5:$BF590,3,0)*$AE591,VLOOKUP($C591,Demanda!$A:$B,2,0)*$AE591)*IF(AT591="Phantom Alt",$BC591,TRUE)</f>
        <v>1000</v>
      </c>
      <c r="BG591" s="57">
        <f ca="1">BF591*(AP591/100)</f>
        <v>0</v>
      </c>
      <c r="BH591" s="57">
        <f>SUMIF(Invoice!A:A,F591,Invoice!B:B)</f>
        <v>0</v>
      </c>
      <c r="BI591" s="57">
        <f ca="1">SUMIF(AS:AS,AS591,BG:BG)</f>
        <v>1000</v>
      </c>
      <c r="BJ591" s="57">
        <f ca="1">MIN((BI591-SUMIF($AS$5:AS590,AS591,$BJ$5:BJ590)),MAX(0,BH591-SUMIF($F$5:F590,F591,$BJ$5:BJ590)))</f>
        <v>0</v>
      </c>
      <c r="BK591" s="57">
        <f ca="1">(-SUMIF(AS:AS,AS591,BG:BG)+SUMIF(AS:AS,AS591,BJ:BJ))*(AP591=100)*AR591</f>
        <v>0</v>
      </c>
      <c r="BL591" s="57">
        <f ca="1">MAX(0,SUMIF(Invoice!A:A,F591,Invoice!B:B)-SUMIF(F:F,F591,BJ:BJ))*(COUNTIF(F:F,F591)=COUNTIF($F$5:F591,F591))</f>
        <v>0</v>
      </c>
    </row>
    <row r="592" spans="1:64" hidden="1">
      <c r="A592" s="43">
        <v>591</v>
      </c>
      <c r="B592" s="13" t="s">
        <v>147</v>
      </c>
      <c r="C592" s="13" t="s">
        <v>146</v>
      </c>
      <c r="D592" s="13">
        <v>2</v>
      </c>
      <c r="E592" s="13">
        <v>2050</v>
      </c>
      <c r="F592" s="71" t="s">
        <v>1429</v>
      </c>
      <c r="G592" s="71" t="s">
        <v>1427</v>
      </c>
      <c r="H592" s="13" t="s">
        <v>1425</v>
      </c>
      <c r="I592" s="13" t="s">
        <v>55</v>
      </c>
      <c r="J592" s="28">
        <v>0</v>
      </c>
      <c r="K592" s="13" t="s">
        <v>150</v>
      </c>
      <c r="L592" s="13" t="s">
        <v>53</v>
      </c>
      <c r="M592" s="13">
        <v>1</v>
      </c>
      <c r="O592" s="13">
        <v>1</v>
      </c>
      <c r="P592" s="13">
        <v>2</v>
      </c>
      <c r="Q592" s="13">
        <v>4</v>
      </c>
      <c r="R592" s="13" t="s">
        <v>73</v>
      </c>
      <c r="S592" s="13" t="s">
        <v>73</v>
      </c>
      <c r="T592" s="13">
        <v>44901</v>
      </c>
      <c r="U592" s="13">
        <v>2958465</v>
      </c>
      <c r="V592" s="13" t="s">
        <v>282</v>
      </c>
      <c r="W592" s="13" t="s">
        <v>145</v>
      </c>
      <c r="Y592" s="13" t="s">
        <v>143</v>
      </c>
      <c r="Z592" s="13">
        <v>7589154</v>
      </c>
      <c r="AA592" s="13">
        <v>1072</v>
      </c>
      <c r="AB592" s="13">
        <v>536</v>
      </c>
      <c r="AE592" s="51">
        <f>M592/O592</f>
        <v>1</v>
      </c>
      <c r="AG592" s="6" t="str">
        <f>C592</f>
        <v>90MB1BJ0-C1BAY0</v>
      </c>
      <c r="AH592" s="6" t="str">
        <f>IF($D592&lt;=AH$4,"",IF(AND($D591=AH$4,$D592&gt;AH$4),$F591,AH591))</f>
        <v>59MB1BJB-MB0A02S</v>
      </c>
      <c r="AI592" s="6" t="str">
        <f>IF($D592&lt;=AI$4,"",IF(AND($D591=AI$4,$D592&gt;AI$4),$F591,AI591))</f>
        <v/>
      </c>
      <c r="AJ592" s="6" t="str">
        <f>IF($D592&lt;=AJ$4,"",IF(AND($D591=AJ$4,$D592&gt;AJ$4),$F591,AJ591))</f>
        <v/>
      </c>
      <c r="AK592" s="6" t="str">
        <f>IF($D592&lt;=AK$4,"",IF(AND($D591=AK$4,$D592&gt;AK$4),$F591,AK591))</f>
        <v/>
      </c>
      <c r="AL592" s="6" t="str">
        <f>IF($D592&lt;=AL$4,"",IF(AND($D591=AL$4,$D592&gt;AL$4),$F591,AL591))</f>
        <v/>
      </c>
      <c r="AM592" s="6" t="str">
        <f>IF($D592&lt;=AM$4,"",IF(AND($D591=AM$4,$D592&gt;AM$4),$F591,AM591))</f>
        <v/>
      </c>
      <c r="AN592" s="6" t="str">
        <f>IF($D592&lt;=AN$4,"",IF(AND($D591=AN$4,$D592&gt;AN$4),$F591,AN591))</f>
        <v/>
      </c>
      <c r="AO592" s="6" t="str">
        <f>CONCATENATE(AG592," | ",AH592," | ",AI592," | ",AJ592," | ",AK592," | ",AL592," | ",AM592," | ",AN592)</f>
        <v xml:space="preserve">90MB1BJ0-C1BAY0 | 59MB1BJB-MB0A02S |  |  |  |  |  | </v>
      </c>
      <c r="AP592" s="6">
        <f>IF(TRIM(H592)="",100,J592)</f>
        <v>0</v>
      </c>
      <c r="AQ592" s="4"/>
      <c r="AR592" s="6" t="b">
        <f>NOT(TRIM(W592)&lt;&gt;"F")</f>
        <v>1</v>
      </c>
      <c r="AS592" s="6" t="str">
        <f>$B592&amp;" | "&amp;$AO592&amp;" | "&amp;IF(TRIM(H592)="","uniq"&amp;ROW(),TRIM(H592))</f>
        <v>461E | 90MB1BJ0-C1BAY0 | 59MB1BJB-MB0A02S |  |  |  |  |  |  | K5</v>
      </c>
      <c r="AT592" s="63">
        <f>IF(NOT(AR592),IF(TRIM($H592)="","Assembly","Phantom Alt"),VLOOKUP(F592,ZPCS04!B:G,6,0))</f>
        <v>987</v>
      </c>
      <c r="AU592" s="7"/>
      <c r="AV592" s="38">
        <f ca="1">IF(TRIM($W592)="F",OFFSET($A$5,MATCH($AS592,$AS$5:$AS592,0)-1,0),$A592)</f>
        <v>592</v>
      </c>
      <c r="AW592" s="38">
        <f ca="1">IFERROR(OFFSET(ZPCS04!$A$1,MATCH(F592,ZPCS04!B:B,0)-1,0),100)</f>
        <v>2</v>
      </c>
      <c r="AX592" s="7"/>
      <c r="AY592" s="6" t="b">
        <f>SUMIF(AS:AS,AS592,AP:AP)=100</f>
        <v>1</v>
      </c>
      <c r="AZ592" s="6" t="b">
        <f>SUMIF(AS:AS,AS592,AE:AE)/COUNTIF(AS:AS,AS592)=AE592</f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>C592&amp;" | "&amp;F592</f>
        <v>90MB1BJ0-C1BAY0 | 11202-0144K000</v>
      </c>
      <c r="BE592" s="55" t="str">
        <f ca="1">C592&amp;" | "&amp;OFFSET($AF592,0,8-COUNTBLANK($AG592:$AN592))</f>
        <v>90MB1BJ0-C1BAY0 | 59MB1BJB-MB0A02S</v>
      </c>
      <c r="BF592" s="57">
        <f ca="1">IFERROR(VLOOKUP($BE592,$BD$5:$BF591,3,0)*$AE592,VLOOKUP($C592,Demanda!$A:$B,2,0)*$AE592)*IF(AT592="Phantom Alt",$BC592,TRUE)</f>
        <v>1000</v>
      </c>
      <c r="BG592" s="57">
        <f ca="1">BF592*(AP592/100)</f>
        <v>0</v>
      </c>
      <c r="BH592" s="57">
        <f>SUMIF(Invoice!A:A,F592,Invoice!B:B)</f>
        <v>0</v>
      </c>
      <c r="BI592" s="57">
        <f ca="1">SUMIF(AS:AS,AS592,BG:BG)</f>
        <v>1000</v>
      </c>
      <c r="BJ592" s="57">
        <f ca="1">MIN((BI592-SUMIF($AS$5:AS591,AS592,$BJ$5:BJ591)),MAX(0,BH592-SUMIF($F$5:F591,F592,$BJ$5:BJ591)))</f>
        <v>0</v>
      </c>
      <c r="BK592" s="57">
        <f ca="1">(-SUMIF(AS:AS,AS592,BG:BG)+SUMIF(AS:AS,AS592,BJ:BJ))*(AP592=100)*AR592</f>
        <v>0</v>
      </c>
      <c r="BL592" s="57">
        <f ca="1">MAX(0,SUMIF(Invoice!A:A,F592,Invoice!B:B)-SUMIF(F:F,F592,BJ:BJ))*(COUNTIF(F:F,F592)=COUNTIF($F$5:F592,F592))</f>
        <v>0</v>
      </c>
    </row>
    <row r="593" spans="1:64" hidden="1">
      <c r="A593" s="43">
        <v>595</v>
      </c>
      <c r="B593" s="13" t="s">
        <v>147</v>
      </c>
      <c r="C593" s="13" t="s">
        <v>146</v>
      </c>
      <c r="D593" s="13">
        <v>2</v>
      </c>
      <c r="E593" s="13">
        <v>2060</v>
      </c>
      <c r="F593" s="71" t="s">
        <v>1437</v>
      </c>
      <c r="G593" s="71" t="s">
        <v>1438</v>
      </c>
      <c r="H593" s="13" t="s">
        <v>1434</v>
      </c>
      <c r="I593" s="13" t="s">
        <v>54</v>
      </c>
      <c r="J593" s="28">
        <v>100</v>
      </c>
      <c r="K593" s="13" t="s">
        <v>150</v>
      </c>
      <c r="L593" s="13" t="s">
        <v>53</v>
      </c>
      <c r="M593" s="13">
        <v>1</v>
      </c>
      <c r="N593" s="13">
        <v>1</v>
      </c>
      <c r="O593" s="13">
        <v>1</v>
      </c>
      <c r="P593" s="13">
        <v>2</v>
      </c>
      <c r="Q593" s="13">
        <v>1</v>
      </c>
      <c r="R593" s="13" t="s">
        <v>73</v>
      </c>
      <c r="S593" s="13" t="s">
        <v>73</v>
      </c>
      <c r="T593" s="13">
        <v>44901</v>
      </c>
      <c r="U593" s="13">
        <v>2958465</v>
      </c>
      <c r="V593" s="13" t="s">
        <v>282</v>
      </c>
      <c r="W593" s="13" t="s">
        <v>145</v>
      </c>
      <c r="Y593" s="13" t="s">
        <v>143</v>
      </c>
      <c r="Z593" s="13">
        <v>7589154</v>
      </c>
      <c r="AA593" s="13">
        <v>1074</v>
      </c>
      <c r="AB593" s="13">
        <v>537</v>
      </c>
      <c r="AE593" s="51">
        <f>M593/O593</f>
        <v>1</v>
      </c>
      <c r="AG593" s="6" t="str">
        <f>C593</f>
        <v>90MB1BJ0-C1BAY0</v>
      </c>
      <c r="AH593" s="6" t="str">
        <f>IF($D593&lt;=AH$4,"",IF(AND($D592=AH$4,$D593&gt;AH$4),$F592,AH592))</f>
        <v>59MB1BJB-MB0A02S</v>
      </c>
      <c r="AI593" s="6" t="str">
        <f>IF($D593&lt;=AI$4,"",IF(AND($D592=AI$4,$D593&gt;AI$4),$F592,AI592))</f>
        <v/>
      </c>
      <c r="AJ593" s="6" t="str">
        <f>IF($D593&lt;=AJ$4,"",IF(AND($D592=AJ$4,$D593&gt;AJ$4),$F592,AJ592))</f>
        <v/>
      </c>
      <c r="AK593" s="6" t="str">
        <f>IF($D593&lt;=AK$4,"",IF(AND($D592=AK$4,$D593&gt;AK$4),$F592,AK592))</f>
        <v/>
      </c>
      <c r="AL593" s="6" t="str">
        <f>IF($D593&lt;=AL$4,"",IF(AND($D592=AL$4,$D593&gt;AL$4),$F592,AL592))</f>
        <v/>
      </c>
      <c r="AM593" s="6" t="str">
        <f>IF($D593&lt;=AM$4,"",IF(AND($D592=AM$4,$D593&gt;AM$4),$F592,AM592))</f>
        <v/>
      </c>
      <c r="AN593" s="6" t="str">
        <f>IF($D593&lt;=AN$4,"",IF(AND($D592=AN$4,$D593&gt;AN$4),$F592,AN592))</f>
        <v/>
      </c>
      <c r="AO593" s="6" t="str">
        <f>CONCATENATE(AG593," | ",AH593," | ",AI593," | ",AJ593," | ",AK593," | ",AL593," | ",AM593," | ",AN593)</f>
        <v xml:space="preserve">90MB1BJ0-C1BAY0 | 59MB1BJB-MB0A02S |  |  |  |  |  | </v>
      </c>
      <c r="AP593" s="6">
        <f>IF(TRIM(H593)="",100,J593)</f>
        <v>100</v>
      </c>
      <c r="AQ593" s="4"/>
      <c r="AR593" s="6" t="b">
        <f>NOT(TRIM(W593)&lt;&gt;"F")</f>
        <v>1</v>
      </c>
      <c r="AS593" s="6" t="str">
        <f>$B593&amp;" | "&amp;$AO593&amp;" | "&amp;IF(TRIM(H593)="","uniq"&amp;ROW(),TRIM(H593))</f>
        <v>461E | 90MB1BJ0-C1BAY0 | 59MB1BJB-MB0A02S |  |  |  |  |  |  | K6</v>
      </c>
      <c r="AT593" s="63">
        <f>IF(NOT(AR593),IF(TRIM($H593)="","Assembly","Phantom Alt"),VLOOKUP(F593,ZPCS04!B:G,6,0))</f>
        <v>1279</v>
      </c>
      <c r="AU593" s="7"/>
      <c r="AV593" s="38">
        <f ca="1">IF(TRIM($W593)="F",OFFSET($A$5,MATCH($AS593,$AS$5:$AS593,0)-1,0),$A593)</f>
        <v>595</v>
      </c>
      <c r="AW593" s="38">
        <f ca="1">IFERROR(OFFSET(ZPCS04!$A$1,MATCH(F593,ZPCS04!B:B,0)-1,0),100)</f>
        <v>1.99999985</v>
      </c>
      <c r="AX593" s="7"/>
      <c r="AY593" s="6" t="b">
        <f>SUMIF(AS:AS,AS593,AP:AP)=100</f>
        <v>1</v>
      </c>
      <c r="AZ593" s="6" t="b">
        <f>SUMIF(AS:AS,AS593,AE:AE)/COUNTIF(AS:AS,AS593)=AE593</f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>C593&amp;" | "&amp;F593</f>
        <v>90MB1BJ0-C1BAY0 | 11202-0230Q000</v>
      </c>
      <c r="BE593" s="55" t="str">
        <f ca="1">C593&amp;" | "&amp;OFFSET($AF593,0,8-COUNTBLANK($AG593:$AN593))</f>
        <v>90MB1BJ0-C1BAY0 | 59MB1BJB-MB0A02S</v>
      </c>
      <c r="BF593" s="57">
        <f ca="1">IFERROR(VLOOKUP($BE593,$BD$5:$BF592,3,0)*$AE593,VLOOKUP($C593,Demanda!$A:$B,2,0)*$AE593)*IF(AT593="Phantom Alt",$BC593,TRUE)</f>
        <v>1000</v>
      </c>
      <c r="BG593" s="57">
        <f ca="1">BF593*(AP593/100)</f>
        <v>1000</v>
      </c>
      <c r="BH593" s="57">
        <f>SUMIF(Invoice!A:A,F593,Invoice!B:B)</f>
        <v>15000</v>
      </c>
      <c r="BI593" s="57">
        <f ca="1">SUMIF(AS:AS,AS593,BG:BG)</f>
        <v>1000</v>
      </c>
      <c r="BJ593" s="57">
        <f ca="1">MIN((BI593-SUMIF($AS$5:AS592,AS593,$BJ$5:BJ592)),MAX(0,BH593-SUMIF($F$5:F592,F593,$BJ$5:BJ592)))</f>
        <v>1000</v>
      </c>
      <c r="BK593" s="57">
        <f ca="1">(-SUMIF(AS:AS,AS593,BG:BG)+SUMIF(AS:AS,AS593,BJ:BJ))*(AP593=100)*AR593</f>
        <v>0</v>
      </c>
      <c r="BL593" s="57">
        <f ca="1">MAX(0,SUMIF(Invoice!A:A,F593,Invoice!B:B)-SUMIF(F:F,F593,BJ:BJ))*(COUNTIF(F:F,F593)=COUNTIF($F$5:F593,F593))</f>
        <v>14000</v>
      </c>
    </row>
    <row r="594" spans="1:64" hidden="1">
      <c r="A594" s="43">
        <v>593</v>
      </c>
      <c r="B594" s="13" t="s">
        <v>147</v>
      </c>
      <c r="C594" s="13" t="s">
        <v>146</v>
      </c>
      <c r="D594" s="13">
        <v>2</v>
      </c>
      <c r="E594" s="13">
        <v>2060</v>
      </c>
      <c r="F594" s="71" t="s">
        <v>1432</v>
      </c>
      <c r="G594" s="71" t="s">
        <v>1433</v>
      </c>
      <c r="H594" s="13" t="s">
        <v>1434</v>
      </c>
      <c r="I594" s="13" t="s">
        <v>55</v>
      </c>
      <c r="J594" s="28">
        <v>0</v>
      </c>
      <c r="K594" s="13" t="s">
        <v>150</v>
      </c>
      <c r="L594" s="13" t="s">
        <v>53</v>
      </c>
      <c r="M594" s="13">
        <v>1</v>
      </c>
      <c r="O594" s="13">
        <v>1</v>
      </c>
      <c r="P594" s="13">
        <v>2</v>
      </c>
      <c r="Q594" s="13">
        <v>2</v>
      </c>
      <c r="R594" s="13" t="s">
        <v>73</v>
      </c>
      <c r="S594" s="13" t="s">
        <v>73</v>
      </c>
      <c r="T594" s="13">
        <v>44901</v>
      </c>
      <c r="U594" s="13">
        <v>2958465</v>
      </c>
      <c r="V594" s="13" t="s">
        <v>282</v>
      </c>
      <c r="W594" s="13" t="s">
        <v>145</v>
      </c>
      <c r="Y594" s="13" t="s">
        <v>143</v>
      </c>
      <c r="Z594" s="13">
        <v>7589154</v>
      </c>
      <c r="AA594" s="13">
        <v>1076</v>
      </c>
      <c r="AB594" s="13">
        <v>538</v>
      </c>
      <c r="AE594" s="51">
        <f>M594/O594</f>
        <v>1</v>
      </c>
      <c r="AG594" s="6" t="str">
        <f>C594</f>
        <v>90MB1BJ0-C1BAY0</v>
      </c>
      <c r="AH594" s="6" t="str">
        <f>IF($D594&lt;=AH$4,"",IF(AND($D593=AH$4,$D594&gt;AH$4),$F593,AH593))</f>
        <v>59MB1BJB-MB0A02S</v>
      </c>
      <c r="AI594" s="6" t="str">
        <f>IF($D594&lt;=AI$4,"",IF(AND($D593=AI$4,$D594&gt;AI$4),$F593,AI593))</f>
        <v/>
      </c>
      <c r="AJ594" s="6" t="str">
        <f>IF($D594&lt;=AJ$4,"",IF(AND($D593=AJ$4,$D594&gt;AJ$4),$F593,AJ593))</f>
        <v/>
      </c>
      <c r="AK594" s="6" t="str">
        <f>IF($D594&lt;=AK$4,"",IF(AND($D593=AK$4,$D594&gt;AK$4),$F593,AK593))</f>
        <v/>
      </c>
      <c r="AL594" s="6" t="str">
        <f>IF($D594&lt;=AL$4,"",IF(AND($D593=AL$4,$D594&gt;AL$4),$F593,AL593))</f>
        <v/>
      </c>
      <c r="AM594" s="6" t="str">
        <f>IF($D594&lt;=AM$4,"",IF(AND($D593=AM$4,$D594&gt;AM$4),$F593,AM593))</f>
        <v/>
      </c>
      <c r="AN594" s="6" t="str">
        <f>IF($D594&lt;=AN$4,"",IF(AND($D593=AN$4,$D594&gt;AN$4),$F593,AN593))</f>
        <v/>
      </c>
      <c r="AO594" s="6" t="str">
        <f>CONCATENATE(AG594," | ",AH594," | ",AI594," | ",AJ594," | ",AK594," | ",AL594," | ",AM594," | ",AN594)</f>
        <v xml:space="preserve">90MB1BJ0-C1BAY0 | 59MB1BJB-MB0A02S |  |  |  |  |  | </v>
      </c>
      <c r="AP594" s="6">
        <f>IF(TRIM(H594)="",100,J594)</f>
        <v>0</v>
      </c>
      <c r="AQ594" s="4"/>
      <c r="AR594" s="6" t="b">
        <f>NOT(TRIM(W594)&lt;&gt;"F")</f>
        <v>1</v>
      </c>
      <c r="AS594" s="6" t="str">
        <f>$B594&amp;" | "&amp;$AO594&amp;" | "&amp;IF(TRIM(H594)="","uniq"&amp;ROW(),TRIM(H594))</f>
        <v>461E | 90MB1BJ0-C1BAY0 | 59MB1BJB-MB0A02S |  |  |  |  |  |  | K6</v>
      </c>
      <c r="AT594" s="63">
        <f>IF(NOT(AR594),IF(TRIM($H594)="","Assembly","Phantom Alt"),VLOOKUP(F594,ZPCS04!B:G,6,0))</f>
        <v>1279</v>
      </c>
      <c r="AU594" s="7"/>
      <c r="AV594" s="38">
        <f ca="1">IF(TRIM($W594)="F",OFFSET($A$5,MATCH($AS594,$AS$5:$AS594,0)-1,0),$A594)</f>
        <v>595</v>
      </c>
      <c r="AW594" s="38">
        <f ca="1">IFERROR(OFFSET(ZPCS04!$A$1,MATCH(F594,ZPCS04!B:B,0)-1,0),100)</f>
        <v>2</v>
      </c>
      <c r="AX594" s="7"/>
      <c r="AY594" s="6" t="b">
        <f>SUMIF(AS:AS,AS594,AP:AP)=100</f>
        <v>1</v>
      </c>
      <c r="AZ594" s="6" t="b">
        <f>SUMIF(AS:AS,AS594,AE:AE)/COUNTIF(AS:AS,AS594)=AE594</f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>C594&amp;" | "&amp;F594</f>
        <v>90MB1BJ0-C1BAY0 | 11202-02307000</v>
      </c>
      <c r="BE594" s="55" t="str">
        <f ca="1">C594&amp;" | "&amp;OFFSET($AF594,0,8-COUNTBLANK($AG594:$AN594))</f>
        <v>90MB1BJ0-C1BAY0 | 59MB1BJB-MB0A02S</v>
      </c>
      <c r="BF594" s="57">
        <f ca="1">IFERROR(VLOOKUP($BE594,$BD$5:$BF593,3,0)*$AE594,VLOOKUP($C594,Demanda!$A:$B,2,0)*$AE594)*IF(AT594="Phantom Alt",$BC594,TRUE)</f>
        <v>1000</v>
      </c>
      <c r="BG594" s="57">
        <f ca="1">BF594*(AP594/100)</f>
        <v>0</v>
      </c>
      <c r="BH594" s="57">
        <f>SUMIF(Invoice!A:A,F594,Invoice!B:B)</f>
        <v>0</v>
      </c>
      <c r="BI594" s="57">
        <f ca="1">SUMIF(AS:AS,AS594,BG:BG)</f>
        <v>1000</v>
      </c>
      <c r="BJ594" s="57">
        <f ca="1">MIN((BI594-SUMIF($AS$5:AS593,AS594,$BJ$5:BJ593)),MAX(0,BH594-SUMIF($F$5:F593,F594,$BJ$5:BJ593)))</f>
        <v>0</v>
      </c>
      <c r="BK594" s="57">
        <f ca="1">(-SUMIF(AS:AS,AS594,BG:BG)+SUMIF(AS:AS,AS594,BJ:BJ))*(AP594=100)*AR594</f>
        <v>0</v>
      </c>
      <c r="BL594" s="57">
        <f ca="1">MAX(0,SUMIF(Invoice!A:A,F594,Invoice!B:B)-SUMIF(F:F,F594,BJ:BJ))*(COUNTIF(F:F,F594)=COUNTIF($F$5:F594,F594))</f>
        <v>0</v>
      </c>
    </row>
    <row r="595" spans="1:64" hidden="1">
      <c r="A595" s="43">
        <v>594</v>
      </c>
      <c r="B595" s="13" t="s">
        <v>147</v>
      </c>
      <c r="C595" s="13" t="s">
        <v>146</v>
      </c>
      <c r="D595" s="13">
        <v>2</v>
      </c>
      <c r="E595" s="13">
        <v>2060</v>
      </c>
      <c r="F595" s="71" t="s">
        <v>1435</v>
      </c>
      <c r="G595" s="71" t="s">
        <v>1436</v>
      </c>
      <c r="H595" s="13" t="s">
        <v>1434</v>
      </c>
      <c r="I595" s="13" t="s">
        <v>55</v>
      </c>
      <c r="J595" s="28">
        <v>0</v>
      </c>
      <c r="K595" s="13" t="s">
        <v>150</v>
      </c>
      <c r="L595" s="13" t="s">
        <v>53</v>
      </c>
      <c r="M595" s="13">
        <v>1</v>
      </c>
      <c r="O595" s="13">
        <v>1</v>
      </c>
      <c r="P595" s="13">
        <v>2</v>
      </c>
      <c r="Q595" s="13">
        <v>3</v>
      </c>
      <c r="R595" s="13" t="s">
        <v>73</v>
      </c>
      <c r="S595" s="13" t="s">
        <v>73</v>
      </c>
      <c r="T595" s="13">
        <v>44901</v>
      </c>
      <c r="U595" s="13">
        <v>2958465</v>
      </c>
      <c r="V595" s="13" t="s">
        <v>282</v>
      </c>
      <c r="W595" s="13" t="s">
        <v>145</v>
      </c>
      <c r="Y595" s="13" t="s">
        <v>143</v>
      </c>
      <c r="Z595" s="13">
        <v>7589154</v>
      </c>
      <c r="AA595" s="13">
        <v>1078</v>
      </c>
      <c r="AB595" s="13">
        <v>539</v>
      </c>
      <c r="AE595" s="51">
        <f>M595/O595</f>
        <v>1</v>
      </c>
      <c r="AG595" s="6" t="str">
        <f>C595</f>
        <v>90MB1BJ0-C1BAY0</v>
      </c>
      <c r="AH595" s="6" t="str">
        <f>IF($D595&lt;=AH$4,"",IF(AND($D594=AH$4,$D595&gt;AH$4),$F594,AH594))</f>
        <v>59MB1BJB-MB0A02S</v>
      </c>
      <c r="AI595" s="6" t="str">
        <f>IF($D595&lt;=AI$4,"",IF(AND($D594=AI$4,$D595&gt;AI$4),$F594,AI594))</f>
        <v/>
      </c>
      <c r="AJ595" s="6" t="str">
        <f>IF($D595&lt;=AJ$4,"",IF(AND($D594=AJ$4,$D595&gt;AJ$4),$F594,AJ594))</f>
        <v/>
      </c>
      <c r="AK595" s="6" t="str">
        <f>IF($D595&lt;=AK$4,"",IF(AND($D594=AK$4,$D595&gt;AK$4),$F594,AK594))</f>
        <v/>
      </c>
      <c r="AL595" s="6" t="str">
        <f>IF($D595&lt;=AL$4,"",IF(AND($D594=AL$4,$D595&gt;AL$4),$F594,AL594))</f>
        <v/>
      </c>
      <c r="AM595" s="6" t="str">
        <f>IF($D595&lt;=AM$4,"",IF(AND($D594=AM$4,$D595&gt;AM$4),$F594,AM594))</f>
        <v/>
      </c>
      <c r="AN595" s="6" t="str">
        <f>IF($D595&lt;=AN$4,"",IF(AND($D594=AN$4,$D595&gt;AN$4),$F594,AN594))</f>
        <v/>
      </c>
      <c r="AO595" s="6" t="str">
        <f>CONCATENATE(AG595," | ",AH595," | ",AI595," | ",AJ595," | ",AK595," | ",AL595," | ",AM595," | ",AN595)</f>
        <v xml:space="preserve">90MB1BJ0-C1BAY0 | 59MB1BJB-MB0A02S |  |  |  |  |  | </v>
      </c>
      <c r="AP595" s="6">
        <f>IF(TRIM(H595)="",100,J595)</f>
        <v>0</v>
      </c>
      <c r="AQ595" s="4"/>
      <c r="AR595" s="6" t="b">
        <f>NOT(TRIM(W595)&lt;&gt;"F")</f>
        <v>1</v>
      </c>
      <c r="AS595" s="6" t="str">
        <f>$B595&amp;" | "&amp;$AO595&amp;" | "&amp;IF(TRIM(H595)="","uniq"&amp;ROW(),TRIM(H595))</f>
        <v>461E | 90MB1BJ0-C1BAY0 | 59MB1BJB-MB0A02S |  |  |  |  |  |  | K6</v>
      </c>
      <c r="AT595" s="63">
        <f>IF(NOT(AR595),IF(TRIM($H595)="","Assembly","Phantom Alt"),VLOOKUP(F595,ZPCS04!B:G,6,0))</f>
        <v>1279</v>
      </c>
      <c r="AU595" s="7"/>
      <c r="AV595" s="38">
        <f ca="1">IF(TRIM($W595)="F",OFFSET($A$5,MATCH($AS595,$AS$5:$AS595,0)-1,0),$A595)</f>
        <v>595</v>
      </c>
      <c r="AW595" s="38">
        <f ca="1">IFERROR(OFFSET(ZPCS04!$A$1,MATCH(F595,ZPCS04!B:B,0)-1,0),100)</f>
        <v>2</v>
      </c>
      <c r="AX595" s="7"/>
      <c r="AY595" s="6" t="b">
        <f>SUMIF(AS:AS,AS595,AP:AP)=100</f>
        <v>1</v>
      </c>
      <c r="AZ595" s="6" t="b">
        <f>SUMIF(AS:AS,AS595,AE:AE)/COUNTIF(AS:AS,AS595)=AE595</f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>C595&amp;" | "&amp;F595</f>
        <v>90MB1BJ0-C1BAY0 | 11202-0230F000</v>
      </c>
      <c r="BE595" s="55" t="str">
        <f ca="1">C595&amp;" | "&amp;OFFSET($AF595,0,8-COUNTBLANK($AG595:$AN595))</f>
        <v>90MB1BJ0-C1BAY0 | 59MB1BJB-MB0A02S</v>
      </c>
      <c r="BF595" s="57">
        <f ca="1">IFERROR(VLOOKUP($BE595,$BD$5:$BF594,3,0)*$AE595,VLOOKUP($C595,Demanda!$A:$B,2,0)*$AE595)*IF(AT595="Phantom Alt",$BC595,TRUE)</f>
        <v>1000</v>
      </c>
      <c r="BG595" s="57">
        <f ca="1">BF595*(AP595/100)</f>
        <v>0</v>
      </c>
      <c r="BH595" s="57">
        <f>SUMIF(Invoice!A:A,F595,Invoice!B:B)</f>
        <v>0</v>
      </c>
      <c r="BI595" s="57">
        <f ca="1">SUMIF(AS:AS,AS595,BG:BG)</f>
        <v>1000</v>
      </c>
      <c r="BJ595" s="57">
        <f ca="1">MIN((BI595-SUMIF($AS$5:AS594,AS595,$BJ$5:BJ594)),MAX(0,BH595-SUMIF($F$5:F594,F595,$BJ$5:BJ594)))</f>
        <v>0</v>
      </c>
      <c r="BK595" s="57">
        <f ca="1">(-SUMIF(AS:AS,AS595,BG:BG)+SUMIF(AS:AS,AS595,BJ:BJ))*(AP595=100)*AR595</f>
        <v>0</v>
      </c>
      <c r="BL595" s="57">
        <f ca="1">MAX(0,SUMIF(Invoice!A:A,F595,Invoice!B:B)-SUMIF(F:F,F595,BJ:BJ))*(COUNTIF(F:F,F595)=COUNTIF($F$5:F595,F595))</f>
        <v>0</v>
      </c>
    </row>
    <row r="596" spans="1:64" hidden="1">
      <c r="A596" s="43">
        <v>596</v>
      </c>
      <c r="B596" s="13" t="s">
        <v>147</v>
      </c>
      <c r="C596" s="13" t="s">
        <v>146</v>
      </c>
      <c r="D596" s="13">
        <v>2</v>
      </c>
      <c r="E596" s="13">
        <v>2060</v>
      </c>
      <c r="F596" s="71" t="s">
        <v>1439</v>
      </c>
      <c r="G596" s="71" t="s">
        <v>1440</v>
      </c>
      <c r="H596" s="13" t="s">
        <v>1434</v>
      </c>
      <c r="I596" s="13" t="s">
        <v>55</v>
      </c>
      <c r="J596" s="28">
        <v>0</v>
      </c>
      <c r="K596" s="13" t="s">
        <v>150</v>
      </c>
      <c r="L596" s="13" t="s">
        <v>53</v>
      </c>
      <c r="M596" s="13">
        <v>1</v>
      </c>
      <c r="O596" s="13">
        <v>1</v>
      </c>
      <c r="P596" s="13">
        <v>2</v>
      </c>
      <c r="Q596" s="13">
        <v>4</v>
      </c>
      <c r="R596" s="13" t="s">
        <v>73</v>
      </c>
      <c r="S596" s="13" t="s">
        <v>73</v>
      </c>
      <c r="T596" s="13">
        <v>44901</v>
      </c>
      <c r="U596" s="13">
        <v>2958465</v>
      </c>
      <c r="V596" s="13" t="s">
        <v>282</v>
      </c>
      <c r="W596" s="13" t="s">
        <v>145</v>
      </c>
      <c r="Y596" s="13" t="s">
        <v>143</v>
      </c>
      <c r="Z596" s="13">
        <v>7589154</v>
      </c>
      <c r="AA596" s="13">
        <v>1080</v>
      </c>
      <c r="AB596" s="13">
        <v>540</v>
      </c>
      <c r="AE596" s="51">
        <f>M596/O596</f>
        <v>1</v>
      </c>
      <c r="AG596" s="6" t="str">
        <f>C596</f>
        <v>90MB1BJ0-C1BAY0</v>
      </c>
      <c r="AH596" s="6" t="str">
        <f>IF($D596&lt;=AH$4,"",IF(AND($D595=AH$4,$D596&gt;AH$4),$F595,AH595))</f>
        <v>59MB1BJB-MB0A02S</v>
      </c>
      <c r="AI596" s="6" t="str">
        <f>IF($D596&lt;=AI$4,"",IF(AND($D595=AI$4,$D596&gt;AI$4),$F595,AI595))</f>
        <v/>
      </c>
      <c r="AJ596" s="6" t="str">
        <f>IF($D596&lt;=AJ$4,"",IF(AND($D595=AJ$4,$D596&gt;AJ$4),$F595,AJ595))</f>
        <v/>
      </c>
      <c r="AK596" s="6" t="str">
        <f>IF($D596&lt;=AK$4,"",IF(AND($D595=AK$4,$D596&gt;AK$4),$F595,AK595))</f>
        <v/>
      </c>
      <c r="AL596" s="6" t="str">
        <f>IF($D596&lt;=AL$4,"",IF(AND($D595=AL$4,$D596&gt;AL$4),$F595,AL595))</f>
        <v/>
      </c>
      <c r="AM596" s="6" t="str">
        <f>IF($D596&lt;=AM$4,"",IF(AND($D595=AM$4,$D596&gt;AM$4),$F595,AM595))</f>
        <v/>
      </c>
      <c r="AN596" s="6" t="str">
        <f>IF($D596&lt;=AN$4,"",IF(AND($D595=AN$4,$D596&gt;AN$4),$F595,AN595))</f>
        <v/>
      </c>
      <c r="AO596" s="6" t="str">
        <f>CONCATENATE(AG596," | ",AH596," | ",AI596," | ",AJ596," | ",AK596," | ",AL596," | ",AM596," | ",AN596)</f>
        <v xml:space="preserve">90MB1BJ0-C1BAY0 | 59MB1BJB-MB0A02S |  |  |  |  |  | </v>
      </c>
      <c r="AP596" s="6">
        <f>IF(TRIM(H596)="",100,J596)</f>
        <v>0</v>
      </c>
      <c r="AQ596" s="4"/>
      <c r="AR596" s="6" t="b">
        <f>NOT(TRIM(W596)&lt;&gt;"F")</f>
        <v>1</v>
      </c>
      <c r="AS596" s="6" t="str">
        <f>$B596&amp;" | "&amp;$AO596&amp;" | "&amp;IF(TRIM(H596)="","uniq"&amp;ROW(),TRIM(H596))</f>
        <v>461E | 90MB1BJ0-C1BAY0 | 59MB1BJB-MB0A02S |  |  |  |  |  |  | K6</v>
      </c>
      <c r="AT596" s="63">
        <f>IF(NOT(AR596),IF(TRIM($H596)="","Assembly","Phantom Alt"),VLOOKUP(F596,ZPCS04!B:G,6,0))</f>
        <v>1279</v>
      </c>
      <c r="AU596" s="7"/>
      <c r="AV596" s="38">
        <f ca="1">IF(TRIM($W596)="F",OFFSET($A$5,MATCH($AS596,$AS$5:$AS596,0)-1,0),$A596)</f>
        <v>595</v>
      </c>
      <c r="AW596" s="38">
        <f ca="1">IFERROR(OFFSET(ZPCS04!$A$1,MATCH(F596,ZPCS04!B:B,0)-1,0),100)</f>
        <v>2</v>
      </c>
      <c r="AX596" s="7"/>
      <c r="AY596" s="6" t="b">
        <f>SUMIF(AS:AS,AS596,AP:AP)=100</f>
        <v>1</v>
      </c>
      <c r="AZ596" s="6" t="b">
        <f>SUMIF(AS:AS,AS596,AE:AE)/COUNTIF(AS:AS,AS596)=AE596</f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>C596&amp;" | "&amp;F596</f>
        <v>90MB1BJ0-C1BAY0 | 11G231012004390</v>
      </c>
      <c r="BE596" s="55" t="str">
        <f ca="1">C596&amp;" | "&amp;OFFSET($AF596,0,8-COUNTBLANK($AG596:$AN596))</f>
        <v>90MB1BJ0-C1BAY0 | 59MB1BJB-MB0A02S</v>
      </c>
      <c r="BF596" s="57">
        <f ca="1">IFERROR(VLOOKUP($BE596,$BD$5:$BF595,3,0)*$AE596,VLOOKUP($C596,Demanda!$A:$B,2,0)*$AE596)*IF(AT596="Phantom Alt",$BC596,TRUE)</f>
        <v>1000</v>
      </c>
      <c r="BG596" s="57">
        <f ca="1">BF596*(AP596/100)</f>
        <v>0</v>
      </c>
      <c r="BH596" s="57">
        <f>SUMIF(Invoice!A:A,F596,Invoice!B:B)</f>
        <v>0</v>
      </c>
      <c r="BI596" s="57">
        <f ca="1">SUMIF(AS:AS,AS596,BG:BG)</f>
        <v>1000</v>
      </c>
      <c r="BJ596" s="57">
        <f ca="1">MIN((BI596-SUMIF($AS$5:AS595,AS596,$BJ$5:BJ595)),MAX(0,BH596-SUMIF($F$5:F595,F596,$BJ$5:BJ595)))</f>
        <v>0</v>
      </c>
      <c r="BK596" s="57">
        <f ca="1">(-SUMIF(AS:AS,AS596,BG:BG)+SUMIF(AS:AS,AS596,BJ:BJ))*(AP596=100)*AR596</f>
        <v>0</v>
      </c>
      <c r="BL596" s="57">
        <f ca="1">MAX(0,SUMIF(Invoice!A:A,F596,Invoice!B:B)-SUMIF(F:F,F596,BJ:BJ))*(COUNTIF(F:F,F596)=COUNTIF($F$5:F596,F596))</f>
        <v>0</v>
      </c>
    </row>
    <row r="597" spans="1:64" hidden="1">
      <c r="A597" s="43">
        <v>600</v>
      </c>
      <c r="B597" s="13" t="s">
        <v>147</v>
      </c>
      <c r="C597" s="13" t="s">
        <v>146</v>
      </c>
      <c r="D597" s="13">
        <v>2</v>
      </c>
      <c r="E597" s="13">
        <v>2070</v>
      </c>
      <c r="F597" s="71" t="s">
        <v>1448</v>
      </c>
      <c r="G597" s="71" t="s">
        <v>1449</v>
      </c>
      <c r="H597" s="13" t="s">
        <v>1443</v>
      </c>
      <c r="I597" s="13" t="s">
        <v>54</v>
      </c>
      <c r="J597" s="28">
        <v>100</v>
      </c>
      <c r="K597" s="13" t="s">
        <v>150</v>
      </c>
      <c r="L597" s="13" t="s">
        <v>53</v>
      </c>
      <c r="M597" s="13">
        <v>72</v>
      </c>
      <c r="N597" s="13">
        <v>72</v>
      </c>
      <c r="O597" s="13">
        <v>1</v>
      </c>
      <c r="P597" s="13">
        <v>2</v>
      </c>
      <c r="Q597" s="13">
        <v>1</v>
      </c>
      <c r="R597" s="13" t="s">
        <v>73</v>
      </c>
      <c r="S597" s="13" t="s">
        <v>73</v>
      </c>
      <c r="T597" s="13">
        <v>44901</v>
      </c>
      <c r="U597" s="13">
        <v>2958465</v>
      </c>
      <c r="V597" s="13" t="s">
        <v>282</v>
      </c>
      <c r="W597" s="13" t="s">
        <v>145</v>
      </c>
      <c r="Y597" s="13" t="s">
        <v>143</v>
      </c>
      <c r="Z597" s="13">
        <v>7589154</v>
      </c>
      <c r="AA597" s="13">
        <v>1082</v>
      </c>
      <c r="AB597" s="13">
        <v>541</v>
      </c>
      <c r="AE597" s="51">
        <f>M597/O597</f>
        <v>72</v>
      </c>
      <c r="AG597" s="6" t="str">
        <f>C597</f>
        <v>90MB1BJ0-C1BAY0</v>
      </c>
      <c r="AH597" s="6" t="str">
        <f>IF($D597&lt;=AH$4,"",IF(AND($D596=AH$4,$D597&gt;AH$4),$F596,AH596))</f>
        <v>59MB1BJB-MB0A02S</v>
      </c>
      <c r="AI597" s="6" t="str">
        <f>IF($D597&lt;=AI$4,"",IF(AND($D596=AI$4,$D597&gt;AI$4),$F596,AI596))</f>
        <v/>
      </c>
      <c r="AJ597" s="6" t="str">
        <f>IF($D597&lt;=AJ$4,"",IF(AND($D596=AJ$4,$D597&gt;AJ$4),$F596,AJ596))</f>
        <v/>
      </c>
      <c r="AK597" s="6" t="str">
        <f>IF($D597&lt;=AK$4,"",IF(AND($D596=AK$4,$D597&gt;AK$4),$F596,AK596))</f>
        <v/>
      </c>
      <c r="AL597" s="6" t="str">
        <f>IF($D597&lt;=AL$4,"",IF(AND($D596=AL$4,$D597&gt;AL$4),$F596,AL596))</f>
        <v/>
      </c>
      <c r="AM597" s="6" t="str">
        <f>IF($D597&lt;=AM$4,"",IF(AND($D596=AM$4,$D597&gt;AM$4),$F596,AM596))</f>
        <v/>
      </c>
      <c r="AN597" s="6" t="str">
        <f>IF($D597&lt;=AN$4,"",IF(AND($D596=AN$4,$D597&gt;AN$4),$F596,AN596))</f>
        <v/>
      </c>
      <c r="AO597" s="6" t="str">
        <f>CONCATENATE(AG597," | ",AH597," | ",AI597," | ",AJ597," | ",AK597," | ",AL597," | ",AM597," | ",AN597)</f>
        <v xml:space="preserve">90MB1BJ0-C1BAY0 | 59MB1BJB-MB0A02S |  |  |  |  |  | </v>
      </c>
      <c r="AP597" s="6">
        <f>IF(TRIM(H597)="",100,J597)</f>
        <v>100</v>
      </c>
      <c r="AQ597" s="4"/>
      <c r="AR597" s="6" t="b">
        <f>NOT(TRIM(W597)&lt;&gt;"F")</f>
        <v>1</v>
      </c>
      <c r="AS597" s="6" t="str">
        <f>$B597&amp;" | "&amp;$AO597&amp;" | "&amp;IF(TRIM(H597)="","uniq"&amp;ROW(),TRIM(H597))</f>
        <v>461E | 90MB1BJ0-C1BAY0 | 59MB1BJB-MB0A02S |  |  |  |  |  |  | K7</v>
      </c>
      <c r="AT597" s="63">
        <f>IF(NOT(AR597),IF(TRIM($H597)="","Assembly","Phantom Alt"),VLOOKUP(F597,ZPCS04!B:G,6,0))</f>
        <v>1231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1.9999992500000001</v>
      </c>
      <c r="AX597" s="7"/>
      <c r="AY597" s="6" t="b">
        <f>SUMIF(AS:AS,AS597,AP:AP)=100</f>
        <v>1</v>
      </c>
      <c r="AZ597" s="6" t="b">
        <f>SUMIF(AS:AS,AS597,AE:AE)/COUNTIF(AS:AS,AS597)=AE597</f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>C597&amp;" | "&amp;F597</f>
        <v>90MB1BJ0-C1BAY0 | 11202-0291Q000</v>
      </c>
      <c r="BE597" s="55" t="str">
        <f ca="1">C597&amp;" | "&amp;OFFSET($AF597,0,8-COUNTBLANK($AG597:$AN597))</f>
        <v>90MB1BJ0-C1BAY0 | 59MB1BJB-MB0A02S</v>
      </c>
      <c r="BF597" s="57">
        <f ca="1">IFERROR(VLOOKUP($BE597,$BD$5:$BF596,3,0)*$AE597,VLOOKUP($C597,Demanda!$A:$B,2,0)*$AE597)*IF(AT597="Phantom Alt",$BC597,TRUE)</f>
        <v>72000</v>
      </c>
      <c r="BG597" s="57">
        <f ca="1">BF597*(AP597/100)</f>
        <v>72000</v>
      </c>
      <c r="BH597" s="57">
        <f>SUMIF(Invoice!A:A,F597,Invoice!B:B)</f>
        <v>75000</v>
      </c>
      <c r="BI597" s="57">
        <f ca="1">SUMIF(AS:AS,AS597,BG:BG)</f>
        <v>72000</v>
      </c>
      <c r="BJ597" s="57">
        <f ca="1">MIN((BI597-SUMIF($AS$5:AS596,AS597,$BJ$5:BJ596)),MAX(0,BH597-SUMIF($F$5:F596,F597,$BJ$5:BJ596)))</f>
        <v>72000</v>
      </c>
      <c r="BK597" s="57">
        <f ca="1">(-SUMIF(AS:AS,AS597,BG:BG)+SUMIF(AS:AS,AS597,BJ:BJ))*(AP597=100)*AR597</f>
        <v>0</v>
      </c>
      <c r="BL597" s="57">
        <f ca="1">MAX(0,SUMIF(Invoice!A:A,F597,Invoice!B:B)-SUMIF(F:F,F597,BJ:BJ))*(COUNTIF(F:F,F597)=COUNTIF($F$5:F597,F597))</f>
        <v>3000</v>
      </c>
    </row>
    <row r="598" spans="1:64" hidden="1">
      <c r="A598" s="43">
        <v>597</v>
      </c>
      <c r="B598" s="13" t="s">
        <v>147</v>
      </c>
      <c r="C598" s="13" t="s">
        <v>146</v>
      </c>
      <c r="D598" s="13">
        <v>2</v>
      </c>
      <c r="E598" s="13">
        <v>2070</v>
      </c>
      <c r="F598" s="71" t="s">
        <v>1441</v>
      </c>
      <c r="G598" s="71" t="s">
        <v>1442</v>
      </c>
      <c r="H598" s="13" t="s">
        <v>1443</v>
      </c>
      <c r="I598" s="13" t="s">
        <v>55</v>
      </c>
      <c r="J598" s="28">
        <v>0</v>
      </c>
      <c r="K598" s="13" t="s">
        <v>150</v>
      </c>
      <c r="L598" s="13" t="s">
        <v>53</v>
      </c>
      <c r="M598" s="13">
        <v>72</v>
      </c>
      <c r="O598" s="13">
        <v>1</v>
      </c>
      <c r="P598" s="13">
        <v>2</v>
      </c>
      <c r="Q598" s="13">
        <v>2</v>
      </c>
      <c r="R598" s="13" t="s">
        <v>73</v>
      </c>
      <c r="S598" s="13" t="s">
        <v>73</v>
      </c>
      <c r="T598" s="13">
        <v>44901</v>
      </c>
      <c r="U598" s="13">
        <v>2958465</v>
      </c>
      <c r="V598" s="13" t="s">
        <v>282</v>
      </c>
      <c r="W598" s="13" t="s">
        <v>145</v>
      </c>
      <c r="Y598" s="13" t="s">
        <v>143</v>
      </c>
      <c r="Z598" s="13">
        <v>7589154</v>
      </c>
      <c r="AA598" s="13">
        <v>1084</v>
      </c>
      <c r="AB598" s="13">
        <v>542</v>
      </c>
      <c r="AE598" s="51">
        <f>M598/O598</f>
        <v>72</v>
      </c>
      <c r="AG598" s="6" t="str">
        <f>C598</f>
        <v>90MB1BJ0-C1BAY0</v>
      </c>
      <c r="AH598" s="6" t="str">
        <f>IF($D598&lt;=AH$4,"",IF(AND($D597=AH$4,$D598&gt;AH$4),$F597,AH597))</f>
        <v>59MB1BJB-MB0A02S</v>
      </c>
      <c r="AI598" s="6" t="str">
        <f>IF($D598&lt;=AI$4,"",IF(AND($D597=AI$4,$D598&gt;AI$4),$F597,AI597))</f>
        <v/>
      </c>
      <c r="AJ598" s="6" t="str">
        <f>IF($D598&lt;=AJ$4,"",IF(AND($D597=AJ$4,$D598&gt;AJ$4),$F597,AJ597))</f>
        <v/>
      </c>
      <c r="AK598" s="6" t="str">
        <f>IF($D598&lt;=AK$4,"",IF(AND($D597=AK$4,$D598&gt;AK$4),$F597,AK597))</f>
        <v/>
      </c>
      <c r="AL598" s="6" t="str">
        <f>IF($D598&lt;=AL$4,"",IF(AND($D597=AL$4,$D598&gt;AL$4),$F597,AL597))</f>
        <v/>
      </c>
      <c r="AM598" s="6" t="str">
        <f>IF($D598&lt;=AM$4,"",IF(AND($D597=AM$4,$D598&gt;AM$4),$F597,AM597))</f>
        <v/>
      </c>
      <c r="AN598" s="6" t="str">
        <f>IF($D598&lt;=AN$4,"",IF(AND($D597=AN$4,$D598&gt;AN$4),$F597,AN597))</f>
        <v/>
      </c>
      <c r="AO598" s="6" t="str">
        <f>CONCATENATE(AG598," | ",AH598," | ",AI598," | ",AJ598," | ",AK598," | ",AL598," | ",AM598," | ",AN598)</f>
        <v xml:space="preserve">90MB1BJ0-C1BAY0 | 59MB1BJB-MB0A02S |  |  |  |  |  | </v>
      </c>
      <c r="AP598" s="6">
        <f>IF(TRIM(H598)="",100,J598)</f>
        <v>0</v>
      </c>
      <c r="AQ598" s="4"/>
      <c r="AR598" s="6" t="b">
        <f>NOT(TRIM(W598)&lt;&gt;"F")</f>
        <v>1</v>
      </c>
      <c r="AS598" s="6" t="str">
        <f>$B598&amp;" | "&amp;$AO598&amp;" | "&amp;IF(TRIM(H598)="","uniq"&amp;ROW(),TRIM(H598))</f>
        <v>461E | 90MB1BJ0-C1BAY0 | 59MB1BJB-MB0A02S |  |  |  |  |  |  | K7</v>
      </c>
      <c r="AT598" s="63">
        <f>IF(NOT(AR598),IF(TRIM($H598)="","Assembly","Phantom Alt"),VLOOKUP(F598,ZPCS04!B:G,6,0))</f>
        <v>1231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>SUMIF(AS:AS,AS598,AP:AP)=100</f>
        <v>1</v>
      </c>
      <c r="AZ598" s="6" t="b">
        <f>SUMIF(AS:AS,AS598,AE:AE)/COUNTIF(AS:AS,AS598)=AE598</f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>C598&amp;" | "&amp;F598</f>
        <v>90MB1BJ0-C1BAY0 | 11202-0291D000</v>
      </c>
      <c r="BE598" s="55" t="str">
        <f ca="1">C598&amp;" | "&amp;OFFSET($AF598,0,8-COUNTBLANK($AG598:$AN598))</f>
        <v>90MB1BJ0-C1BAY0 | 59MB1BJB-MB0A02S</v>
      </c>
      <c r="BF598" s="57">
        <f ca="1">IFERROR(VLOOKUP($BE598,$BD$5:$BF597,3,0)*$AE598,VLOOKUP($C598,Demanda!$A:$B,2,0)*$AE598)*IF(AT598="Phantom Alt",$BC598,TRUE)</f>
        <v>72000</v>
      </c>
      <c r="BG598" s="57">
        <f ca="1">BF598*(AP598/100)</f>
        <v>0</v>
      </c>
      <c r="BH598" s="57">
        <f>SUMIF(Invoice!A:A,F598,Invoice!B:B)</f>
        <v>0</v>
      </c>
      <c r="BI598" s="57">
        <f ca="1">SUMIF(AS:AS,AS598,BG:BG)</f>
        <v>72000</v>
      </c>
      <c r="BJ598" s="57">
        <f ca="1">MIN((BI598-SUMIF($AS$5:AS597,AS598,$BJ$5:BJ597)),MAX(0,BH598-SUMIF($F$5:F597,F598,$BJ$5:BJ597)))</f>
        <v>0</v>
      </c>
      <c r="BK598" s="57">
        <f ca="1">(-SUMIF(AS:AS,AS598,BG:BG)+SUMIF(AS:AS,AS598,BJ:BJ))*(AP598=100)*AR598</f>
        <v>0</v>
      </c>
      <c r="BL598" s="57">
        <f ca="1">MAX(0,SUMIF(Invoice!A:A,F598,Invoice!B:B)-SUMIF(F:F,F598,BJ:BJ))*(COUNTIF(F:F,F598)=COUNTIF($F$5:F598,F598))</f>
        <v>0</v>
      </c>
    </row>
    <row r="599" spans="1:64" hidden="1">
      <c r="A599" s="43">
        <v>598</v>
      </c>
      <c r="B599" s="13" t="s">
        <v>147</v>
      </c>
      <c r="C599" s="13" t="s">
        <v>146</v>
      </c>
      <c r="D599" s="13">
        <v>2</v>
      </c>
      <c r="E599" s="13">
        <v>2070</v>
      </c>
      <c r="F599" s="71" t="s">
        <v>1444</v>
      </c>
      <c r="G599" s="71" t="s">
        <v>1445</v>
      </c>
      <c r="H599" s="13" t="s">
        <v>1443</v>
      </c>
      <c r="I599" s="13" t="s">
        <v>55</v>
      </c>
      <c r="J599" s="28">
        <v>0</v>
      </c>
      <c r="K599" s="13" t="s">
        <v>150</v>
      </c>
      <c r="L599" s="13" t="s">
        <v>53</v>
      </c>
      <c r="M599" s="13">
        <v>72</v>
      </c>
      <c r="O599" s="13">
        <v>1</v>
      </c>
      <c r="P599" s="13">
        <v>2</v>
      </c>
      <c r="Q599" s="13">
        <v>4</v>
      </c>
      <c r="R599" s="13" t="s">
        <v>73</v>
      </c>
      <c r="S599" s="13" t="s">
        <v>73</v>
      </c>
      <c r="T599" s="13">
        <v>44901</v>
      </c>
      <c r="U599" s="13">
        <v>2958465</v>
      </c>
      <c r="V599" s="13" t="s">
        <v>282</v>
      </c>
      <c r="W599" s="13" t="s">
        <v>145</v>
      </c>
      <c r="Y599" s="13" t="s">
        <v>143</v>
      </c>
      <c r="Z599" s="13">
        <v>7589154</v>
      </c>
      <c r="AA599" s="13">
        <v>1088</v>
      </c>
      <c r="AB599" s="13">
        <v>544</v>
      </c>
      <c r="AE599" s="51">
        <f>M599/O599</f>
        <v>72</v>
      </c>
      <c r="AG599" s="6" t="str">
        <f>C599</f>
        <v>90MB1BJ0-C1BAY0</v>
      </c>
      <c r="AH599" s="6" t="str">
        <f>IF($D599&lt;=AH$4,"",IF(AND($D598=AH$4,$D599&gt;AH$4),$F598,AH598))</f>
        <v>59MB1BJB-MB0A02S</v>
      </c>
      <c r="AI599" s="6" t="str">
        <f>IF($D599&lt;=AI$4,"",IF(AND($D598=AI$4,$D599&gt;AI$4),$F598,AI598))</f>
        <v/>
      </c>
      <c r="AJ599" s="6" t="str">
        <f>IF($D599&lt;=AJ$4,"",IF(AND($D598=AJ$4,$D599&gt;AJ$4),$F598,AJ598))</f>
        <v/>
      </c>
      <c r="AK599" s="6" t="str">
        <f>IF($D599&lt;=AK$4,"",IF(AND($D598=AK$4,$D599&gt;AK$4),$F598,AK598))</f>
        <v/>
      </c>
      <c r="AL599" s="6" t="str">
        <f>IF($D599&lt;=AL$4,"",IF(AND($D598=AL$4,$D599&gt;AL$4),$F598,AL598))</f>
        <v/>
      </c>
      <c r="AM599" s="6" t="str">
        <f>IF($D599&lt;=AM$4,"",IF(AND($D598=AM$4,$D599&gt;AM$4),$F598,AM598))</f>
        <v/>
      </c>
      <c r="AN599" s="6" t="str">
        <f>IF($D599&lt;=AN$4,"",IF(AND($D598=AN$4,$D599&gt;AN$4),$F598,AN598))</f>
        <v/>
      </c>
      <c r="AO599" s="6" t="str">
        <f>CONCATENATE(AG599," | ",AH599," | ",AI599," | ",AJ599," | ",AK599," | ",AL599," | ",AM599," | ",AN599)</f>
        <v xml:space="preserve">90MB1BJ0-C1BAY0 | 59MB1BJB-MB0A02S |  |  |  |  |  | </v>
      </c>
      <c r="AP599" s="6">
        <f>IF(TRIM(H599)="",100,J599)</f>
        <v>0</v>
      </c>
      <c r="AQ599" s="4"/>
      <c r="AR599" s="6" t="b">
        <f>NOT(TRIM(W599)&lt;&gt;"F")</f>
        <v>1</v>
      </c>
      <c r="AS599" s="6" t="str">
        <f>$B599&amp;" | "&amp;$AO599&amp;" | "&amp;IF(TRIM(H599)="","uniq"&amp;ROW(),TRIM(H599))</f>
        <v>461E | 90MB1BJ0-C1BAY0 | 59MB1BJB-MB0A02S |  |  |  |  |  |  | K7</v>
      </c>
      <c r="AT599" s="63">
        <f>IF(NOT(AR599),IF(TRIM($H599)="","Assembly","Phantom Alt"),VLOOKUP(F599,ZPCS04!B:G,6,0))</f>
        <v>1231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2</v>
      </c>
      <c r="AX599" s="7"/>
      <c r="AY599" s="6" t="b">
        <f>SUMIF(AS:AS,AS599,AP:AP)=100</f>
        <v>1</v>
      </c>
      <c r="AZ599" s="6" t="b">
        <f>SUMIF(AS:AS,AS599,AE:AE)/COUNTIF(AS:AS,AS599)=AE599</f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>C599&amp;" | "&amp;F599</f>
        <v>90MB1BJ0-C1BAY0 | 11202-0291F000</v>
      </c>
      <c r="BE599" s="55" t="str">
        <f ca="1">C599&amp;" | "&amp;OFFSET($AF599,0,8-COUNTBLANK($AG599:$AN599))</f>
        <v>90MB1BJ0-C1BAY0 | 59MB1BJB-MB0A02S</v>
      </c>
      <c r="BF599" s="57">
        <f ca="1">IFERROR(VLOOKUP($BE599,$BD$5:$BF598,3,0)*$AE599,VLOOKUP($C599,Demanda!$A:$B,2,0)*$AE599)*IF(AT599="Phantom Alt",$BC599,TRUE)</f>
        <v>72000</v>
      </c>
      <c r="BG599" s="57">
        <f ca="1">BF599*(AP599/100)</f>
        <v>0</v>
      </c>
      <c r="BH599" s="57">
        <f>SUMIF(Invoice!A:A,F599,Invoice!B:B)</f>
        <v>0</v>
      </c>
      <c r="BI599" s="57">
        <f ca="1">SUMIF(AS:AS,AS599,BG:BG)</f>
        <v>72000</v>
      </c>
      <c r="BJ599" s="57">
        <f ca="1">MIN((BI599-SUMIF($AS$5:AS598,AS599,$BJ$5:BJ598)),MAX(0,BH599-SUMIF($F$5:F598,F599,$BJ$5:BJ598)))</f>
        <v>0</v>
      </c>
      <c r="BK599" s="57">
        <f ca="1">(-SUMIF(AS:AS,AS599,BG:BG)+SUMIF(AS:AS,AS599,BJ:BJ))*(AP599=100)*AR599</f>
        <v>0</v>
      </c>
      <c r="BL599" s="57">
        <f ca="1">MAX(0,SUMIF(Invoice!A:A,F599,Invoice!B:B)-SUMIF(F:F,F599,BJ:BJ))*(COUNTIF(F:F,F599)=COUNTIF($F$5:F599,F599))</f>
        <v>0</v>
      </c>
    </row>
    <row r="600" spans="1:64" hidden="1">
      <c r="A600" s="43">
        <v>599</v>
      </c>
      <c r="B600" s="13" t="s">
        <v>147</v>
      </c>
      <c r="C600" s="13" t="s">
        <v>146</v>
      </c>
      <c r="D600" s="13">
        <v>2</v>
      </c>
      <c r="E600" s="13">
        <v>2070</v>
      </c>
      <c r="F600" s="71" t="s">
        <v>1446</v>
      </c>
      <c r="G600" s="71" t="s">
        <v>1447</v>
      </c>
      <c r="H600" s="13" t="s">
        <v>1443</v>
      </c>
      <c r="I600" s="13" t="s">
        <v>55</v>
      </c>
      <c r="J600" s="28">
        <v>0</v>
      </c>
      <c r="K600" s="13" t="s">
        <v>150</v>
      </c>
      <c r="L600" s="13" t="s">
        <v>53</v>
      </c>
      <c r="M600" s="13">
        <v>72</v>
      </c>
      <c r="O600" s="13">
        <v>1</v>
      </c>
      <c r="P600" s="13">
        <v>2</v>
      </c>
      <c r="Q600" s="13">
        <v>3</v>
      </c>
      <c r="R600" s="13" t="s">
        <v>73</v>
      </c>
      <c r="S600" s="13" t="s">
        <v>73</v>
      </c>
      <c r="T600" s="13">
        <v>44901</v>
      </c>
      <c r="U600" s="13">
        <v>2958465</v>
      </c>
      <c r="V600" s="13" t="s">
        <v>282</v>
      </c>
      <c r="W600" s="13" t="s">
        <v>145</v>
      </c>
      <c r="Y600" s="13" t="s">
        <v>143</v>
      </c>
      <c r="Z600" s="13">
        <v>7589154</v>
      </c>
      <c r="AA600" s="13">
        <v>1086</v>
      </c>
      <c r="AB600" s="13">
        <v>543</v>
      </c>
      <c r="AE600" s="51">
        <f>M600/O600</f>
        <v>72</v>
      </c>
      <c r="AG600" s="6" t="str">
        <f>C600</f>
        <v>90MB1BJ0-C1BAY0</v>
      </c>
      <c r="AH600" s="6" t="str">
        <f>IF($D600&lt;=AH$4,"",IF(AND($D599=AH$4,$D600&gt;AH$4),$F599,AH599))</f>
        <v>59MB1BJB-MB0A02S</v>
      </c>
      <c r="AI600" s="6" t="str">
        <f>IF($D600&lt;=AI$4,"",IF(AND($D599=AI$4,$D600&gt;AI$4),$F599,AI599))</f>
        <v/>
      </c>
      <c r="AJ600" s="6" t="str">
        <f>IF($D600&lt;=AJ$4,"",IF(AND($D599=AJ$4,$D600&gt;AJ$4),$F599,AJ599))</f>
        <v/>
      </c>
      <c r="AK600" s="6" t="str">
        <f>IF($D600&lt;=AK$4,"",IF(AND($D599=AK$4,$D600&gt;AK$4),$F599,AK599))</f>
        <v/>
      </c>
      <c r="AL600" s="6" t="str">
        <f>IF($D600&lt;=AL$4,"",IF(AND($D599=AL$4,$D600&gt;AL$4),$F599,AL599))</f>
        <v/>
      </c>
      <c r="AM600" s="6" t="str">
        <f>IF($D600&lt;=AM$4,"",IF(AND($D599=AM$4,$D600&gt;AM$4),$F599,AM599))</f>
        <v/>
      </c>
      <c r="AN600" s="6" t="str">
        <f>IF($D600&lt;=AN$4,"",IF(AND($D599=AN$4,$D600&gt;AN$4),$F599,AN599))</f>
        <v/>
      </c>
      <c r="AO600" s="6" t="str">
        <f>CONCATENATE(AG600," | ",AH600," | ",AI600," | ",AJ600," | ",AK600," | ",AL600," | ",AM600," | ",AN600)</f>
        <v xml:space="preserve">90MB1BJ0-C1BAY0 | 59MB1BJB-MB0A02S |  |  |  |  |  | </v>
      </c>
      <c r="AP600" s="6">
        <f>IF(TRIM(H600)="",100,J600)</f>
        <v>0</v>
      </c>
      <c r="AQ600" s="4"/>
      <c r="AR600" s="6" t="b">
        <f>NOT(TRIM(W600)&lt;&gt;"F")</f>
        <v>1</v>
      </c>
      <c r="AS600" s="6" t="str">
        <f>$B600&amp;" | "&amp;$AO600&amp;" | "&amp;IF(TRIM(H600)="","uniq"&amp;ROW(),TRIM(H600))</f>
        <v>461E | 90MB1BJ0-C1BAY0 | 59MB1BJB-MB0A02S |  |  |  |  |  |  | K7</v>
      </c>
      <c r="AT600" s="63">
        <f>IF(NOT(AR600),IF(TRIM($H600)="","Assembly","Phantom Alt"),VLOOKUP(F600,ZPCS04!B:G,6,0))</f>
        <v>1231</v>
      </c>
      <c r="AU600" s="7"/>
      <c r="AV600" s="38">
        <f ca="1">IF(TRIM($W600)="F",OFFSET($A$5,MATCH($AS600,$AS$5:$AS600,0)-1,0),$A600)</f>
        <v>600</v>
      </c>
      <c r="AW600" s="38">
        <f ca="1">IFERROR(OFFSET(ZPCS04!$A$1,MATCH(F600,ZPCS04!B:B,0)-1,0),100)</f>
        <v>2</v>
      </c>
      <c r="AX600" s="7"/>
      <c r="AY600" s="6" t="b">
        <f>SUMIF(AS:AS,AS600,AP:AP)=100</f>
        <v>1</v>
      </c>
      <c r="AZ600" s="6" t="b">
        <f>SUMIF(AS:AS,AS600,AE:AE)/COUNTIF(AS:AS,AS600)=AE600</f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>C600&amp;" | "&amp;F600</f>
        <v>90MB1BJ0-C1BAY0 | 11202-0291I000</v>
      </c>
      <c r="BE600" s="55" t="str">
        <f ca="1">C600&amp;" | "&amp;OFFSET($AF600,0,8-COUNTBLANK($AG600:$AN600))</f>
        <v>90MB1BJ0-C1BAY0 | 59MB1BJB-MB0A02S</v>
      </c>
      <c r="BF600" s="57">
        <f ca="1">IFERROR(VLOOKUP($BE600,$BD$5:$BF599,3,0)*$AE600,VLOOKUP($C600,Demanda!$A:$B,2,0)*$AE600)*IF(AT600="Phantom Alt",$BC600,TRUE)</f>
        <v>72000</v>
      </c>
      <c r="BG600" s="57">
        <f ca="1">BF600*(AP600/100)</f>
        <v>0</v>
      </c>
      <c r="BH600" s="57">
        <f>SUMIF(Invoice!A:A,F600,Invoice!B:B)</f>
        <v>0</v>
      </c>
      <c r="BI600" s="57">
        <f ca="1">SUMIF(AS:AS,AS600,BG:BG)</f>
        <v>72000</v>
      </c>
      <c r="BJ600" s="57">
        <f ca="1">MIN((BI600-SUMIF($AS$5:AS599,AS600,$BJ$5:BJ599)),MAX(0,BH600-SUMIF($F$5:F599,F600,$BJ$5:BJ599)))</f>
        <v>0</v>
      </c>
      <c r="BK600" s="57">
        <f ca="1">(-SUMIF(AS:AS,AS600,BG:BG)+SUMIF(AS:AS,AS600,BJ:BJ))*(AP600=100)*AR600</f>
        <v>0</v>
      </c>
      <c r="BL600" s="57">
        <f ca="1">MAX(0,SUMIF(Invoice!A:A,F600,Invoice!B:B)-SUMIF(F:F,F600,BJ:BJ))*(COUNTIF(F:F,F600)=COUNTIF($F$5:F600,F600))</f>
        <v>0</v>
      </c>
    </row>
    <row r="601" spans="1:64" hidden="1">
      <c r="A601" s="43">
        <v>601</v>
      </c>
      <c r="B601" s="13" t="s">
        <v>147</v>
      </c>
      <c r="C601" s="13" t="s">
        <v>146</v>
      </c>
      <c r="D601" s="13">
        <v>2</v>
      </c>
      <c r="E601" s="13">
        <v>2080</v>
      </c>
      <c r="F601" s="71" t="s">
        <v>1450</v>
      </c>
      <c r="G601" s="71" t="s">
        <v>1451</v>
      </c>
      <c r="H601" s="13" t="s">
        <v>1452</v>
      </c>
      <c r="I601" s="13" t="s">
        <v>54</v>
      </c>
      <c r="J601" s="28">
        <v>100</v>
      </c>
      <c r="K601" s="13" t="s">
        <v>150</v>
      </c>
      <c r="L601" s="13" t="s">
        <v>53</v>
      </c>
      <c r="M601" s="13">
        <v>2</v>
      </c>
      <c r="N601" s="13">
        <v>2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44901</v>
      </c>
      <c r="U601" s="13">
        <v>2958465</v>
      </c>
      <c r="V601" s="13" t="s">
        <v>282</v>
      </c>
      <c r="W601" s="13" t="s">
        <v>145</v>
      </c>
      <c r="Y601" s="13" t="s">
        <v>143</v>
      </c>
      <c r="Z601" s="13">
        <v>7589154</v>
      </c>
      <c r="AA601" s="13">
        <v>1090</v>
      </c>
      <c r="AB601" s="13">
        <v>545</v>
      </c>
      <c r="AE601" s="51">
        <f>M601/O601</f>
        <v>2</v>
      </c>
      <c r="AG601" s="6" t="str">
        <f>C601</f>
        <v>90MB1BJ0-C1BAY0</v>
      </c>
      <c r="AH601" s="6" t="str">
        <f>IF($D601&lt;=AH$4,"",IF(AND($D600=AH$4,$D601&gt;AH$4),$F600,AH600))</f>
        <v>59MB1BJB-MB0A02S</v>
      </c>
      <c r="AI601" s="6" t="str">
        <f>IF($D601&lt;=AI$4,"",IF(AND($D600=AI$4,$D601&gt;AI$4),$F600,AI600))</f>
        <v/>
      </c>
      <c r="AJ601" s="6" t="str">
        <f>IF($D601&lt;=AJ$4,"",IF(AND($D600=AJ$4,$D601&gt;AJ$4),$F600,AJ600))</f>
        <v/>
      </c>
      <c r="AK601" s="6" t="str">
        <f>IF($D601&lt;=AK$4,"",IF(AND($D600=AK$4,$D601&gt;AK$4),$F600,AK600))</f>
        <v/>
      </c>
      <c r="AL601" s="6" t="str">
        <f>IF($D601&lt;=AL$4,"",IF(AND($D600=AL$4,$D601&gt;AL$4),$F600,AL600))</f>
        <v/>
      </c>
      <c r="AM601" s="6" t="str">
        <f>IF($D601&lt;=AM$4,"",IF(AND($D600=AM$4,$D601&gt;AM$4),$F600,AM600))</f>
        <v/>
      </c>
      <c r="AN601" s="6" t="str">
        <f>IF($D601&lt;=AN$4,"",IF(AND($D600=AN$4,$D601&gt;AN$4),$F600,AN600))</f>
        <v/>
      </c>
      <c r="AO601" s="6" t="str">
        <f>CONCATENATE(AG601," | ",AH601," | ",AI601," | ",AJ601," | ",AK601," | ",AL601," | ",AM601," | ",AN601)</f>
        <v xml:space="preserve">90MB1BJ0-C1BAY0 | 59MB1BJB-MB0A02S |  |  |  |  |  | </v>
      </c>
      <c r="AP601" s="6">
        <f>IF(TRIM(H601)="",100,J601)</f>
        <v>100</v>
      </c>
      <c r="AQ601" s="4"/>
      <c r="AR601" s="6" t="b">
        <f>NOT(TRIM(W601)&lt;&gt;"F")</f>
        <v>1</v>
      </c>
      <c r="AS601" s="6" t="str">
        <f>$B601&amp;" | "&amp;$AO601&amp;" | "&amp;IF(TRIM(H601)="","uniq"&amp;ROW(),TRIM(H601))</f>
        <v>461E | 90MB1BJ0-C1BAY0 | 59MB1BJB-MB0A02S |  |  |  |  |  |  | K8</v>
      </c>
      <c r="AT601" s="63">
        <f>IF(NOT(AR601),IF(TRIM($H601)="","Assembly","Phantom Alt"),VLOOKUP(F601,ZPCS04!B:G,6,0))</f>
        <v>879</v>
      </c>
      <c r="AU601" s="7"/>
      <c r="AV601" s="38">
        <f ca="1">IF(TRIM($W601)="F",OFFSET($A$5,MATCH($AS601,$AS$5:$AS601,0)-1,0),$A601)</f>
        <v>601</v>
      </c>
      <c r="AW601" s="38">
        <f ca="1">IFERROR(OFFSET(ZPCS04!$A$1,MATCH(F601,ZPCS04!B:B,0)-1,0),100)</f>
        <v>1.9999999000000002</v>
      </c>
      <c r="AX601" s="7"/>
      <c r="AY601" s="6" t="b">
        <f>SUMIF(AS:AS,AS601,AP:AP)=100</f>
        <v>1</v>
      </c>
      <c r="AZ601" s="6" t="b">
        <f>SUMIF(AS:AS,AS601,AE:AE)/COUNTIF(AS:AS,AS601)=AE601</f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>C601&amp;" | "&amp;F601</f>
        <v>90MB1BJ0-C1BAY0 | 11203-0041Q000</v>
      </c>
      <c r="BE601" s="55" t="str">
        <f ca="1">C601&amp;" | "&amp;OFFSET($AF601,0,8-COUNTBLANK($AG601:$AN601))</f>
        <v>90MB1BJ0-C1BAY0 | 59MB1BJB-MB0A02S</v>
      </c>
      <c r="BF601" s="57">
        <f ca="1">IFERROR(VLOOKUP($BE601,$BD$5:$BF600,3,0)*$AE601,VLOOKUP($C601,Demanda!$A:$B,2,0)*$AE601)*IF(AT601="Phantom Alt",$BC601,TRUE)</f>
        <v>2000</v>
      </c>
      <c r="BG601" s="57">
        <f ca="1">BF601*(AP601/100)</f>
        <v>2000</v>
      </c>
      <c r="BH601" s="57">
        <f>SUMIF(Invoice!A:A,F601,Invoice!B:B)</f>
        <v>10000</v>
      </c>
      <c r="BI601" s="57">
        <f ca="1">SUMIF(AS:AS,AS601,BG:BG)</f>
        <v>2000</v>
      </c>
      <c r="BJ601" s="57">
        <f ca="1">MIN((BI601-SUMIF($AS$5:AS600,AS601,$BJ$5:BJ600)),MAX(0,BH601-SUMIF($F$5:F600,F601,$BJ$5:BJ600)))</f>
        <v>2000</v>
      </c>
      <c r="BK601" s="57">
        <f ca="1">(-SUMIF(AS:AS,AS601,BG:BG)+SUMIF(AS:AS,AS601,BJ:BJ))*(AP601=100)*AR601</f>
        <v>0</v>
      </c>
      <c r="BL601" s="57">
        <f ca="1">MAX(0,SUMIF(Invoice!A:A,F601,Invoice!B:B)-SUMIF(F:F,F601,BJ:BJ))*(COUNTIF(F:F,F601)=COUNTIF($F$5:F601,F601))</f>
        <v>8000</v>
      </c>
    </row>
    <row r="602" spans="1:64" hidden="1">
      <c r="A602" s="43">
        <v>602</v>
      </c>
      <c r="B602" s="13" t="s">
        <v>147</v>
      </c>
      <c r="C602" s="13" t="s">
        <v>146</v>
      </c>
      <c r="D602" s="13">
        <v>2</v>
      </c>
      <c r="E602" s="13">
        <v>2080</v>
      </c>
      <c r="F602" s="71" t="s">
        <v>1453</v>
      </c>
      <c r="G602" s="71" t="s">
        <v>1454</v>
      </c>
      <c r="H602" s="13" t="s">
        <v>1452</v>
      </c>
      <c r="I602" s="13" t="s">
        <v>55</v>
      </c>
      <c r="J602" s="28">
        <v>0</v>
      </c>
      <c r="K602" s="13" t="s">
        <v>1428</v>
      </c>
      <c r="L602" s="13" t="s">
        <v>53</v>
      </c>
      <c r="M602" s="13">
        <v>2</v>
      </c>
      <c r="O602" s="13">
        <v>1</v>
      </c>
      <c r="P602" s="13">
        <v>2</v>
      </c>
      <c r="Q602" s="13">
        <v>3</v>
      </c>
      <c r="R602" s="13" t="s">
        <v>122</v>
      </c>
      <c r="S602" s="13" t="s">
        <v>122</v>
      </c>
      <c r="T602" s="13">
        <v>44901</v>
      </c>
      <c r="U602" s="13">
        <v>2958465</v>
      </c>
      <c r="V602" s="13" t="s">
        <v>282</v>
      </c>
      <c r="W602" s="13" t="s">
        <v>145</v>
      </c>
      <c r="Y602" s="13" t="s">
        <v>143</v>
      </c>
      <c r="Z602" s="13">
        <v>7589154</v>
      </c>
      <c r="AA602" s="13">
        <v>1094</v>
      </c>
      <c r="AB602" s="13">
        <v>547</v>
      </c>
      <c r="AE602" s="51">
        <f>M602/O602</f>
        <v>2</v>
      </c>
      <c r="AG602" s="6" t="str">
        <f>C602</f>
        <v>90MB1BJ0-C1BAY0</v>
      </c>
      <c r="AH602" s="6" t="str">
        <f>IF($D602&lt;=AH$4,"",IF(AND($D601=AH$4,$D602&gt;AH$4),$F601,AH601))</f>
        <v>59MB1BJB-MB0A02S</v>
      </c>
      <c r="AI602" s="6" t="str">
        <f>IF($D602&lt;=AI$4,"",IF(AND($D601=AI$4,$D602&gt;AI$4),$F601,AI601))</f>
        <v/>
      </c>
      <c r="AJ602" s="6" t="str">
        <f>IF($D602&lt;=AJ$4,"",IF(AND($D601=AJ$4,$D602&gt;AJ$4),$F601,AJ601))</f>
        <v/>
      </c>
      <c r="AK602" s="6" t="str">
        <f>IF($D602&lt;=AK$4,"",IF(AND($D601=AK$4,$D602&gt;AK$4),$F601,AK601))</f>
        <v/>
      </c>
      <c r="AL602" s="6" t="str">
        <f>IF($D602&lt;=AL$4,"",IF(AND($D601=AL$4,$D602&gt;AL$4),$F601,AL601))</f>
        <v/>
      </c>
      <c r="AM602" s="6" t="str">
        <f>IF($D602&lt;=AM$4,"",IF(AND($D601=AM$4,$D602&gt;AM$4),$F601,AM601))</f>
        <v/>
      </c>
      <c r="AN602" s="6" t="str">
        <f>IF($D602&lt;=AN$4,"",IF(AND($D601=AN$4,$D602&gt;AN$4),$F601,AN601))</f>
        <v/>
      </c>
      <c r="AO602" s="6" t="str">
        <f>CONCATENATE(AG602," | ",AH602," | ",AI602," | ",AJ602," | ",AK602," | ",AL602," | ",AM602," | ",AN602)</f>
        <v xml:space="preserve">90MB1BJ0-C1BAY0 | 59MB1BJB-MB0A02S |  |  |  |  |  | </v>
      </c>
      <c r="AP602" s="6">
        <f>IF(TRIM(H602)="",100,J602)</f>
        <v>0</v>
      </c>
      <c r="AQ602" s="4"/>
      <c r="AR602" s="6" t="b">
        <f>NOT(TRIM(W602)&lt;&gt;"F")</f>
        <v>1</v>
      </c>
      <c r="AS602" s="6" t="str">
        <f>$B602&amp;" | "&amp;$AO602&amp;" | "&amp;IF(TRIM(H602)="","uniq"&amp;ROW(),TRIM(H602))</f>
        <v>461E | 90MB1BJ0-C1BAY0 | 59MB1BJB-MB0A02S |  |  |  |  |  |  | K8</v>
      </c>
      <c r="AT602" s="63">
        <f>IF(NOT(AR602),IF(TRIM($H602)="","Assembly","Phantom Alt"),VLOOKUP(F602,ZPCS04!B:G,6,0))</f>
        <v>879</v>
      </c>
      <c r="AU602" s="7"/>
      <c r="AV602" s="38">
        <f ca="1">IF(TRIM($W602)="F",OFFSET($A$5,MATCH($AS602,$AS$5:$AS602,0)-1,0),$A602)</f>
        <v>601</v>
      </c>
      <c r="AW602" s="38">
        <f ca="1">IFERROR(OFFSET(ZPCS04!$A$1,MATCH(F602,ZPCS04!B:B,0)-1,0),100)</f>
        <v>2</v>
      </c>
      <c r="AX602" s="7"/>
      <c r="AY602" s="6" t="b">
        <f>SUMIF(AS:AS,AS602,AP:AP)=100</f>
        <v>1</v>
      </c>
      <c r="AZ602" s="6" t="b">
        <f>SUMIF(AS:AS,AS602,AE:AE)/COUNTIF(AS:AS,AS602)=AE602</f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>C602&amp;" | "&amp;F602</f>
        <v>90MB1BJ0-C1BAY0 | 11G232033004030</v>
      </c>
      <c r="BE602" s="55" t="str">
        <f ca="1">C602&amp;" | "&amp;OFFSET($AF602,0,8-COUNTBLANK($AG602:$AN602))</f>
        <v>90MB1BJ0-C1BAY0 | 59MB1BJB-MB0A02S</v>
      </c>
      <c r="BF602" s="57">
        <f ca="1">IFERROR(VLOOKUP($BE602,$BD$5:$BF601,3,0)*$AE602,VLOOKUP($C602,Demanda!$A:$B,2,0)*$AE602)*IF(AT602="Phantom Alt",$BC602,TRUE)</f>
        <v>2000</v>
      </c>
      <c r="BG602" s="57">
        <f ca="1">BF602*(AP602/100)</f>
        <v>0</v>
      </c>
      <c r="BH602" s="57">
        <f>SUMIF(Invoice!A:A,F602,Invoice!B:B)</f>
        <v>0</v>
      </c>
      <c r="BI602" s="57">
        <f ca="1">SUMIF(AS:AS,AS602,BG:BG)</f>
        <v>2000</v>
      </c>
      <c r="BJ602" s="57">
        <f ca="1">MIN((BI602-SUMIF($AS$5:AS601,AS602,$BJ$5:BJ601)),MAX(0,BH602-SUMIF($F$5:F601,F602,$BJ$5:BJ601)))</f>
        <v>0</v>
      </c>
      <c r="BK602" s="57">
        <f ca="1">(-SUMIF(AS:AS,AS602,BG:BG)+SUMIF(AS:AS,AS602,BJ:BJ))*(AP602=100)*AR602</f>
        <v>0</v>
      </c>
      <c r="BL602" s="57">
        <f ca="1">MAX(0,SUMIF(Invoice!A:A,F602,Invoice!B:B)-SUMIF(F:F,F602,BJ:BJ))*(COUNTIF(F:F,F602)=COUNTIF($F$5:F602,F602))</f>
        <v>0</v>
      </c>
    </row>
    <row r="603" spans="1:64" hidden="1">
      <c r="A603" s="43">
        <v>603</v>
      </c>
      <c r="B603" s="13" t="s">
        <v>147</v>
      </c>
      <c r="C603" s="13" t="s">
        <v>146</v>
      </c>
      <c r="D603" s="13">
        <v>2</v>
      </c>
      <c r="E603" s="13">
        <v>2080</v>
      </c>
      <c r="F603" s="71" t="s">
        <v>1455</v>
      </c>
      <c r="G603" s="71" t="s">
        <v>1454</v>
      </c>
      <c r="H603" s="13" t="s">
        <v>1452</v>
      </c>
      <c r="I603" s="13" t="s">
        <v>55</v>
      </c>
      <c r="J603" s="28">
        <v>0</v>
      </c>
      <c r="K603" s="13" t="s">
        <v>1428</v>
      </c>
      <c r="L603" s="13" t="s">
        <v>53</v>
      </c>
      <c r="M603" s="13">
        <v>2</v>
      </c>
      <c r="O603" s="13">
        <v>1</v>
      </c>
      <c r="P603" s="13">
        <v>2</v>
      </c>
      <c r="Q603" s="13">
        <v>2</v>
      </c>
      <c r="R603" s="13" t="s">
        <v>122</v>
      </c>
      <c r="S603" s="13" t="s">
        <v>122</v>
      </c>
      <c r="T603" s="13">
        <v>44901</v>
      </c>
      <c r="U603" s="13">
        <v>2958465</v>
      </c>
      <c r="V603" s="13" t="s">
        <v>282</v>
      </c>
      <c r="W603" s="13" t="s">
        <v>145</v>
      </c>
      <c r="Y603" s="13" t="s">
        <v>143</v>
      </c>
      <c r="Z603" s="13">
        <v>7589154</v>
      </c>
      <c r="AA603" s="13">
        <v>1092</v>
      </c>
      <c r="AB603" s="13">
        <v>546</v>
      </c>
      <c r="AE603" s="51">
        <f>M603/O603</f>
        <v>2</v>
      </c>
      <c r="AG603" s="6" t="str">
        <f>C603</f>
        <v>90MB1BJ0-C1BAY0</v>
      </c>
      <c r="AH603" s="6" t="str">
        <f>IF($D603&lt;=AH$4,"",IF(AND($D602=AH$4,$D603&gt;AH$4),$F602,AH602))</f>
        <v>59MB1BJB-MB0A02S</v>
      </c>
      <c r="AI603" s="6" t="str">
        <f>IF($D603&lt;=AI$4,"",IF(AND($D602=AI$4,$D603&gt;AI$4),$F602,AI602))</f>
        <v/>
      </c>
      <c r="AJ603" s="6" t="str">
        <f>IF($D603&lt;=AJ$4,"",IF(AND($D602=AJ$4,$D603&gt;AJ$4),$F602,AJ602))</f>
        <v/>
      </c>
      <c r="AK603" s="6" t="str">
        <f>IF($D603&lt;=AK$4,"",IF(AND($D602=AK$4,$D603&gt;AK$4),$F602,AK602))</f>
        <v/>
      </c>
      <c r="AL603" s="6" t="str">
        <f>IF($D603&lt;=AL$4,"",IF(AND($D602=AL$4,$D603&gt;AL$4),$F602,AL602))</f>
        <v/>
      </c>
      <c r="AM603" s="6" t="str">
        <f>IF($D603&lt;=AM$4,"",IF(AND($D602=AM$4,$D603&gt;AM$4),$F602,AM602))</f>
        <v/>
      </c>
      <c r="AN603" s="6" t="str">
        <f>IF($D603&lt;=AN$4,"",IF(AND($D602=AN$4,$D603&gt;AN$4),$F602,AN602))</f>
        <v/>
      </c>
      <c r="AO603" s="6" t="str">
        <f>CONCATENATE(AG603," | ",AH603," | ",AI603," | ",AJ603," | ",AK603," | ",AL603," | ",AM603," | ",AN603)</f>
        <v xml:space="preserve">90MB1BJ0-C1BAY0 | 59MB1BJB-MB0A02S |  |  |  |  |  | </v>
      </c>
      <c r="AP603" s="6">
        <f>IF(TRIM(H603)="",100,J603)</f>
        <v>0</v>
      </c>
      <c r="AQ603" s="4"/>
      <c r="AR603" s="6" t="b">
        <f>NOT(TRIM(W603)&lt;&gt;"F")</f>
        <v>1</v>
      </c>
      <c r="AS603" s="6" t="str">
        <f>$B603&amp;" | "&amp;$AO603&amp;" | "&amp;IF(TRIM(H603)="","uniq"&amp;ROW(),TRIM(H603))</f>
        <v>461E | 90MB1BJ0-C1BAY0 | 59MB1BJB-MB0A02S |  |  |  |  |  |  | K8</v>
      </c>
      <c r="AT603" s="63">
        <f>IF(NOT(AR603),IF(TRIM($H603)="","Assembly","Phantom Alt"),VLOOKUP(F603,ZPCS04!B:G,6,0))</f>
        <v>879</v>
      </c>
      <c r="AU603" s="7"/>
      <c r="AV603" s="38">
        <f ca="1">IF(TRIM($W603)="F",OFFSET($A$5,MATCH($AS603,$AS$5:$AS603,0)-1,0),$A603)</f>
        <v>601</v>
      </c>
      <c r="AW603" s="38">
        <f ca="1">IFERROR(OFFSET(ZPCS04!$A$1,MATCH(F603,ZPCS04!B:B,0)-1,0),100)</f>
        <v>2</v>
      </c>
      <c r="AX603" s="7"/>
      <c r="AY603" s="6" t="b">
        <f>SUMIF(AS:AS,AS603,AP:AP)=100</f>
        <v>1</v>
      </c>
      <c r="AZ603" s="6" t="b">
        <f>SUMIF(AS:AS,AS603,AE:AE)/COUNTIF(AS:AS,AS603)=AE603</f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>C603&amp;" | "&amp;F603</f>
        <v>90MB1BJ0-C1BAY0 | 11G232033004070</v>
      </c>
      <c r="BE603" s="55" t="str">
        <f ca="1">C603&amp;" | "&amp;OFFSET($AF603,0,8-COUNTBLANK($AG603:$AN603))</f>
        <v>90MB1BJ0-C1BAY0 | 59MB1BJB-MB0A02S</v>
      </c>
      <c r="BF603" s="57">
        <f ca="1">IFERROR(VLOOKUP($BE603,$BD$5:$BF602,3,0)*$AE603,VLOOKUP($C603,Demanda!$A:$B,2,0)*$AE603)*IF(AT603="Phantom Alt",$BC603,TRUE)</f>
        <v>2000</v>
      </c>
      <c r="BG603" s="57">
        <f ca="1">BF603*(AP603/100)</f>
        <v>0</v>
      </c>
      <c r="BH603" s="57">
        <f>SUMIF(Invoice!A:A,F603,Invoice!B:B)</f>
        <v>0</v>
      </c>
      <c r="BI603" s="57">
        <f ca="1">SUMIF(AS:AS,AS603,BG:BG)</f>
        <v>2000</v>
      </c>
      <c r="BJ603" s="57">
        <f ca="1">MIN((BI603-SUMIF($AS$5:AS602,AS603,$BJ$5:BJ602)),MAX(0,BH603-SUMIF($F$5:F602,F603,$BJ$5:BJ602)))</f>
        <v>0</v>
      </c>
      <c r="BK603" s="57">
        <f ca="1">(-SUMIF(AS:AS,AS603,BG:BG)+SUMIF(AS:AS,AS603,BJ:BJ))*(AP603=100)*AR603</f>
        <v>0</v>
      </c>
      <c r="BL603" s="57">
        <f ca="1">MAX(0,SUMIF(Invoice!A:A,F603,Invoice!B:B)-SUMIF(F:F,F603,BJ:BJ))*(COUNTIF(F:F,F603)=COUNTIF($F$5:F603,F603))</f>
        <v>0</v>
      </c>
    </row>
    <row r="604" spans="1:64" hidden="1">
      <c r="A604" s="43">
        <v>604</v>
      </c>
      <c r="B604" s="13" t="s">
        <v>147</v>
      </c>
      <c r="C604" s="13" t="s">
        <v>146</v>
      </c>
      <c r="D604" s="13">
        <v>2</v>
      </c>
      <c r="E604" s="13">
        <v>2080</v>
      </c>
      <c r="F604" s="71" t="s">
        <v>1456</v>
      </c>
      <c r="G604" s="71" t="s">
        <v>1457</v>
      </c>
      <c r="H604" s="13" t="s">
        <v>1452</v>
      </c>
      <c r="I604" s="13" t="s">
        <v>55</v>
      </c>
      <c r="J604" s="28">
        <v>0</v>
      </c>
      <c r="K604" s="13" t="s">
        <v>1428</v>
      </c>
      <c r="L604" s="13" t="s">
        <v>53</v>
      </c>
      <c r="M604" s="13">
        <v>2</v>
      </c>
      <c r="O604" s="13">
        <v>1</v>
      </c>
      <c r="P604" s="13">
        <v>2</v>
      </c>
      <c r="Q604" s="13">
        <v>5</v>
      </c>
      <c r="R604" s="13" t="s">
        <v>122</v>
      </c>
      <c r="S604" s="13" t="s">
        <v>122</v>
      </c>
      <c r="T604" s="13">
        <v>44901</v>
      </c>
      <c r="U604" s="13">
        <v>2958465</v>
      </c>
      <c r="V604" s="13" t="s">
        <v>282</v>
      </c>
      <c r="W604" s="13" t="s">
        <v>145</v>
      </c>
      <c r="Y604" s="13" t="s">
        <v>143</v>
      </c>
      <c r="Z604" s="13">
        <v>7589154</v>
      </c>
      <c r="AA604" s="13">
        <v>1098</v>
      </c>
      <c r="AB604" s="13">
        <v>549</v>
      </c>
      <c r="AE604" s="51">
        <f>M604/O604</f>
        <v>2</v>
      </c>
      <c r="AG604" s="6" t="str">
        <f>C604</f>
        <v>90MB1BJ0-C1BAY0</v>
      </c>
      <c r="AH604" s="6" t="str">
        <f>IF($D604&lt;=AH$4,"",IF(AND($D603=AH$4,$D604&gt;AH$4),$F603,AH603))</f>
        <v>59MB1BJB-MB0A02S</v>
      </c>
      <c r="AI604" s="6" t="str">
        <f>IF($D604&lt;=AI$4,"",IF(AND($D603=AI$4,$D604&gt;AI$4),$F603,AI603))</f>
        <v/>
      </c>
      <c r="AJ604" s="6" t="str">
        <f>IF($D604&lt;=AJ$4,"",IF(AND($D603=AJ$4,$D604&gt;AJ$4),$F603,AJ603))</f>
        <v/>
      </c>
      <c r="AK604" s="6" t="str">
        <f>IF($D604&lt;=AK$4,"",IF(AND($D603=AK$4,$D604&gt;AK$4),$F603,AK603))</f>
        <v/>
      </c>
      <c r="AL604" s="6" t="str">
        <f>IF($D604&lt;=AL$4,"",IF(AND($D603=AL$4,$D604&gt;AL$4),$F603,AL603))</f>
        <v/>
      </c>
      <c r="AM604" s="6" t="str">
        <f>IF($D604&lt;=AM$4,"",IF(AND($D603=AM$4,$D604&gt;AM$4),$F603,AM603))</f>
        <v/>
      </c>
      <c r="AN604" s="6" t="str">
        <f>IF($D604&lt;=AN$4,"",IF(AND($D603=AN$4,$D604&gt;AN$4),$F603,AN603))</f>
        <v/>
      </c>
      <c r="AO604" s="6" t="str">
        <f>CONCATENATE(AG604," | ",AH604," | ",AI604," | ",AJ604," | ",AK604," | ",AL604," | ",AM604," | ",AN604)</f>
        <v xml:space="preserve">90MB1BJ0-C1BAY0 | 59MB1BJB-MB0A02S |  |  |  |  |  | </v>
      </c>
      <c r="AP604" s="6">
        <f>IF(TRIM(H604)="",100,J604)</f>
        <v>0</v>
      </c>
      <c r="AQ604" s="4"/>
      <c r="AR604" s="6" t="b">
        <f>NOT(TRIM(W604)&lt;&gt;"F")</f>
        <v>1</v>
      </c>
      <c r="AS604" s="6" t="str">
        <f>$B604&amp;" | "&amp;$AO604&amp;" | "&amp;IF(TRIM(H604)="","uniq"&amp;ROW(),TRIM(H604))</f>
        <v>461E | 90MB1BJ0-C1BAY0 | 59MB1BJB-MB0A02S |  |  |  |  |  |  | K8</v>
      </c>
      <c r="AT604" s="63">
        <f>IF(NOT(AR604),IF(TRIM($H604)="","Assembly","Phantom Alt"),VLOOKUP(F604,ZPCS04!B:G,6,0))</f>
        <v>879</v>
      </c>
      <c r="AU604" s="7"/>
      <c r="AV604" s="38">
        <f ca="1">IF(TRIM($W604)="F",OFFSET($A$5,MATCH($AS604,$AS$5:$AS604,0)-1,0),$A604)</f>
        <v>601</v>
      </c>
      <c r="AW604" s="38">
        <f ca="1">IFERROR(OFFSET(ZPCS04!$A$1,MATCH(F604,ZPCS04!B:B,0)-1,0),100)</f>
        <v>2</v>
      </c>
      <c r="AX604" s="7"/>
      <c r="AY604" s="6" t="b">
        <f>SUMIF(AS:AS,AS604,AP:AP)=100</f>
        <v>1</v>
      </c>
      <c r="AZ604" s="6" t="b">
        <f>SUMIF(AS:AS,AS604,AE:AE)/COUNTIF(AS:AS,AS604)=AE604</f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>C604&amp;" | "&amp;F604</f>
        <v>90MB1BJ0-C1BAY0 | 11G232033004150</v>
      </c>
      <c r="BE604" s="55" t="str">
        <f ca="1">C604&amp;" | "&amp;OFFSET($AF604,0,8-COUNTBLANK($AG604:$AN604))</f>
        <v>90MB1BJ0-C1BAY0 | 59MB1BJB-MB0A02S</v>
      </c>
      <c r="BF604" s="57">
        <f ca="1">IFERROR(VLOOKUP($BE604,$BD$5:$BF603,3,0)*$AE604,VLOOKUP($C604,Demanda!$A:$B,2,0)*$AE604)*IF(AT604="Phantom Alt",$BC604,TRUE)</f>
        <v>2000</v>
      </c>
      <c r="BG604" s="57">
        <f ca="1">BF604*(AP604/100)</f>
        <v>0</v>
      </c>
      <c r="BH604" s="57">
        <f>SUMIF(Invoice!A:A,F604,Invoice!B:B)</f>
        <v>0</v>
      </c>
      <c r="BI604" s="57">
        <f ca="1">SUMIF(AS:AS,AS604,BG:BG)</f>
        <v>2000</v>
      </c>
      <c r="BJ604" s="57">
        <f ca="1">MIN((BI604-SUMIF($AS$5:AS603,AS604,$BJ$5:BJ603)),MAX(0,BH604-SUMIF($F$5:F603,F604,$BJ$5:BJ603)))</f>
        <v>0</v>
      </c>
      <c r="BK604" s="57">
        <f ca="1">(-SUMIF(AS:AS,AS604,BG:BG)+SUMIF(AS:AS,AS604,BJ:BJ))*(AP604=100)*AR604</f>
        <v>0</v>
      </c>
      <c r="BL604" s="57">
        <f ca="1">MAX(0,SUMIF(Invoice!A:A,F604,Invoice!B:B)-SUMIF(F:F,F604,BJ:BJ))*(COUNTIF(F:F,F604)=COUNTIF($F$5:F604,F604))</f>
        <v>0</v>
      </c>
    </row>
    <row r="605" spans="1:64" hidden="1">
      <c r="A605" s="43">
        <v>605</v>
      </c>
      <c r="B605" s="13" t="s">
        <v>147</v>
      </c>
      <c r="C605" s="13" t="s">
        <v>146</v>
      </c>
      <c r="D605" s="13">
        <v>2</v>
      </c>
      <c r="E605" s="13">
        <v>2080</v>
      </c>
      <c r="F605" s="71" t="s">
        <v>1458</v>
      </c>
      <c r="G605" s="71" t="s">
        <v>1457</v>
      </c>
      <c r="H605" s="13" t="s">
        <v>1452</v>
      </c>
      <c r="I605" s="13" t="s">
        <v>55</v>
      </c>
      <c r="J605" s="28">
        <v>0</v>
      </c>
      <c r="K605" s="13" t="s">
        <v>1428</v>
      </c>
      <c r="L605" s="13" t="s">
        <v>53</v>
      </c>
      <c r="M605" s="13">
        <v>2</v>
      </c>
      <c r="O605" s="13">
        <v>1</v>
      </c>
      <c r="P605" s="13">
        <v>2</v>
      </c>
      <c r="Q605" s="13">
        <v>4</v>
      </c>
      <c r="R605" s="13" t="s">
        <v>122</v>
      </c>
      <c r="S605" s="13" t="s">
        <v>122</v>
      </c>
      <c r="T605" s="13">
        <v>44901</v>
      </c>
      <c r="U605" s="13">
        <v>2958465</v>
      </c>
      <c r="V605" s="13" t="s">
        <v>282</v>
      </c>
      <c r="W605" s="13" t="s">
        <v>145</v>
      </c>
      <c r="Y605" s="13" t="s">
        <v>143</v>
      </c>
      <c r="Z605" s="13">
        <v>7589154</v>
      </c>
      <c r="AA605" s="13">
        <v>1096</v>
      </c>
      <c r="AB605" s="13">
        <v>548</v>
      </c>
      <c r="AE605" s="51">
        <f>M605/O605</f>
        <v>2</v>
      </c>
      <c r="AG605" s="6" t="str">
        <f>C605</f>
        <v>90MB1BJ0-C1BAY0</v>
      </c>
      <c r="AH605" s="6" t="str">
        <f>IF($D605&lt;=AH$4,"",IF(AND($D604=AH$4,$D605&gt;AH$4),$F604,AH604))</f>
        <v>59MB1BJB-MB0A02S</v>
      </c>
      <c r="AI605" s="6" t="str">
        <f>IF($D605&lt;=AI$4,"",IF(AND($D604=AI$4,$D605&gt;AI$4),$F604,AI604))</f>
        <v/>
      </c>
      <c r="AJ605" s="6" t="str">
        <f>IF($D605&lt;=AJ$4,"",IF(AND($D604=AJ$4,$D605&gt;AJ$4),$F604,AJ604))</f>
        <v/>
      </c>
      <c r="AK605" s="6" t="str">
        <f>IF($D605&lt;=AK$4,"",IF(AND($D604=AK$4,$D605&gt;AK$4),$F604,AK604))</f>
        <v/>
      </c>
      <c r="AL605" s="6" t="str">
        <f>IF($D605&lt;=AL$4,"",IF(AND($D604=AL$4,$D605&gt;AL$4),$F604,AL604))</f>
        <v/>
      </c>
      <c r="AM605" s="6" t="str">
        <f>IF($D605&lt;=AM$4,"",IF(AND($D604=AM$4,$D605&gt;AM$4),$F604,AM604))</f>
        <v/>
      </c>
      <c r="AN605" s="6" t="str">
        <f>IF($D605&lt;=AN$4,"",IF(AND($D604=AN$4,$D605&gt;AN$4),$F604,AN604))</f>
        <v/>
      </c>
      <c r="AO605" s="6" t="str">
        <f>CONCATENATE(AG605," | ",AH605," | ",AI605," | ",AJ605," | ",AK605," | ",AL605," | ",AM605," | ",AN605)</f>
        <v xml:space="preserve">90MB1BJ0-C1BAY0 | 59MB1BJB-MB0A02S |  |  |  |  |  | </v>
      </c>
      <c r="AP605" s="6">
        <f>IF(TRIM(H605)="",100,J605)</f>
        <v>0</v>
      </c>
      <c r="AQ605" s="4"/>
      <c r="AR605" s="6" t="b">
        <f>NOT(TRIM(W605)&lt;&gt;"F")</f>
        <v>1</v>
      </c>
      <c r="AS605" s="6" t="str">
        <f>$B605&amp;" | "&amp;$AO605&amp;" | "&amp;IF(TRIM(H605)="","uniq"&amp;ROW(),TRIM(H605))</f>
        <v>461E | 90MB1BJ0-C1BAY0 | 59MB1BJB-MB0A02S |  |  |  |  |  |  | K8</v>
      </c>
      <c r="AT605" s="63">
        <f>IF(NOT(AR605),IF(TRIM($H605)="","Assembly","Phantom Alt"),VLOOKUP(F605,ZPCS04!B:G,6,0))</f>
        <v>879</v>
      </c>
      <c r="AU605" s="7"/>
      <c r="AV605" s="38">
        <f ca="1">IF(TRIM($W605)="F",OFFSET($A$5,MATCH($AS605,$AS$5:$AS605,0)-1,0),$A605)</f>
        <v>601</v>
      </c>
      <c r="AW605" s="38">
        <f ca="1">IFERROR(OFFSET(ZPCS04!$A$1,MATCH(F605,ZPCS04!B:B,0)-1,0),100)</f>
        <v>2</v>
      </c>
      <c r="AX605" s="7"/>
      <c r="AY605" s="6" t="b">
        <f>SUMIF(AS:AS,AS605,AP:AP)=100</f>
        <v>1</v>
      </c>
      <c r="AZ605" s="6" t="b">
        <f>SUMIF(AS:AS,AS605,AE:AE)/COUNTIF(AS:AS,AS605)=AE605</f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>C605&amp;" | "&amp;F605</f>
        <v>90MB1BJ0-C1BAY0 | 11G232033004390</v>
      </c>
      <c r="BE605" s="55" t="str">
        <f ca="1">C605&amp;" | "&amp;OFFSET($AF605,0,8-COUNTBLANK($AG605:$AN605))</f>
        <v>90MB1BJ0-C1BAY0 | 59MB1BJB-MB0A02S</v>
      </c>
      <c r="BF605" s="57">
        <f ca="1">IFERROR(VLOOKUP($BE605,$BD$5:$BF604,3,0)*$AE605,VLOOKUP($C605,Demanda!$A:$B,2,0)*$AE605)*IF(AT605="Phantom Alt",$BC605,TRUE)</f>
        <v>2000</v>
      </c>
      <c r="BG605" s="57">
        <f ca="1">BF605*(AP605/100)</f>
        <v>0</v>
      </c>
      <c r="BH605" s="57">
        <f>SUMIF(Invoice!A:A,F605,Invoice!B:B)</f>
        <v>0</v>
      </c>
      <c r="BI605" s="57">
        <f ca="1">SUMIF(AS:AS,AS605,BG:BG)</f>
        <v>2000</v>
      </c>
      <c r="BJ605" s="57">
        <f ca="1">MIN((BI605-SUMIF($AS$5:AS604,AS605,$BJ$5:BJ604)),MAX(0,BH605-SUMIF($F$5:F604,F605,$BJ$5:BJ604)))</f>
        <v>0</v>
      </c>
      <c r="BK605" s="57">
        <f ca="1">(-SUMIF(AS:AS,AS605,BG:BG)+SUMIF(AS:AS,AS605,BJ:BJ))*(AP605=100)*AR605</f>
        <v>0</v>
      </c>
      <c r="BL605" s="57">
        <f ca="1">MAX(0,SUMIF(Invoice!A:A,F605,Invoice!B:B)-SUMIF(F:F,F605,BJ:BJ))*(COUNTIF(F:F,F605)=COUNTIF($F$5:F605,F605))</f>
        <v>0</v>
      </c>
    </row>
    <row r="606" spans="1:64" hidden="1">
      <c r="A606" s="43">
        <v>607</v>
      </c>
      <c r="B606" s="13" t="s">
        <v>147</v>
      </c>
      <c r="C606" s="13" t="s">
        <v>146</v>
      </c>
      <c r="D606" s="13">
        <v>2</v>
      </c>
      <c r="E606" s="13">
        <v>2090</v>
      </c>
      <c r="F606" s="71" t="s">
        <v>1462</v>
      </c>
      <c r="G606" s="71" t="s">
        <v>1463</v>
      </c>
      <c r="H606" s="13" t="s">
        <v>1461</v>
      </c>
      <c r="I606" s="13" t="s">
        <v>55</v>
      </c>
      <c r="J606" s="28">
        <v>0</v>
      </c>
      <c r="K606" s="13" t="s">
        <v>1428</v>
      </c>
      <c r="L606" s="13" t="s">
        <v>53</v>
      </c>
      <c r="M606" s="13">
        <v>19</v>
      </c>
      <c r="O606" s="13">
        <v>1</v>
      </c>
      <c r="P606" s="13">
        <v>2</v>
      </c>
      <c r="Q606" s="13">
        <v>3</v>
      </c>
      <c r="R606" s="13" t="s">
        <v>122</v>
      </c>
      <c r="S606" s="13" t="s">
        <v>122</v>
      </c>
      <c r="T606" s="13">
        <v>44901</v>
      </c>
      <c r="U606" s="13">
        <v>2958465</v>
      </c>
      <c r="V606" s="13" t="s">
        <v>282</v>
      </c>
      <c r="W606" s="13" t="s">
        <v>145</v>
      </c>
      <c r="Y606" s="13" t="s">
        <v>143</v>
      </c>
      <c r="Z606" s="13">
        <v>7589154</v>
      </c>
      <c r="AA606" s="13">
        <v>1104</v>
      </c>
      <c r="AB606" s="13">
        <v>552</v>
      </c>
      <c r="AE606" s="51">
        <f>M606/O606</f>
        <v>19</v>
      </c>
      <c r="AG606" s="6" t="str">
        <f>C606</f>
        <v>90MB1BJ0-C1BAY0</v>
      </c>
      <c r="AH606" s="6" t="str">
        <f>IF($D606&lt;=AH$4,"",IF(AND($D605=AH$4,$D606&gt;AH$4),$F605,AH605))</f>
        <v>59MB1BJB-MB0A02S</v>
      </c>
      <c r="AI606" s="6" t="str">
        <f>IF($D606&lt;=AI$4,"",IF(AND($D605=AI$4,$D606&gt;AI$4),$F605,AI605))</f>
        <v/>
      </c>
      <c r="AJ606" s="6" t="str">
        <f>IF($D606&lt;=AJ$4,"",IF(AND($D605=AJ$4,$D606&gt;AJ$4),$F605,AJ605))</f>
        <v/>
      </c>
      <c r="AK606" s="6" t="str">
        <f>IF($D606&lt;=AK$4,"",IF(AND($D605=AK$4,$D606&gt;AK$4),$F605,AK605))</f>
        <v/>
      </c>
      <c r="AL606" s="6" t="str">
        <f>IF($D606&lt;=AL$4,"",IF(AND($D605=AL$4,$D606&gt;AL$4),$F605,AL605))</f>
        <v/>
      </c>
      <c r="AM606" s="6" t="str">
        <f>IF($D606&lt;=AM$4,"",IF(AND($D605=AM$4,$D606&gt;AM$4),$F605,AM605))</f>
        <v/>
      </c>
      <c r="AN606" s="6" t="str">
        <f>IF($D606&lt;=AN$4,"",IF(AND($D605=AN$4,$D606&gt;AN$4),$F605,AN605))</f>
        <v/>
      </c>
      <c r="AO606" s="6" t="str">
        <f>CONCATENATE(AG606," | ",AH606," | ",AI606," | ",AJ606," | ",AK606," | ",AL606," | ",AM606," | ",AN606)</f>
        <v xml:space="preserve">90MB1BJ0-C1BAY0 | 59MB1BJB-MB0A02S |  |  |  |  |  | </v>
      </c>
      <c r="AP606" s="6">
        <f>IF(TRIM(H606)="",100,J606)</f>
        <v>0</v>
      </c>
      <c r="AQ606" s="4"/>
      <c r="AR606" s="6" t="b">
        <f>NOT(TRIM(W606)&lt;&gt;"F")</f>
        <v>1</v>
      </c>
      <c r="AS606" s="6" t="str">
        <f>$B606&amp;" | "&amp;$AO606&amp;" | "&amp;IF(TRIM(H606)="","uniq"&amp;ROW(),TRIM(H606))</f>
        <v>461E | 90MB1BJ0-C1BAY0 | 59MB1BJB-MB0A02S |  |  |  |  |  |  | K9</v>
      </c>
      <c r="AT606" s="63">
        <f>IF(NOT(AR606),IF(TRIM($H606)="","Assembly","Phantom Alt"),VLOOKUP(F606,ZPCS04!B:G,6,0))</f>
        <v>741</v>
      </c>
      <c r="AU606" s="7"/>
      <c r="AV606" s="38">
        <f ca="1">IF(TRIM($W606)="F",OFFSET($A$5,MATCH($AS606,$AS$5:$AS606,0)-1,0),$A606)</f>
        <v>607</v>
      </c>
      <c r="AW606" s="38">
        <f ca="1">IFERROR(OFFSET(ZPCS04!$A$1,MATCH(F606,ZPCS04!B:B,0)-1,0),100)</f>
        <v>1.9999997999999999</v>
      </c>
      <c r="AX606" s="7"/>
      <c r="AY606" s="6" t="b">
        <f>SUMIF(AS:AS,AS606,AP:AP)=100</f>
        <v>1</v>
      </c>
      <c r="AZ606" s="6" t="b">
        <f>SUMIF(AS:AS,AS606,AE:AE)/COUNTIF(AS:AS,AS606)=AE606</f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>C606&amp;" | "&amp;F606</f>
        <v>90MB1BJ0-C1BAY0 | 11G232010104070</v>
      </c>
      <c r="BE606" s="55" t="str">
        <f ca="1">C606&amp;" | "&amp;OFFSET($AF606,0,8-COUNTBLANK($AG606:$AN606))</f>
        <v>90MB1BJ0-C1BAY0 | 59MB1BJB-MB0A02S</v>
      </c>
      <c r="BF606" s="57">
        <f ca="1">IFERROR(VLOOKUP($BE606,$BD$5:$BF605,3,0)*$AE606,VLOOKUP($C606,Demanda!$A:$B,2,0)*$AE606)*IF(AT606="Phantom Alt",$BC606,TRUE)</f>
        <v>19000</v>
      </c>
      <c r="BG606" s="57">
        <f ca="1">BF606*(AP606/100)</f>
        <v>0</v>
      </c>
      <c r="BH606" s="57">
        <f>SUMIF(Invoice!A:A,F606,Invoice!B:B)</f>
        <v>20000</v>
      </c>
      <c r="BI606" s="57">
        <f ca="1">SUMIF(AS:AS,AS606,BG:BG)</f>
        <v>19000</v>
      </c>
      <c r="BJ606" s="57">
        <f ca="1">MIN((BI606-SUMIF($AS$5:AS605,AS606,$BJ$5:BJ605)),MAX(0,BH606-SUMIF($F$5:F605,F606,$BJ$5:BJ605)))</f>
        <v>19000</v>
      </c>
      <c r="BK606" s="57">
        <f ca="1">(-SUMIF(AS:AS,AS606,BG:BG)+SUMIF(AS:AS,AS606,BJ:BJ))*(AP606=100)*AR606</f>
        <v>0</v>
      </c>
      <c r="BL606" s="57">
        <f ca="1">MAX(0,SUMIF(Invoice!A:A,F606,Invoice!B:B)-SUMIF(F:F,F606,BJ:BJ))*(COUNTIF(F:F,F606)=COUNTIF($F$5:F606,F606))</f>
        <v>1000</v>
      </c>
    </row>
    <row r="607" spans="1:64" hidden="1">
      <c r="A607" s="43">
        <v>606</v>
      </c>
      <c r="B607" s="13" t="s">
        <v>147</v>
      </c>
      <c r="C607" s="13" t="s">
        <v>146</v>
      </c>
      <c r="D607" s="13">
        <v>2</v>
      </c>
      <c r="E607" s="13">
        <v>2090</v>
      </c>
      <c r="F607" s="71" t="s">
        <v>1459</v>
      </c>
      <c r="G607" s="71" t="s">
        <v>1460</v>
      </c>
      <c r="H607" s="13" t="s">
        <v>1461</v>
      </c>
      <c r="I607" s="13" t="s">
        <v>54</v>
      </c>
      <c r="J607" s="28">
        <v>100</v>
      </c>
      <c r="K607" s="13" t="s">
        <v>150</v>
      </c>
      <c r="L607" s="13" t="s">
        <v>53</v>
      </c>
      <c r="M607" s="13">
        <v>19</v>
      </c>
      <c r="N607" s="13">
        <v>19</v>
      </c>
      <c r="O607" s="13">
        <v>1</v>
      </c>
      <c r="P607" s="13">
        <v>2</v>
      </c>
      <c r="Q607" s="13">
        <v>1</v>
      </c>
      <c r="R607" s="13" t="s">
        <v>73</v>
      </c>
      <c r="S607" s="13" t="s">
        <v>73</v>
      </c>
      <c r="T607" s="13">
        <v>44901</v>
      </c>
      <c r="U607" s="13">
        <v>2958465</v>
      </c>
      <c r="V607" s="13" t="s">
        <v>282</v>
      </c>
      <c r="W607" s="13" t="s">
        <v>145</v>
      </c>
      <c r="Y607" s="13" t="s">
        <v>143</v>
      </c>
      <c r="Z607" s="13">
        <v>7589154</v>
      </c>
      <c r="AA607" s="13">
        <v>1100</v>
      </c>
      <c r="AB607" s="13">
        <v>550</v>
      </c>
      <c r="AE607" s="51">
        <f>M607/O607</f>
        <v>19</v>
      </c>
      <c r="AG607" s="6" t="str">
        <f>C607</f>
        <v>90MB1BJ0-C1BAY0</v>
      </c>
      <c r="AH607" s="6" t="str">
        <f>IF($D607&lt;=AH$4,"",IF(AND($D606=AH$4,$D607&gt;AH$4),$F606,AH606))</f>
        <v>59MB1BJB-MB0A02S</v>
      </c>
      <c r="AI607" s="6" t="str">
        <f>IF($D607&lt;=AI$4,"",IF(AND($D606=AI$4,$D607&gt;AI$4),$F606,AI606))</f>
        <v/>
      </c>
      <c r="AJ607" s="6" t="str">
        <f>IF($D607&lt;=AJ$4,"",IF(AND($D606=AJ$4,$D607&gt;AJ$4),$F606,AJ606))</f>
        <v/>
      </c>
      <c r="AK607" s="6" t="str">
        <f>IF($D607&lt;=AK$4,"",IF(AND($D606=AK$4,$D607&gt;AK$4),$F606,AK606))</f>
        <v/>
      </c>
      <c r="AL607" s="6" t="str">
        <f>IF($D607&lt;=AL$4,"",IF(AND($D606=AL$4,$D607&gt;AL$4),$F606,AL606))</f>
        <v/>
      </c>
      <c r="AM607" s="6" t="str">
        <f>IF($D607&lt;=AM$4,"",IF(AND($D606=AM$4,$D607&gt;AM$4),$F606,AM606))</f>
        <v/>
      </c>
      <c r="AN607" s="6" t="str">
        <f>IF($D607&lt;=AN$4,"",IF(AND($D606=AN$4,$D607&gt;AN$4),$F606,AN606))</f>
        <v/>
      </c>
      <c r="AO607" s="6" t="str">
        <f>CONCATENATE(AG607," | ",AH607," | ",AI607," | ",AJ607," | ",AK607," | ",AL607," | ",AM607," | ",AN607)</f>
        <v xml:space="preserve">90MB1BJ0-C1BAY0 | 59MB1BJB-MB0A02S |  |  |  |  |  | </v>
      </c>
      <c r="AP607" s="6">
        <f>IF(TRIM(H607)="",100,J607)</f>
        <v>100</v>
      </c>
      <c r="AQ607" s="4"/>
      <c r="AR607" s="6" t="b">
        <f>NOT(TRIM(W607)&lt;&gt;"F")</f>
        <v>1</v>
      </c>
      <c r="AS607" s="6" t="str">
        <f>$B607&amp;" | "&amp;$AO607&amp;" | "&amp;IF(TRIM(H607)="","uniq"&amp;ROW(),TRIM(H607))</f>
        <v>461E | 90MB1BJ0-C1BAY0 | 59MB1BJB-MB0A02S |  |  |  |  |  |  | K9</v>
      </c>
      <c r="AT607" s="63">
        <f>IF(NOT(AR607),IF(TRIM($H607)="","Assembly","Phantom Alt"),VLOOKUP(F607,ZPCS04!B:G,6,0))</f>
        <v>741</v>
      </c>
      <c r="AU607" s="7"/>
      <c r="AV607" s="38">
        <f ca="1">IF(TRIM($W607)="F",OFFSET($A$5,MATCH($AS607,$AS$5:$AS607,0)-1,0),$A607)</f>
        <v>607</v>
      </c>
      <c r="AW607" s="38">
        <f ca="1">IFERROR(OFFSET(ZPCS04!$A$1,MATCH(F607,ZPCS04!B:B,0)-1,0),100)</f>
        <v>2</v>
      </c>
      <c r="AX607" s="7"/>
      <c r="AY607" s="6" t="b">
        <f>SUMIF(AS:AS,AS607,AP:AP)=100</f>
        <v>1</v>
      </c>
      <c r="AZ607" s="6" t="b">
        <f>SUMIF(AS:AS,AS607,AE:AE)/COUNTIF(AS:AS,AS607)=AE607</f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>C607&amp;" | "&amp;F607</f>
        <v>90MB1BJ0-C1BAY0 | 11203-0042Q000</v>
      </c>
      <c r="BE607" s="55" t="str">
        <f ca="1">C607&amp;" | "&amp;OFFSET($AF607,0,8-COUNTBLANK($AG607:$AN607))</f>
        <v>90MB1BJ0-C1BAY0 | 59MB1BJB-MB0A02S</v>
      </c>
      <c r="BF607" s="57">
        <f ca="1">IFERROR(VLOOKUP($BE607,$BD$5:$BF606,3,0)*$AE607,VLOOKUP($C607,Demanda!$A:$B,2,0)*$AE607)*IF(AT607="Phantom Alt",$BC607,TRUE)</f>
        <v>19000</v>
      </c>
      <c r="BG607" s="57">
        <f ca="1">BF607*(AP607/100)</f>
        <v>19000</v>
      </c>
      <c r="BH607" s="57">
        <f>SUMIF(Invoice!A:A,F607,Invoice!B:B)</f>
        <v>0</v>
      </c>
      <c r="BI607" s="57">
        <f ca="1">SUMIF(AS:AS,AS607,BG:BG)</f>
        <v>19000</v>
      </c>
      <c r="BJ607" s="57">
        <f ca="1">MIN((BI607-SUMIF($AS$5:AS606,AS607,$BJ$5:BJ606)),MAX(0,BH607-SUMIF($F$5:F606,F607,$BJ$5:BJ606)))</f>
        <v>0</v>
      </c>
      <c r="BK607" s="57">
        <f ca="1">(-SUMIF(AS:AS,AS607,BG:BG)+SUMIF(AS:AS,AS607,BJ:BJ))*(AP607=100)*AR607</f>
        <v>0</v>
      </c>
      <c r="BL607" s="57">
        <f ca="1">MAX(0,SUMIF(Invoice!A:A,F607,Invoice!B:B)-SUMIF(F:F,F607,BJ:BJ))*(COUNTIF(F:F,F607)=COUNTIF($F$5:F607,F607))</f>
        <v>0</v>
      </c>
    </row>
    <row r="608" spans="1:64" hidden="1">
      <c r="A608" s="43">
        <v>608</v>
      </c>
      <c r="B608" s="13" t="s">
        <v>147</v>
      </c>
      <c r="C608" s="13" t="s">
        <v>146</v>
      </c>
      <c r="D608" s="13">
        <v>2</v>
      </c>
      <c r="E608" s="13">
        <v>2090</v>
      </c>
      <c r="F608" s="71" t="s">
        <v>1464</v>
      </c>
      <c r="G608" s="71" t="s">
        <v>1463</v>
      </c>
      <c r="H608" s="13" t="s">
        <v>1461</v>
      </c>
      <c r="I608" s="13" t="s">
        <v>55</v>
      </c>
      <c r="J608" s="28">
        <v>0</v>
      </c>
      <c r="K608" s="13" t="s">
        <v>1428</v>
      </c>
      <c r="L608" s="13" t="s">
        <v>53</v>
      </c>
      <c r="M608" s="13">
        <v>19</v>
      </c>
      <c r="O608" s="13">
        <v>1</v>
      </c>
      <c r="P608" s="13">
        <v>2</v>
      </c>
      <c r="Q608" s="13">
        <v>2</v>
      </c>
      <c r="R608" s="13" t="s">
        <v>122</v>
      </c>
      <c r="S608" s="13" t="s">
        <v>122</v>
      </c>
      <c r="T608" s="13">
        <v>44901</v>
      </c>
      <c r="U608" s="13">
        <v>2958465</v>
      </c>
      <c r="V608" s="13" t="s">
        <v>282</v>
      </c>
      <c r="W608" s="13" t="s">
        <v>145</v>
      </c>
      <c r="Y608" s="13" t="s">
        <v>143</v>
      </c>
      <c r="Z608" s="13">
        <v>7589154</v>
      </c>
      <c r="AA608" s="13">
        <v>1102</v>
      </c>
      <c r="AB608" s="13">
        <v>551</v>
      </c>
      <c r="AE608" s="51">
        <f>M608/O608</f>
        <v>19</v>
      </c>
      <c r="AG608" s="6" t="str">
        <f>C608</f>
        <v>90MB1BJ0-C1BAY0</v>
      </c>
      <c r="AH608" s="6" t="str">
        <f>IF($D608&lt;=AH$4,"",IF(AND($D607=AH$4,$D608&gt;AH$4),$F607,AH607))</f>
        <v>59MB1BJB-MB0A02S</v>
      </c>
      <c r="AI608" s="6" t="str">
        <f>IF($D608&lt;=AI$4,"",IF(AND($D607=AI$4,$D608&gt;AI$4),$F607,AI607))</f>
        <v/>
      </c>
      <c r="AJ608" s="6" t="str">
        <f>IF($D608&lt;=AJ$4,"",IF(AND($D607=AJ$4,$D608&gt;AJ$4),$F607,AJ607))</f>
        <v/>
      </c>
      <c r="AK608" s="6" t="str">
        <f>IF($D608&lt;=AK$4,"",IF(AND($D607=AK$4,$D608&gt;AK$4),$F607,AK607))</f>
        <v/>
      </c>
      <c r="AL608" s="6" t="str">
        <f>IF($D608&lt;=AL$4,"",IF(AND($D607=AL$4,$D608&gt;AL$4),$F607,AL607))</f>
        <v/>
      </c>
      <c r="AM608" s="6" t="str">
        <f>IF($D608&lt;=AM$4,"",IF(AND($D607=AM$4,$D608&gt;AM$4),$F607,AM607))</f>
        <v/>
      </c>
      <c r="AN608" s="6" t="str">
        <f>IF($D608&lt;=AN$4,"",IF(AND($D607=AN$4,$D608&gt;AN$4),$F607,AN607))</f>
        <v/>
      </c>
      <c r="AO608" s="6" t="str">
        <f>CONCATENATE(AG608," | ",AH608," | ",AI608," | ",AJ608," | ",AK608," | ",AL608," | ",AM608," | ",AN608)</f>
        <v xml:space="preserve">90MB1BJ0-C1BAY0 | 59MB1BJB-MB0A02S |  |  |  |  |  | </v>
      </c>
      <c r="AP608" s="6">
        <f>IF(TRIM(H608)="",100,J608)</f>
        <v>0</v>
      </c>
      <c r="AQ608" s="4"/>
      <c r="AR608" s="6" t="b">
        <f>NOT(TRIM(W608)&lt;&gt;"F")</f>
        <v>1</v>
      </c>
      <c r="AS608" s="6" t="str">
        <f>$B608&amp;" | "&amp;$AO608&amp;" | "&amp;IF(TRIM(H608)="","uniq"&amp;ROW(),TRIM(H608))</f>
        <v>461E | 90MB1BJ0-C1BAY0 | 59MB1BJB-MB0A02S |  |  |  |  |  |  | K9</v>
      </c>
      <c r="AT608" s="63">
        <f>IF(NOT(AR608),IF(TRIM($H608)="","Assembly","Phantom Alt"),VLOOKUP(F608,ZPCS04!B:G,6,0))</f>
        <v>741</v>
      </c>
      <c r="AU608" s="7"/>
      <c r="AV608" s="38">
        <f ca="1">IF(TRIM($W608)="F",OFFSET($A$5,MATCH($AS608,$AS$5:$AS608,0)-1,0),$A608)</f>
        <v>607</v>
      </c>
      <c r="AW608" s="38">
        <f ca="1">IFERROR(OFFSET(ZPCS04!$A$1,MATCH(F608,ZPCS04!B:B,0)-1,0),100)</f>
        <v>2</v>
      </c>
      <c r="AX608" s="7"/>
      <c r="AY608" s="6" t="b">
        <f>SUMIF(AS:AS,AS608,AP:AP)=100</f>
        <v>1</v>
      </c>
      <c r="AZ608" s="6" t="b">
        <f>SUMIF(AS:AS,AS608,AE:AE)/COUNTIF(AS:AS,AS608)=AE608</f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>C608&amp;" | "&amp;F608</f>
        <v>90MB1BJ0-C1BAY0 | 11G232010104390</v>
      </c>
      <c r="BE608" s="55" t="str">
        <f ca="1">C608&amp;" | "&amp;OFFSET($AF608,0,8-COUNTBLANK($AG608:$AN608))</f>
        <v>90MB1BJ0-C1BAY0 | 59MB1BJB-MB0A02S</v>
      </c>
      <c r="BF608" s="57">
        <f ca="1">IFERROR(VLOOKUP($BE608,$BD$5:$BF607,3,0)*$AE608,VLOOKUP($C608,Demanda!$A:$B,2,0)*$AE608)*IF(AT608="Phantom Alt",$BC608,TRUE)</f>
        <v>19000</v>
      </c>
      <c r="BG608" s="57">
        <f ca="1">BF608*(AP608/100)</f>
        <v>0</v>
      </c>
      <c r="BH608" s="57">
        <f>SUMIF(Invoice!A:A,F608,Invoice!B:B)</f>
        <v>0</v>
      </c>
      <c r="BI608" s="57">
        <f ca="1">SUMIF(AS:AS,AS608,BG:BG)</f>
        <v>19000</v>
      </c>
      <c r="BJ608" s="57">
        <f ca="1">MIN((BI608-SUMIF($AS$5:AS607,AS608,$BJ$5:BJ607)),MAX(0,BH608-SUMIF($F$5:F607,F608,$BJ$5:BJ607)))</f>
        <v>0</v>
      </c>
      <c r="BK608" s="57">
        <f ca="1">(-SUMIF(AS:AS,AS608,BG:BG)+SUMIF(AS:AS,AS608,BJ:BJ))*(AP608=100)*AR608</f>
        <v>0</v>
      </c>
      <c r="BL608" s="57">
        <f ca="1">MAX(0,SUMIF(Invoice!A:A,F608,Invoice!B:B)-SUMIF(F:F,F608,BJ:BJ))*(COUNTIF(F:F,F608)=COUNTIF($F$5:F608,F608))</f>
        <v>0</v>
      </c>
    </row>
    <row r="609" spans="1:64" hidden="1">
      <c r="A609" s="43">
        <v>609</v>
      </c>
      <c r="B609" s="13" t="s">
        <v>147</v>
      </c>
      <c r="C609" s="13" t="s">
        <v>146</v>
      </c>
      <c r="D609" s="13">
        <v>2</v>
      </c>
      <c r="E609" s="13">
        <v>2100</v>
      </c>
      <c r="F609" s="71" t="s">
        <v>1465</v>
      </c>
      <c r="G609" s="71" t="s">
        <v>1466</v>
      </c>
      <c r="H609" s="13" t="s">
        <v>1467</v>
      </c>
      <c r="I609" s="13" t="s">
        <v>54</v>
      </c>
      <c r="J609" s="28">
        <v>100</v>
      </c>
      <c r="K609" s="13" t="s">
        <v>150</v>
      </c>
      <c r="L609" s="13" t="s">
        <v>53</v>
      </c>
      <c r="M609" s="13">
        <v>2</v>
      </c>
      <c r="N609" s="13">
        <v>2</v>
      </c>
      <c r="O609" s="13">
        <v>1</v>
      </c>
      <c r="P609" s="13">
        <v>2</v>
      </c>
      <c r="Q609" s="13">
        <v>1</v>
      </c>
      <c r="R609" s="13" t="s">
        <v>73</v>
      </c>
      <c r="S609" s="13" t="s">
        <v>73</v>
      </c>
      <c r="T609" s="13">
        <v>44901</v>
      </c>
      <c r="U609" s="13">
        <v>2958465</v>
      </c>
      <c r="V609" s="13" t="s">
        <v>282</v>
      </c>
      <c r="W609" s="13" t="s">
        <v>145</v>
      </c>
      <c r="Y609" s="13" t="s">
        <v>143</v>
      </c>
      <c r="Z609" s="13">
        <v>7589154</v>
      </c>
      <c r="AA609" s="13">
        <v>1106</v>
      </c>
      <c r="AB609" s="13">
        <v>553</v>
      </c>
      <c r="AE609" s="51">
        <f>M609/O609</f>
        <v>2</v>
      </c>
      <c r="AG609" s="6" t="str">
        <f>C609</f>
        <v>90MB1BJ0-C1BAY0</v>
      </c>
      <c r="AH609" s="6" t="str">
        <f>IF($D609&lt;=AH$4,"",IF(AND($D608=AH$4,$D609&gt;AH$4),$F608,AH608))</f>
        <v>59MB1BJB-MB0A02S</v>
      </c>
      <c r="AI609" s="6" t="str">
        <f>IF($D609&lt;=AI$4,"",IF(AND($D608=AI$4,$D609&gt;AI$4),$F608,AI608))</f>
        <v/>
      </c>
      <c r="AJ609" s="6" t="str">
        <f>IF($D609&lt;=AJ$4,"",IF(AND($D608=AJ$4,$D609&gt;AJ$4),$F608,AJ608))</f>
        <v/>
      </c>
      <c r="AK609" s="6" t="str">
        <f>IF($D609&lt;=AK$4,"",IF(AND($D608=AK$4,$D609&gt;AK$4),$F608,AK608))</f>
        <v/>
      </c>
      <c r="AL609" s="6" t="str">
        <f>IF($D609&lt;=AL$4,"",IF(AND($D608=AL$4,$D609&gt;AL$4),$F608,AL608))</f>
        <v/>
      </c>
      <c r="AM609" s="6" t="str">
        <f>IF($D609&lt;=AM$4,"",IF(AND($D608=AM$4,$D609&gt;AM$4),$F608,AM608))</f>
        <v/>
      </c>
      <c r="AN609" s="6" t="str">
        <f>IF($D609&lt;=AN$4,"",IF(AND($D608=AN$4,$D609&gt;AN$4),$F608,AN608))</f>
        <v/>
      </c>
      <c r="AO609" s="6" t="str">
        <f>CONCATENATE(AG609," | ",AH609," | ",AI609," | ",AJ609," | ",AK609," | ",AL609," | ",AM609," | ",AN609)</f>
        <v xml:space="preserve">90MB1BJ0-C1BAY0 | 59MB1BJB-MB0A02S |  |  |  |  |  | </v>
      </c>
      <c r="AP609" s="6">
        <f>IF(TRIM(H609)="",100,J609)</f>
        <v>100</v>
      </c>
      <c r="AQ609" s="4"/>
      <c r="AR609" s="6" t="b">
        <f>NOT(TRIM(W609)&lt;&gt;"F")</f>
        <v>1</v>
      </c>
      <c r="AS609" s="6" t="str">
        <f>$B609&amp;" | "&amp;$AO609&amp;" | "&amp;IF(TRIM(H609)="","uniq"&amp;ROW(),TRIM(H609))</f>
        <v>461E | 90MB1BJ0-C1BAY0 | 59MB1BJB-MB0A02S |  |  |  |  |  |  | L0</v>
      </c>
      <c r="AT609" s="63">
        <f>IF(NOT(AR609),IF(TRIM($H609)="","Assembly","Phantom Alt"),VLOOKUP(F609,ZPCS04!B:G,6,0))</f>
        <v>1233</v>
      </c>
      <c r="AU609" s="7"/>
      <c r="AV609" s="38">
        <f ca="1">IF(TRIM($W609)="F",OFFSET($A$5,MATCH($AS609,$AS$5:$AS609,0)-1,0),$A609)</f>
        <v>609</v>
      </c>
      <c r="AW609" s="38">
        <f ca="1">IFERROR(OFFSET(ZPCS04!$A$1,MATCH(F609,ZPCS04!B:B,0)-1,0),100)</f>
        <v>1.9999999000000002</v>
      </c>
      <c r="AX609" s="7"/>
      <c r="AY609" s="6" t="b">
        <f>SUMIF(AS:AS,AS609,AP:AP)=100</f>
        <v>1</v>
      </c>
      <c r="AZ609" s="6" t="b">
        <f>SUMIF(AS:AS,AS609,AE:AE)/COUNTIF(AS:AS,AS609)=AE609</f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>C609&amp;" | "&amp;F609</f>
        <v>90MB1BJ0-C1BAY0 | 11203-0067Q000</v>
      </c>
      <c r="BE609" s="55" t="str">
        <f ca="1">C609&amp;" | "&amp;OFFSET($AF609,0,8-COUNTBLANK($AG609:$AN609))</f>
        <v>90MB1BJ0-C1BAY0 | 59MB1BJB-MB0A02S</v>
      </c>
      <c r="BF609" s="57">
        <f ca="1">IFERROR(VLOOKUP($BE609,$BD$5:$BF608,3,0)*$AE609,VLOOKUP($C609,Demanda!$A:$B,2,0)*$AE609)*IF(AT609="Phantom Alt",$BC609,TRUE)</f>
        <v>2000</v>
      </c>
      <c r="BG609" s="57">
        <f ca="1">BF609*(AP609/100)</f>
        <v>2000</v>
      </c>
      <c r="BH609" s="57">
        <f>SUMIF(Invoice!A:A,F609,Invoice!B:B)</f>
        <v>10000</v>
      </c>
      <c r="BI609" s="57">
        <f ca="1">SUMIF(AS:AS,AS609,BG:BG)</f>
        <v>2000</v>
      </c>
      <c r="BJ609" s="57">
        <f ca="1">MIN((BI609-SUMIF($AS$5:AS608,AS609,$BJ$5:BJ608)),MAX(0,BH609-SUMIF($F$5:F608,F609,$BJ$5:BJ608)))</f>
        <v>2000</v>
      </c>
      <c r="BK609" s="57">
        <f ca="1">(-SUMIF(AS:AS,AS609,BG:BG)+SUMIF(AS:AS,AS609,BJ:BJ))*(AP609=100)*AR609</f>
        <v>0</v>
      </c>
      <c r="BL609" s="57">
        <f ca="1">MAX(0,SUMIF(Invoice!A:A,F609,Invoice!B:B)-SUMIF(F:F,F609,BJ:BJ))*(COUNTIF(F:F,F609)=COUNTIF($F$5:F609,F609))</f>
        <v>8000</v>
      </c>
    </row>
    <row r="610" spans="1:64" hidden="1">
      <c r="A610" s="43">
        <v>610</v>
      </c>
      <c r="B610" s="13" t="s">
        <v>147</v>
      </c>
      <c r="C610" s="13" t="s">
        <v>146</v>
      </c>
      <c r="D610" s="13">
        <v>2</v>
      </c>
      <c r="E610" s="13">
        <v>2100</v>
      </c>
      <c r="F610" s="71" t="s">
        <v>1468</v>
      </c>
      <c r="G610" s="71" t="s">
        <v>1469</v>
      </c>
      <c r="H610" s="13" t="s">
        <v>1467</v>
      </c>
      <c r="I610" s="13" t="s">
        <v>55</v>
      </c>
      <c r="J610" s="28">
        <v>0</v>
      </c>
      <c r="K610" s="13" t="s">
        <v>1428</v>
      </c>
      <c r="L610" s="13" t="s">
        <v>53</v>
      </c>
      <c r="M610" s="13">
        <v>2</v>
      </c>
      <c r="O610" s="13">
        <v>1</v>
      </c>
      <c r="P610" s="13">
        <v>2</v>
      </c>
      <c r="Q610" s="13">
        <v>4</v>
      </c>
      <c r="R610" s="13" t="s">
        <v>122</v>
      </c>
      <c r="S610" s="13" t="s">
        <v>122</v>
      </c>
      <c r="T610" s="13">
        <v>44901</v>
      </c>
      <c r="U610" s="13">
        <v>2958465</v>
      </c>
      <c r="V610" s="13" t="s">
        <v>282</v>
      </c>
      <c r="W610" s="13" t="s">
        <v>145</v>
      </c>
      <c r="Y610" s="13" t="s">
        <v>143</v>
      </c>
      <c r="Z610" s="13">
        <v>7589154</v>
      </c>
      <c r="AA610" s="13">
        <v>1112</v>
      </c>
      <c r="AB610" s="13">
        <v>556</v>
      </c>
      <c r="AE610" s="51">
        <f>M610/O610</f>
        <v>2</v>
      </c>
      <c r="AG610" s="6" t="str">
        <f>C610</f>
        <v>90MB1BJ0-C1BAY0</v>
      </c>
      <c r="AH610" s="6" t="str">
        <f>IF($D610&lt;=AH$4,"",IF(AND($D609=AH$4,$D610&gt;AH$4),$F609,AH609))</f>
        <v>59MB1BJB-MB0A02S</v>
      </c>
      <c r="AI610" s="6" t="str">
        <f>IF($D610&lt;=AI$4,"",IF(AND($D609=AI$4,$D610&gt;AI$4),$F609,AI609))</f>
        <v/>
      </c>
      <c r="AJ610" s="6" t="str">
        <f>IF($D610&lt;=AJ$4,"",IF(AND($D609=AJ$4,$D610&gt;AJ$4),$F609,AJ609))</f>
        <v/>
      </c>
      <c r="AK610" s="6" t="str">
        <f>IF($D610&lt;=AK$4,"",IF(AND($D609=AK$4,$D610&gt;AK$4),$F609,AK609))</f>
        <v/>
      </c>
      <c r="AL610" s="6" t="str">
        <f>IF($D610&lt;=AL$4,"",IF(AND($D609=AL$4,$D610&gt;AL$4),$F609,AL609))</f>
        <v/>
      </c>
      <c r="AM610" s="6" t="str">
        <f>IF($D610&lt;=AM$4,"",IF(AND($D609=AM$4,$D610&gt;AM$4),$F609,AM609))</f>
        <v/>
      </c>
      <c r="AN610" s="6" t="str">
        <f>IF($D610&lt;=AN$4,"",IF(AND($D609=AN$4,$D610&gt;AN$4),$F609,AN609))</f>
        <v/>
      </c>
      <c r="AO610" s="6" t="str">
        <f>CONCATENATE(AG610," | ",AH610," | ",AI610," | ",AJ610," | ",AK610," | ",AL610," | ",AM610," | ",AN610)</f>
        <v xml:space="preserve">90MB1BJ0-C1BAY0 | 59MB1BJB-MB0A02S |  |  |  |  |  | </v>
      </c>
      <c r="AP610" s="6">
        <f>IF(TRIM(H610)="",100,J610)</f>
        <v>0</v>
      </c>
      <c r="AQ610" s="4"/>
      <c r="AR610" s="6" t="b">
        <f>NOT(TRIM(W610)&lt;&gt;"F")</f>
        <v>1</v>
      </c>
      <c r="AS610" s="6" t="str">
        <f>$B610&amp;" | "&amp;$AO610&amp;" | "&amp;IF(TRIM(H610)="","uniq"&amp;ROW(),TRIM(H610))</f>
        <v>461E | 90MB1BJ0-C1BAY0 | 59MB1BJB-MB0A02S |  |  |  |  |  |  | L0</v>
      </c>
      <c r="AT610" s="63">
        <f>IF(NOT(AR610),IF(TRIM($H610)="","Assembly","Phantom Alt"),VLOOKUP(F610,ZPCS04!B:G,6,0))</f>
        <v>1233</v>
      </c>
      <c r="AU610" s="7"/>
      <c r="AV610" s="38">
        <f ca="1">IF(TRIM($W610)="F",OFFSET($A$5,MATCH($AS610,$AS$5:$AS610,0)-1,0),$A610)</f>
        <v>609</v>
      </c>
      <c r="AW610" s="38">
        <f ca="1">IFERROR(OFFSET(ZPCS04!$A$1,MATCH(F610,ZPCS04!B:B,0)-1,0),100)</f>
        <v>2</v>
      </c>
      <c r="AX610" s="7"/>
      <c r="AY610" s="6" t="b">
        <f>SUMIF(AS:AS,AS610,AP:AP)=100</f>
        <v>1</v>
      </c>
      <c r="AZ610" s="6" t="b">
        <f>SUMIF(AS:AS,AS610,AE:AE)/COUNTIF(AS:AS,AS610)=AE610</f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>C610&amp;" | "&amp;F610</f>
        <v>90MB1BJ0-C1BAY0 | 11G232018004070</v>
      </c>
      <c r="BE610" s="55" t="str">
        <f ca="1">C610&amp;" | "&amp;OFFSET($AF610,0,8-COUNTBLANK($AG610:$AN610))</f>
        <v>90MB1BJ0-C1BAY0 | 59MB1BJB-MB0A02S</v>
      </c>
      <c r="BF610" s="57">
        <f ca="1">IFERROR(VLOOKUP($BE610,$BD$5:$BF609,3,0)*$AE610,VLOOKUP($C610,Demanda!$A:$B,2,0)*$AE610)*IF(AT610="Phantom Alt",$BC610,TRUE)</f>
        <v>2000</v>
      </c>
      <c r="BG610" s="57">
        <f ca="1">BF610*(AP610/100)</f>
        <v>0</v>
      </c>
      <c r="BH610" s="57">
        <f>SUMIF(Invoice!A:A,F610,Invoice!B:B)</f>
        <v>0</v>
      </c>
      <c r="BI610" s="57">
        <f ca="1">SUMIF(AS:AS,AS610,BG:BG)</f>
        <v>2000</v>
      </c>
      <c r="BJ610" s="57">
        <f ca="1">MIN((BI610-SUMIF($AS$5:AS609,AS610,$BJ$5:BJ609)),MAX(0,BH610-SUMIF($F$5:F609,F610,$BJ$5:BJ609)))</f>
        <v>0</v>
      </c>
      <c r="BK610" s="57">
        <f ca="1">(-SUMIF(AS:AS,AS610,BG:BG)+SUMIF(AS:AS,AS610,BJ:BJ))*(AP610=100)*AR610</f>
        <v>0</v>
      </c>
      <c r="BL610" s="57">
        <f ca="1">MAX(0,SUMIF(Invoice!A:A,F610,Invoice!B:B)-SUMIF(F:F,F610,BJ:BJ))*(COUNTIF(F:F,F610)=COUNTIF($F$5:F610,F610))</f>
        <v>0</v>
      </c>
    </row>
    <row r="611" spans="1:64" hidden="1">
      <c r="A611" s="43">
        <v>611</v>
      </c>
      <c r="B611" s="13" t="s">
        <v>147</v>
      </c>
      <c r="C611" s="13" t="s">
        <v>146</v>
      </c>
      <c r="D611" s="13">
        <v>2</v>
      </c>
      <c r="E611" s="13">
        <v>2100</v>
      </c>
      <c r="F611" s="71" t="s">
        <v>1470</v>
      </c>
      <c r="G611" s="71" t="s">
        <v>1471</v>
      </c>
      <c r="H611" s="13" t="s">
        <v>1467</v>
      </c>
      <c r="I611" s="13" t="s">
        <v>55</v>
      </c>
      <c r="J611" s="28">
        <v>0</v>
      </c>
      <c r="K611" s="13" t="s">
        <v>1428</v>
      </c>
      <c r="L611" s="13" t="s">
        <v>53</v>
      </c>
      <c r="M611" s="13">
        <v>2</v>
      </c>
      <c r="O611" s="13">
        <v>1</v>
      </c>
      <c r="P611" s="13">
        <v>2</v>
      </c>
      <c r="Q611" s="13">
        <v>2</v>
      </c>
      <c r="R611" s="13" t="s">
        <v>122</v>
      </c>
      <c r="S611" s="13" t="s">
        <v>122</v>
      </c>
      <c r="T611" s="13">
        <v>44901</v>
      </c>
      <c r="U611" s="13">
        <v>2958465</v>
      </c>
      <c r="V611" s="13" t="s">
        <v>282</v>
      </c>
      <c r="W611" s="13" t="s">
        <v>145</v>
      </c>
      <c r="Y611" s="13" t="s">
        <v>143</v>
      </c>
      <c r="Z611" s="13">
        <v>7589154</v>
      </c>
      <c r="AA611" s="13">
        <v>1108</v>
      </c>
      <c r="AB611" s="13">
        <v>554</v>
      </c>
      <c r="AE611" s="51">
        <f>M611/O611</f>
        <v>2</v>
      </c>
      <c r="AG611" s="6" t="str">
        <f>C611</f>
        <v>90MB1BJ0-C1BAY0</v>
      </c>
      <c r="AH611" s="6" t="str">
        <f>IF($D611&lt;=AH$4,"",IF(AND($D610=AH$4,$D611&gt;AH$4),$F610,AH610))</f>
        <v>59MB1BJB-MB0A02S</v>
      </c>
      <c r="AI611" s="6" t="str">
        <f>IF($D611&lt;=AI$4,"",IF(AND($D610=AI$4,$D611&gt;AI$4),$F610,AI610))</f>
        <v/>
      </c>
      <c r="AJ611" s="6" t="str">
        <f>IF($D611&lt;=AJ$4,"",IF(AND($D610=AJ$4,$D611&gt;AJ$4),$F610,AJ610))</f>
        <v/>
      </c>
      <c r="AK611" s="6" t="str">
        <f>IF($D611&lt;=AK$4,"",IF(AND($D610=AK$4,$D611&gt;AK$4),$F610,AK610))</f>
        <v/>
      </c>
      <c r="AL611" s="6" t="str">
        <f>IF($D611&lt;=AL$4,"",IF(AND($D610=AL$4,$D611&gt;AL$4),$F610,AL610))</f>
        <v/>
      </c>
      <c r="AM611" s="6" t="str">
        <f>IF($D611&lt;=AM$4,"",IF(AND($D610=AM$4,$D611&gt;AM$4),$F610,AM610))</f>
        <v/>
      </c>
      <c r="AN611" s="6" t="str">
        <f>IF($D611&lt;=AN$4,"",IF(AND($D610=AN$4,$D611&gt;AN$4),$F610,AN610))</f>
        <v/>
      </c>
      <c r="AO611" s="6" t="str">
        <f>CONCATENATE(AG611," | ",AH611," | ",AI611," | ",AJ611," | ",AK611," | ",AL611," | ",AM611," | ",AN611)</f>
        <v xml:space="preserve">90MB1BJ0-C1BAY0 | 59MB1BJB-MB0A02S |  |  |  |  |  | </v>
      </c>
      <c r="AP611" s="6">
        <f>IF(TRIM(H611)="",100,J611)</f>
        <v>0</v>
      </c>
      <c r="AQ611" s="4"/>
      <c r="AR611" s="6" t="b">
        <f>NOT(TRIM(W611)&lt;&gt;"F")</f>
        <v>1</v>
      </c>
      <c r="AS611" s="6" t="str">
        <f>$B611&amp;" | "&amp;$AO611&amp;" | "&amp;IF(TRIM(H611)="","uniq"&amp;ROW(),TRIM(H611))</f>
        <v>461E | 90MB1BJ0-C1BAY0 | 59MB1BJB-MB0A02S |  |  |  |  |  |  | L0</v>
      </c>
      <c r="AT611" s="63">
        <f>IF(NOT(AR611),IF(TRIM($H611)="","Assembly","Phantom Alt"),VLOOKUP(F611,ZPCS04!B:G,6,0))</f>
        <v>1233</v>
      </c>
      <c r="AU611" s="7"/>
      <c r="AV611" s="38">
        <f ca="1">IF(TRIM($W611)="F",OFFSET($A$5,MATCH($AS611,$AS$5:$AS611,0)-1,0),$A611)</f>
        <v>609</v>
      </c>
      <c r="AW611" s="38">
        <f ca="1">IFERROR(OFFSET(ZPCS04!$A$1,MATCH(F611,ZPCS04!B:B,0)-1,0),100)</f>
        <v>2</v>
      </c>
      <c r="AX611" s="7"/>
      <c r="AY611" s="6" t="b">
        <f>SUMIF(AS:AS,AS611,AP:AP)=100</f>
        <v>1</v>
      </c>
      <c r="AZ611" s="6" t="b">
        <f>SUMIF(AS:AS,AS611,AE:AE)/COUNTIF(AS:AS,AS611)=AE611</f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>C611&amp;" | "&amp;F611</f>
        <v>90MB1BJ0-C1BAY0 | 11G232018004150</v>
      </c>
      <c r="BE611" s="55" t="str">
        <f ca="1">C611&amp;" | "&amp;OFFSET($AF611,0,8-COUNTBLANK($AG611:$AN611))</f>
        <v>90MB1BJ0-C1BAY0 | 59MB1BJB-MB0A02S</v>
      </c>
      <c r="BF611" s="57">
        <f ca="1">IFERROR(VLOOKUP($BE611,$BD$5:$BF610,3,0)*$AE611,VLOOKUP($C611,Demanda!$A:$B,2,0)*$AE611)*IF(AT611="Phantom Alt",$BC611,TRUE)</f>
        <v>2000</v>
      </c>
      <c r="BG611" s="57">
        <f ca="1">BF611*(AP611/100)</f>
        <v>0</v>
      </c>
      <c r="BH611" s="57">
        <f>SUMIF(Invoice!A:A,F611,Invoice!B:B)</f>
        <v>0</v>
      </c>
      <c r="BI611" s="57">
        <f ca="1">SUMIF(AS:AS,AS611,BG:BG)</f>
        <v>2000</v>
      </c>
      <c r="BJ611" s="57">
        <f ca="1">MIN((BI611-SUMIF($AS$5:AS610,AS611,$BJ$5:BJ610)),MAX(0,BH611-SUMIF($F$5:F610,F611,$BJ$5:BJ610)))</f>
        <v>0</v>
      </c>
      <c r="BK611" s="57">
        <f ca="1">(-SUMIF(AS:AS,AS611,BG:BG)+SUMIF(AS:AS,AS611,BJ:BJ))*(AP611=100)*AR611</f>
        <v>0</v>
      </c>
      <c r="BL611" s="57">
        <f ca="1">MAX(0,SUMIF(Invoice!A:A,F611,Invoice!B:B)-SUMIF(F:F,F611,BJ:BJ))*(COUNTIF(F:F,F611)=COUNTIF($F$5:F611,F611))</f>
        <v>0</v>
      </c>
    </row>
    <row r="612" spans="1:64" hidden="1">
      <c r="A612" s="43">
        <v>612</v>
      </c>
      <c r="B612" s="13" t="s">
        <v>147</v>
      </c>
      <c r="C612" s="13" t="s">
        <v>146</v>
      </c>
      <c r="D612" s="13">
        <v>2</v>
      </c>
      <c r="E612" s="13">
        <v>2100</v>
      </c>
      <c r="F612" s="71" t="s">
        <v>1472</v>
      </c>
      <c r="G612" s="71" t="s">
        <v>1469</v>
      </c>
      <c r="H612" s="13" t="s">
        <v>1467</v>
      </c>
      <c r="I612" s="13" t="s">
        <v>55</v>
      </c>
      <c r="J612" s="28">
        <v>0</v>
      </c>
      <c r="K612" s="13" t="s">
        <v>1428</v>
      </c>
      <c r="L612" s="13" t="s">
        <v>53</v>
      </c>
      <c r="M612" s="13">
        <v>2</v>
      </c>
      <c r="O612" s="13">
        <v>1</v>
      </c>
      <c r="P612" s="13">
        <v>2</v>
      </c>
      <c r="Q612" s="13">
        <v>3</v>
      </c>
      <c r="R612" s="13" t="s">
        <v>122</v>
      </c>
      <c r="S612" s="13" t="s">
        <v>122</v>
      </c>
      <c r="T612" s="13">
        <v>44901</v>
      </c>
      <c r="U612" s="13">
        <v>2958465</v>
      </c>
      <c r="V612" s="13" t="s">
        <v>282</v>
      </c>
      <c r="W612" s="13" t="s">
        <v>145</v>
      </c>
      <c r="Y612" s="13" t="s">
        <v>143</v>
      </c>
      <c r="Z612" s="13">
        <v>7589154</v>
      </c>
      <c r="AA612" s="13">
        <v>1110</v>
      </c>
      <c r="AB612" s="13">
        <v>555</v>
      </c>
      <c r="AE612" s="51">
        <f>M612/O612</f>
        <v>2</v>
      </c>
      <c r="AG612" s="6" t="str">
        <f>C612</f>
        <v>90MB1BJ0-C1BAY0</v>
      </c>
      <c r="AH612" s="6" t="str">
        <f>IF($D612&lt;=AH$4,"",IF(AND($D611=AH$4,$D612&gt;AH$4),$F611,AH611))</f>
        <v>59MB1BJB-MB0A02S</v>
      </c>
      <c r="AI612" s="6" t="str">
        <f>IF($D612&lt;=AI$4,"",IF(AND($D611=AI$4,$D612&gt;AI$4),$F611,AI611))</f>
        <v/>
      </c>
      <c r="AJ612" s="6" t="str">
        <f>IF($D612&lt;=AJ$4,"",IF(AND($D611=AJ$4,$D612&gt;AJ$4),$F611,AJ611))</f>
        <v/>
      </c>
      <c r="AK612" s="6" t="str">
        <f>IF($D612&lt;=AK$4,"",IF(AND($D611=AK$4,$D612&gt;AK$4),$F611,AK611))</f>
        <v/>
      </c>
      <c r="AL612" s="6" t="str">
        <f>IF($D612&lt;=AL$4,"",IF(AND($D611=AL$4,$D612&gt;AL$4),$F611,AL611))</f>
        <v/>
      </c>
      <c r="AM612" s="6" t="str">
        <f>IF($D612&lt;=AM$4,"",IF(AND($D611=AM$4,$D612&gt;AM$4),$F611,AM611))</f>
        <v/>
      </c>
      <c r="AN612" s="6" t="str">
        <f>IF($D612&lt;=AN$4,"",IF(AND($D611=AN$4,$D612&gt;AN$4),$F611,AN611))</f>
        <v/>
      </c>
      <c r="AO612" s="6" t="str">
        <f>CONCATENATE(AG612," | ",AH612," | ",AI612," | ",AJ612," | ",AK612," | ",AL612," | ",AM612," | ",AN612)</f>
        <v xml:space="preserve">90MB1BJ0-C1BAY0 | 59MB1BJB-MB0A02S |  |  |  |  |  | </v>
      </c>
      <c r="AP612" s="6">
        <f>IF(TRIM(H612)="",100,J612)</f>
        <v>0</v>
      </c>
      <c r="AQ612" s="4"/>
      <c r="AR612" s="6" t="b">
        <f>NOT(TRIM(W612)&lt;&gt;"F")</f>
        <v>1</v>
      </c>
      <c r="AS612" s="6" t="str">
        <f>$B612&amp;" | "&amp;$AO612&amp;" | "&amp;IF(TRIM(H612)="","uniq"&amp;ROW(),TRIM(H612))</f>
        <v>461E | 90MB1BJ0-C1BAY0 | 59MB1BJB-MB0A02S |  |  |  |  |  |  | L0</v>
      </c>
      <c r="AT612" s="63">
        <f>IF(NOT(AR612),IF(TRIM($H612)="","Assembly","Phantom Alt"),VLOOKUP(F612,ZPCS04!B:G,6,0))</f>
        <v>1233</v>
      </c>
      <c r="AU612" s="7"/>
      <c r="AV612" s="38">
        <f ca="1">IF(TRIM($W612)="F",OFFSET($A$5,MATCH($AS612,$AS$5:$AS612,0)-1,0),$A612)</f>
        <v>609</v>
      </c>
      <c r="AW612" s="38">
        <f ca="1">IFERROR(OFFSET(ZPCS04!$A$1,MATCH(F612,ZPCS04!B:B,0)-1,0),100)</f>
        <v>2</v>
      </c>
      <c r="AX612" s="7"/>
      <c r="AY612" s="6" t="b">
        <f>SUMIF(AS:AS,AS612,AP:AP)=100</f>
        <v>1</v>
      </c>
      <c r="AZ612" s="6" t="b">
        <f>SUMIF(AS:AS,AS612,AE:AE)/COUNTIF(AS:AS,AS612)=AE612</f>
        <v>1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>C612&amp;" | "&amp;F612</f>
        <v>90MB1BJ0-C1BAY0 | 11G232018004390</v>
      </c>
      <c r="BE612" s="55" t="str">
        <f ca="1">C612&amp;" | "&amp;OFFSET($AF612,0,8-COUNTBLANK($AG612:$AN612))</f>
        <v>90MB1BJ0-C1BAY0 | 59MB1BJB-MB0A02S</v>
      </c>
      <c r="BF612" s="57">
        <f ca="1">IFERROR(VLOOKUP($BE612,$BD$5:$BF611,3,0)*$AE612,VLOOKUP($C612,Demanda!$A:$B,2,0)*$AE612)*IF(AT612="Phantom Alt",$BC612,TRUE)</f>
        <v>2000</v>
      </c>
      <c r="BG612" s="57">
        <f ca="1">BF612*(AP612/100)</f>
        <v>0</v>
      </c>
      <c r="BH612" s="57">
        <f>SUMIF(Invoice!A:A,F612,Invoice!B:B)</f>
        <v>0</v>
      </c>
      <c r="BI612" s="57">
        <f ca="1">SUMIF(AS:AS,AS612,BG:BG)</f>
        <v>2000</v>
      </c>
      <c r="BJ612" s="57">
        <f ca="1">MIN((BI612-SUMIF($AS$5:AS611,AS612,$BJ$5:BJ611)),MAX(0,BH612-SUMIF($F$5:F611,F612,$BJ$5:BJ611)))</f>
        <v>0</v>
      </c>
      <c r="BK612" s="57">
        <f ca="1">(-SUMIF(AS:AS,AS612,BG:BG)+SUMIF(AS:AS,AS612,BJ:BJ))*(AP612=100)*AR612</f>
        <v>0</v>
      </c>
      <c r="BL612" s="57">
        <f ca="1">MAX(0,SUMIF(Invoice!A:A,F612,Invoice!B:B)-SUMIF(F:F,F612,BJ:BJ))*(COUNTIF(F:F,F612)=COUNTIF($F$5:F612,F612))</f>
        <v>0</v>
      </c>
    </row>
    <row r="613" spans="1:64" hidden="1">
      <c r="A613" s="43">
        <v>615</v>
      </c>
      <c r="B613" s="13" t="s">
        <v>147</v>
      </c>
      <c r="C613" s="13" t="s">
        <v>146</v>
      </c>
      <c r="D613" s="13">
        <v>2</v>
      </c>
      <c r="E613" s="13">
        <v>2110</v>
      </c>
      <c r="F613" s="71" t="s">
        <v>1478</v>
      </c>
      <c r="G613" s="71" t="s">
        <v>1479</v>
      </c>
      <c r="H613" s="13" t="s">
        <v>1475</v>
      </c>
      <c r="I613" s="13" t="s">
        <v>55</v>
      </c>
      <c r="J613" s="28">
        <v>0</v>
      </c>
      <c r="K613" s="13" t="s">
        <v>150</v>
      </c>
      <c r="L613" s="13" t="s">
        <v>53</v>
      </c>
      <c r="M613" s="13">
        <v>1</v>
      </c>
      <c r="O613" s="13">
        <v>1</v>
      </c>
      <c r="P613" s="13">
        <v>2</v>
      </c>
      <c r="Q613" s="13">
        <v>3</v>
      </c>
      <c r="R613" s="13" t="s">
        <v>73</v>
      </c>
      <c r="S613" s="13" t="s">
        <v>73</v>
      </c>
      <c r="T613" s="13">
        <v>44901</v>
      </c>
      <c r="U613" s="13">
        <v>2958465</v>
      </c>
      <c r="V613" s="13" t="s">
        <v>282</v>
      </c>
      <c r="W613" s="13" t="s">
        <v>145</v>
      </c>
      <c r="Y613" s="13" t="s">
        <v>143</v>
      </c>
      <c r="Z613" s="13">
        <v>7589154</v>
      </c>
      <c r="AA613" s="13">
        <v>1118</v>
      </c>
      <c r="AB613" s="13">
        <v>559</v>
      </c>
      <c r="AE613" s="51">
        <f>M613/O613</f>
        <v>1</v>
      </c>
      <c r="AG613" s="6" t="str">
        <f>C613</f>
        <v>90MB1BJ0-C1BAY0</v>
      </c>
      <c r="AH613" s="6" t="str">
        <f>IF($D613&lt;=AH$4,"",IF(AND($D612=AH$4,$D613&gt;AH$4),$F612,AH612))</f>
        <v>59MB1BJB-MB0A02S</v>
      </c>
      <c r="AI613" s="6" t="str">
        <f>IF($D613&lt;=AI$4,"",IF(AND($D612=AI$4,$D613&gt;AI$4),$F612,AI612))</f>
        <v/>
      </c>
      <c r="AJ613" s="6" t="str">
        <f>IF($D613&lt;=AJ$4,"",IF(AND($D612=AJ$4,$D613&gt;AJ$4),$F612,AJ612))</f>
        <v/>
      </c>
      <c r="AK613" s="6" t="str">
        <f>IF($D613&lt;=AK$4,"",IF(AND($D612=AK$4,$D613&gt;AK$4),$F612,AK612))</f>
        <v/>
      </c>
      <c r="AL613" s="6" t="str">
        <f>IF($D613&lt;=AL$4,"",IF(AND($D612=AL$4,$D613&gt;AL$4),$F612,AL612))</f>
        <v/>
      </c>
      <c r="AM613" s="6" t="str">
        <f>IF($D613&lt;=AM$4,"",IF(AND($D612=AM$4,$D613&gt;AM$4),$F612,AM612))</f>
        <v/>
      </c>
      <c r="AN613" s="6" t="str">
        <f>IF($D613&lt;=AN$4,"",IF(AND($D612=AN$4,$D613&gt;AN$4),$F612,AN612))</f>
        <v/>
      </c>
      <c r="AO613" s="6" t="str">
        <f>CONCATENATE(AG613," | ",AH613," | ",AI613," | ",AJ613," | ",AK613," | ",AL613," | ",AM613," | ",AN613)</f>
        <v xml:space="preserve">90MB1BJ0-C1BAY0 | 59MB1BJB-MB0A02S |  |  |  |  |  | </v>
      </c>
      <c r="AP613" s="6">
        <f>IF(TRIM(H613)="",100,J613)</f>
        <v>0</v>
      </c>
      <c r="AQ613" s="4"/>
      <c r="AR613" s="6" t="b">
        <f>NOT(TRIM(W613)&lt;&gt;"F")</f>
        <v>1</v>
      </c>
      <c r="AS613" s="6" t="str">
        <f>$B613&amp;" | "&amp;$AO613&amp;" | "&amp;IF(TRIM(H613)="","uniq"&amp;ROW(),TRIM(H613))</f>
        <v>461E | 90MB1BJ0-C1BAY0 | 59MB1BJB-MB0A02S |  |  |  |  |  |  | L1</v>
      </c>
      <c r="AT613" s="63">
        <f>IF(NOT(AR613),IF(TRIM($H613)="","Assembly","Phantom Alt"),VLOOKUP(F613,ZPCS04!B:G,6,0))</f>
        <v>882</v>
      </c>
      <c r="AU613" s="7"/>
      <c r="AV613" s="38">
        <f ca="1">IF(TRIM($W613)="F",OFFSET($A$5,MATCH($AS613,$AS$5:$AS613,0)-1,0),$A613)</f>
        <v>615</v>
      </c>
      <c r="AW613" s="38">
        <f ca="1">IFERROR(OFFSET(ZPCS04!$A$1,MATCH(F613,ZPCS04!B:B,0)-1,0),100)</f>
        <v>1.9999999000000002</v>
      </c>
      <c r="AX613" s="7"/>
      <c r="AY613" s="6" t="b">
        <f>SUMIF(AS:AS,AS613,AP:AP)=100</f>
        <v>1</v>
      </c>
      <c r="AZ613" s="6" t="b">
        <f>SUMIF(AS:AS,AS613,AE:AE)/COUNTIF(AS:AS,AS613)=AE613</f>
        <v>1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>C613&amp;" | "&amp;F613</f>
        <v>90MB1BJ0-C1BAY0 | 11203-0141Q000</v>
      </c>
      <c r="BE613" s="55" t="str">
        <f ca="1">C613&amp;" | "&amp;OFFSET($AF613,0,8-COUNTBLANK($AG613:$AN613))</f>
        <v>90MB1BJ0-C1BAY0 | 59MB1BJB-MB0A02S</v>
      </c>
      <c r="BF613" s="57">
        <f ca="1">IFERROR(VLOOKUP($BE613,$BD$5:$BF612,3,0)*$AE613,VLOOKUP($C613,Demanda!$A:$B,2,0)*$AE613)*IF(AT613="Phantom Alt",$BC613,TRUE)</f>
        <v>1000</v>
      </c>
      <c r="BG613" s="57">
        <f ca="1">BF613*(AP613/100)</f>
        <v>0</v>
      </c>
      <c r="BH613" s="57">
        <f>SUMIF(Invoice!A:A,F613,Invoice!B:B)</f>
        <v>10000</v>
      </c>
      <c r="BI613" s="57">
        <f ca="1">SUMIF(AS:AS,AS613,BG:BG)</f>
        <v>1000</v>
      </c>
      <c r="BJ613" s="57">
        <f ca="1">MIN((BI613-SUMIF($AS$5:AS612,AS613,$BJ$5:BJ612)),MAX(0,BH613-SUMIF($F$5:F612,F613,$BJ$5:BJ612)))</f>
        <v>1000</v>
      </c>
      <c r="BK613" s="57">
        <f ca="1">(-SUMIF(AS:AS,AS613,BG:BG)+SUMIF(AS:AS,AS613,BJ:BJ))*(AP613=100)*AR613</f>
        <v>0</v>
      </c>
      <c r="BL613" s="57">
        <f ca="1">MAX(0,SUMIF(Invoice!A:A,F613,Invoice!B:B)-SUMIF(F:F,F613,BJ:BJ))*(COUNTIF(F:F,F613)=COUNTIF($F$5:F613,F613))</f>
        <v>9000</v>
      </c>
    </row>
    <row r="614" spans="1:64" hidden="1">
      <c r="A614" s="43">
        <v>613</v>
      </c>
      <c r="B614" s="13" t="s">
        <v>147</v>
      </c>
      <c r="C614" s="13" t="s">
        <v>146</v>
      </c>
      <c r="D614" s="13">
        <v>2</v>
      </c>
      <c r="E614" s="13">
        <v>2110</v>
      </c>
      <c r="F614" s="71" t="s">
        <v>1473</v>
      </c>
      <c r="G614" s="71" t="s">
        <v>1474</v>
      </c>
      <c r="H614" s="13" t="s">
        <v>1475</v>
      </c>
      <c r="I614" s="13" t="s">
        <v>55</v>
      </c>
      <c r="J614" s="28">
        <v>0</v>
      </c>
      <c r="K614" s="13" t="s">
        <v>150</v>
      </c>
      <c r="L614" s="13" t="s">
        <v>53</v>
      </c>
      <c r="M614" s="13">
        <v>1</v>
      </c>
      <c r="O614" s="13">
        <v>1</v>
      </c>
      <c r="P614" s="13">
        <v>2</v>
      </c>
      <c r="Q614" s="13">
        <v>2</v>
      </c>
      <c r="R614" s="13" t="s">
        <v>73</v>
      </c>
      <c r="S614" s="13" t="s">
        <v>73</v>
      </c>
      <c r="T614" s="13">
        <v>44901</v>
      </c>
      <c r="U614" s="13">
        <v>2958465</v>
      </c>
      <c r="V614" s="13" t="s">
        <v>282</v>
      </c>
      <c r="W614" s="13" t="s">
        <v>145</v>
      </c>
      <c r="Y614" s="13" t="s">
        <v>143</v>
      </c>
      <c r="Z614" s="13">
        <v>7589154</v>
      </c>
      <c r="AA614" s="13">
        <v>1116</v>
      </c>
      <c r="AB614" s="13">
        <v>558</v>
      </c>
      <c r="AE614" s="51">
        <f>M614/O614</f>
        <v>1</v>
      </c>
      <c r="AG614" s="6" t="str">
        <f>C614</f>
        <v>90MB1BJ0-C1BAY0</v>
      </c>
      <c r="AH614" s="6" t="str">
        <f>IF($D614&lt;=AH$4,"",IF(AND($D613=AH$4,$D614&gt;AH$4),$F613,AH613))</f>
        <v>59MB1BJB-MB0A02S</v>
      </c>
      <c r="AI614" s="6" t="str">
        <f>IF($D614&lt;=AI$4,"",IF(AND($D613=AI$4,$D614&gt;AI$4),$F613,AI613))</f>
        <v/>
      </c>
      <c r="AJ614" s="6" t="str">
        <f>IF($D614&lt;=AJ$4,"",IF(AND($D613=AJ$4,$D614&gt;AJ$4),$F613,AJ613))</f>
        <v/>
      </c>
      <c r="AK614" s="6" t="str">
        <f>IF($D614&lt;=AK$4,"",IF(AND($D613=AK$4,$D614&gt;AK$4),$F613,AK613))</f>
        <v/>
      </c>
      <c r="AL614" s="6" t="str">
        <f>IF($D614&lt;=AL$4,"",IF(AND($D613=AL$4,$D614&gt;AL$4),$F613,AL613))</f>
        <v/>
      </c>
      <c r="AM614" s="6" t="str">
        <f>IF($D614&lt;=AM$4,"",IF(AND($D613=AM$4,$D614&gt;AM$4),$F613,AM613))</f>
        <v/>
      </c>
      <c r="AN614" s="6" t="str">
        <f>IF($D614&lt;=AN$4,"",IF(AND($D613=AN$4,$D614&gt;AN$4),$F613,AN613))</f>
        <v/>
      </c>
      <c r="AO614" s="6" t="str">
        <f>CONCATENATE(AG614," | ",AH614," | ",AI614," | ",AJ614," | ",AK614," | ",AL614," | ",AM614," | ",AN614)</f>
        <v xml:space="preserve">90MB1BJ0-C1BAY0 | 59MB1BJB-MB0A02S |  |  |  |  |  | </v>
      </c>
      <c r="AP614" s="6">
        <f>IF(TRIM(H614)="",100,J614)</f>
        <v>0</v>
      </c>
      <c r="AQ614" s="4"/>
      <c r="AR614" s="6" t="b">
        <f>NOT(TRIM(W614)&lt;&gt;"F")</f>
        <v>1</v>
      </c>
      <c r="AS614" s="6" t="str">
        <f>$B614&amp;" | "&amp;$AO614&amp;" | "&amp;IF(TRIM(H614)="","uniq"&amp;ROW(),TRIM(H614))</f>
        <v>461E | 90MB1BJ0-C1BAY0 | 59MB1BJB-MB0A02S |  |  |  |  |  |  | L1</v>
      </c>
      <c r="AT614" s="63">
        <f>IF(NOT(AR614),IF(TRIM($H614)="","Assembly","Phantom Alt"),VLOOKUP(F614,ZPCS04!B:G,6,0))</f>
        <v>882</v>
      </c>
      <c r="AU614" s="7"/>
      <c r="AV614" s="38">
        <f ca="1">IF(TRIM($W614)="F",OFFSET($A$5,MATCH($AS614,$AS$5:$AS614,0)-1,0),$A614)</f>
        <v>615</v>
      </c>
      <c r="AW614" s="38">
        <f ca="1">IFERROR(OFFSET(ZPCS04!$A$1,MATCH(F614,ZPCS04!B:B,0)-1,0),100)</f>
        <v>2</v>
      </c>
      <c r="AX614" s="7"/>
      <c r="AY614" s="6" t="b">
        <f>SUMIF(AS:AS,AS614,AP:AP)=100</f>
        <v>1</v>
      </c>
      <c r="AZ614" s="6" t="b">
        <f>SUMIF(AS:AS,AS614,AE:AE)/COUNTIF(AS:AS,AS614)=AE614</f>
        <v>1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>C614&amp;" | "&amp;F614</f>
        <v>90MB1BJ0-C1BAY0 | 11203-01417000</v>
      </c>
      <c r="BE614" s="55" t="str">
        <f ca="1">C614&amp;" | "&amp;OFFSET($AF614,0,8-COUNTBLANK($AG614:$AN614))</f>
        <v>90MB1BJ0-C1BAY0 | 59MB1BJB-MB0A02S</v>
      </c>
      <c r="BF614" s="57">
        <f ca="1">IFERROR(VLOOKUP($BE614,$BD$5:$BF613,3,0)*$AE614,VLOOKUP($C614,Demanda!$A:$B,2,0)*$AE614)*IF(AT614="Phantom Alt",$BC614,TRUE)</f>
        <v>1000</v>
      </c>
      <c r="BG614" s="57">
        <f ca="1">BF614*(AP614/100)</f>
        <v>0</v>
      </c>
      <c r="BH614" s="57">
        <f>SUMIF(Invoice!A:A,F614,Invoice!B:B)</f>
        <v>0</v>
      </c>
      <c r="BI614" s="57">
        <f ca="1">SUMIF(AS:AS,AS614,BG:BG)</f>
        <v>1000</v>
      </c>
      <c r="BJ614" s="57">
        <f ca="1">MIN((BI614-SUMIF($AS$5:AS613,AS614,$BJ$5:BJ613)),MAX(0,BH614-SUMIF($F$5:F613,F614,$BJ$5:BJ613)))</f>
        <v>0</v>
      </c>
      <c r="BK614" s="57">
        <f ca="1">(-SUMIF(AS:AS,AS614,BG:BG)+SUMIF(AS:AS,AS614,BJ:BJ))*(AP614=100)*AR614</f>
        <v>0</v>
      </c>
      <c r="BL614" s="57">
        <f ca="1">MAX(0,SUMIF(Invoice!A:A,F614,Invoice!B:B)-SUMIF(F:F,F614,BJ:BJ))*(COUNTIF(F:F,F614)=COUNTIF($F$5:F614,F614))</f>
        <v>0</v>
      </c>
    </row>
    <row r="615" spans="1:64" hidden="1">
      <c r="A615" s="43">
        <v>614</v>
      </c>
      <c r="B615" s="13" t="s">
        <v>147</v>
      </c>
      <c r="C615" s="13" t="s">
        <v>146</v>
      </c>
      <c r="D615" s="13">
        <v>2</v>
      </c>
      <c r="E615" s="13">
        <v>2110</v>
      </c>
      <c r="F615" s="71" t="s">
        <v>1476</v>
      </c>
      <c r="G615" s="71" t="s">
        <v>1477</v>
      </c>
      <c r="H615" s="13" t="s">
        <v>1475</v>
      </c>
      <c r="I615" s="13" t="s">
        <v>54</v>
      </c>
      <c r="J615" s="28">
        <v>100</v>
      </c>
      <c r="K615" s="13" t="s">
        <v>150</v>
      </c>
      <c r="L615" s="13" t="s">
        <v>53</v>
      </c>
      <c r="M615" s="13">
        <v>1</v>
      </c>
      <c r="N615" s="13">
        <v>1</v>
      </c>
      <c r="O615" s="13">
        <v>1</v>
      </c>
      <c r="P615" s="13">
        <v>2</v>
      </c>
      <c r="Q615" s="13">
        <v>1</v>
      </c>
      <c r="R615" s="13" t="s">
        <v>73</v>
      </c>
      <c r="S615" s="13" t="s">
        <v>73</v>
      </c>
      <c r="T615" s="13">
        <v>44901</v>
      </c>
      <c r="U615" s="13">
        <v>2958465</v>
      </c>
      <c r="V615" s="13" t="s">
        <v>282</v>
      </c>
      <c r="W615" s="13" t="s">
        <v>145</v>
      </c>
      <c r="Y615" s="13" t="s">
        <v>143</v>
      </c>
      <c r="Z615" s="13">
        <v>7589154</v>
      </c>
      <c r="AA615" s="13">
        <v>1114</v>
      </c>
      <c r="AB615" s="13">
        <v>557</v>
      </c>
      <c r="AE615" s="51">
        <f>M615/O615</f>
        <v>1</v>
      </c>
      <c r="AG615" s="6" t="str">
        <f>C615</f>
        <v>90MB1BJ0-C1BAY0</v>
      </c>
      <c r="AH615" s="6" t="str">
        <f>IF($D615&lt;=AH$4,"",IF(AND($D614=AH$4,$D615&gt;AH$4),$F614,AH614))</f>
        <v>59MB1BJB-MB0A02S</v>
      </c>
      <c r="AI615" s="6" t="str">
        <f>IF($D615&lt;=AI$4,"",IF(AND($D614=AI$4,$D615&gt;AI$4),$F614,AI614))</f>
        <v/>
      </c>
      <c r="AJ615" s="6" t="str">
        <f>IF($D615&lt;=AJ$4,"",IF(AND($D614=AJ$4,$D615&gt;AJ$4),$F614,AJ614))</f>
        <v/>
      </c>
      <c r="AK615" s="6" t="str">
        <f>IF($D615&lt;=AK$4,"",IF(AND($D614=AK$4,$D615&gt;AK$4),$F614,AK614))</f>
        <v/>
      </c>
      <c r="AL615" s="6" t="str">
        <f>IF($D615&lt;=AL$4,"",IF(AND($D614=AL$4,$D615&gt;AL$4),$F614,AL614))</f>
        <v/>
      </c>
      <c r="AM615" s="6" t="str">
        <f>IF($D615&lt;=AM$4,"",IF(AND($D614=AM$4,$D615&gt;AM$4),$F614,AM614))</f>
        <v/>
      </c>
      <c r="AN615" s="6" t="str">
        <f>IF($D615&lt;=AN$4,"",IF(AND($D614=AN$4,$D615&gt;AN$4),$F614,AN614))</f>
        <v/>
      </c>
      <c r="AO615" s="6" t="str">
        <f>CONCATENATE(AG615," | ",AH615," | ",AI615," | ",AJ615," | ",AK615," | ",AL615," | ",AM615," | ",AN615)</f>
        <v xml:space="preserve">90MB1BJ0-C1BAY0 | 59MB1BJB-MB0A02S |  |  |  |  |  | </v>
      </c>
      <c r="AP615" s="6">
        <f>IF(TRIM(H615)="",100,J615)</f>
        <v>100</v>
      </c>
      <c r="AQ615" s="4"/>
      <c r="AR615" s="6" t="b">
        <f>NOT(TRIM(W615)&lt;&gt;"F")</f>
        <v>1</v>
      </c>
      <c r="AS615" s="6" t="str">
        <f>$B615&amp;" | "&amp;$AO615&amp;" | "&amp;IF(TRIM(H615)="","uniq"&amp;ROW(),TRIM(H615))</f>
        <v>461E | 90MB1BJ0-C1BAY0 | 59MB1BJB-MB0A02S |  |  |  |  |  |  | L1</v>
      </c>
      <c r="AT615" s="63">
        <f>IF(NOT(AR615),IF(TRIM($H615)="","Assembly","Phantom Alt"),VLOOKUP(F615,ZPCS04!B:G,6,0))</f>
        <v>882</v>
      </c>
      <c r="AU615" s="7"/>
      <c r="AV615" s="38">
        <f ca="1">IF(TRIM($W615)="F",OFFSET($A$5,MATCH($AS615,$AS$5:$AS615,0)-1,0),$A615)</f>
        <v>615</v>
      </c>
      <c r="AW615" s="38">
        <f ca="1">IFERROR(OFFSET(ZPCS04!$A$1,MATCH(F615,ZPCS04!B:B,0)-1,0),100)</f>
        <v>2</v>
      </c>
      <c r="AX615" s="7"/>
      <c r="AY615" s="6" t="b">
        <f>SUMIF(AS:AS,AS615,AP:AP)=100</f>
        <v>1</v>
      </c>
      <c r="AZ615" s="6" t="b">
        <f>SUMIF(AS:AS,AS615,AE:AE)/COUNTIF(AS:AS,AS615)=AE615</f>
        <v>1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>C615&amp;" | "&amp;F615</f>
        <v>90MB1BJ0-C1BAY0 | 11203-0141K000</v>
      </c>
      <c r="BE615" s="55" t="str">
        <f ca="1">C615&amp;" | "&amp;OFFSET($AF615,0,8-COUNTBLANK($AG615:$AN615))</f>
        <v>90MB1BJ0-C1BAY0 | 59MB1BJB-MB0A02S</v>
      </c>
      <c r="BF615" s="57">
        <f ca="1">IFERROR(VLOOKUP($BE615,$BD$5:$BF614,3,0)*$AE615,VLOOKUP($C615,Demanda!$A:$B,2,0)*$AE615)*IF(AT615="Phantom Alt",$BC615,TRUE)</f>
        <v>1000</v>
      </c>
      <c r="BG615" s="57">
        <f ca="1">BF615*(AP615/100)</f>
        <v>1000</v>
      </c>
      <c r="BH615" s="57">
        <f>SUMIF(Invoice!A:A,F615,Invoice!B:B)</f>
        <v>0</v>
      </c>
      <c r="BI615" s="57">
        <f ca="1">SUMIF(AS:AS,AS615,BG:BG)</f>
        <v>1000</v>
      </c>
      <c r="BJ615" s="57">
        <f ca="1">MIN((BI615-SUMIF($AS$5:AS614,AS615,$BJ$5:BJ614)),MAX(0,BH615-SUMIF($F$5:F614,F615,$BJ$5:BJ614)))</f>
        <v>0</v>
      </c>
      <c r="BK615" s="57">
        <f ca="1">(-SUMIF(AS:AS,AS615,BG:BG)+SUMIF(AS:AS,AS615,BJ:BJ))*(AP615=100)*AR615</f>
        <v>0</v>
      </c>
      <c r="BL615" s="57">
        <f ca="1">MAX(0,SUMIF(Invoice!A:A,F615,Invoice!B:B)-SUMIF(F:F,F615,BJ:BJ))*(COUNTIF(F:F,F615)=COUNTIF($F$5:F615,F615))</f>
        <v>0</v>
      </c>
    </row>
    <row r="616" spans="1:64" hidden="1">
      <c r="A616" s="43">
        <v>616</v>
      </c>
      <c r="B616" s="13" t="s">
        <v>147</v>
      </c>
      <c r="C616" s="13" t="s">
        <v>146</v>
      </c>
      <c r="D616" s="13">
        <v>2</v>
      </c>
      <c r="E616" s="13">
        <v>2110</v>
      </c>
      <c r="F616" s="71" t="s">
        <v>1480</v>
      </c>
      <c r="G616" s="71" t="s">
        <v>1481</v>
      </c>
      <c r="H616" s="13" t="s">
        <v>1475</v>
      </c>
      <c r="I616" s="13" t="s">
        <v>55</v>
      </c>
      <c r="J616" s="28">
        <v>0</v>
      </c>
      <c r="K616" s="13" t="s">
        <v>1428</v>
      </c>
      <c r="L616" s="13" t="s">
        <v>53</v>
      </c>
      <c r="M616" s="13">
        <v>1</v>
      </c>
      <c r="O616" s="13">
        <v>1</v>
      </c>
      <c r="P616" s="13">
        <v>2</v>
      </c>
      <c r="Q616" s="13">
        <v>4</v>
      </c>
      <c r="R616" s="13" t="s">
        <v>122</v>
      </c>
      <c r="S616" s="13" t="s">
        <v>122</v>
      </c>
      <c r="T616" s="13">
        <v>44901</v>
      </c>
      <c r="U616" s="13">
        <v>2958465</v>
      </c>
      <c r="V616" s="13" t="s">
        <v>282</v>
      </c>
      <c r="W616" s="13" t="s">
        <v>145</v>
      </c>
      <c r="Y616" s="13" t="s">
        <v>143</v>
      </c>
      <c r="Z616" s="13">
        <v>7589154</v>
      </c>
      <c r="AA616" s="13">
        <v>1120</v>
      </c>
      <c r="AB616" s="13">
        <v>560</v>
      </c>
      <c r="AE616" s="51">
        <f>M616/O616</f>
        <v>1</v>
      </c>
      <c r="AG616" s="6" t="str">
        <f>C616</f>
        <v>90MB1BJ0-C1BAY0</v>
      </c>
      <c r="AH616" s="6" t="str">
        <f>IF($D616&lt;=AH$4,"",IF(AND($D615=AH$4,$D616&gt;AH$4),$F615,AH615))</f>
        <v>59MB1BJB-MB0A02S</v>
      </c>
      <c r="AI616" s="6" t="str">
        <f>IF($D616&lt;=AI$4,"",IF(AND($D615=AI$4,$D616&gt;AI$4),$F615,AI615))</f>
        <v/>
      </c>
      <c r="AJ616" s="6" t="str">
        <f>IF($D616&lt;=AJ$4,"",IF(AND($D615=AJ$4,$D616&gt;AJ$4),$F615,AJ615))</f>
        <v/>
      </c>
      <c r="AK616" s="6" t="str">
        <f>IF($D616&lt;=AK$4,"",IF(AND($D615=AK$4,$D616&gt;AK$4),$F615,AK615))</f>
        <v/>
      </c>
      <c r="AL616" s="6" t="str">
        <f>IF($D616&lt;=AL$4,"",IF(AND($D615=AL$4,$D616&gt;AL$4),$F615,AL615))</f>
        <v/>
      </c>
      <c r="AM616" s="6" t="str">
        <f>IF($D616&lt;=AM$4,"",IF(AND($D615=AM$4,$D616&gt;AM$4),$F615,AM615))</f>
        <v/>
      </c>
      <c r="AN616" s="6" t="str">
        <f>IF($D616&lt;=AN$4,"",IF(AND($D615=AN$4,$D616&gt;AN$4),$F615,AN615))</f>
        <v/>
      </c>
      <c r="AO616" s="6" t="str">
        <f>CONCATENATE(AG616," | ",AH616," | ",AI616," | ",AJ616," | ",AK616," | ",AL616," | ",AM616," | ",AN616)</f>
        <v xml:space="preserve">90MB1BJ0-C1BAY0 | 59MB1BJB-MB0A02S |  |  |  |  |  | </v>
      </c>
      <c r="AP616" s="6">
        <f>IF(TRIM(H616)="",100,J616)</f>
        <v>0</v>
      </c>
      <c r="AQ616" s="4"/>
      <c r="AR616" s="6" t="b">
        <f>NOT(TRIM(W616)&lt;&gt;"F")</f>
        <v>1</v>
      </c>
      <c r="AS616" s="6" t="str">
        <f>$B616&amp;" | "&amp;$AO616&amp;" | "&amp;IF(TRIM(H616)="","uniq"&amp;ROW(),TRIM(H616))</f>
        <v>461E | 90MB1BJ0-C1BAY0 | 59MB1BJB-MB0A02S |  |  |  |  |  |  | L1</v>
      </c>
      <c r="AT616" s="63">
        <f>IF(NOT(AR616),IF(TRIM($H616)="","Assembly","Phantom Alt"),VLOOKUP(F616,ZPCS04!B:G,6,0))</f>
        <v>882</v>
      </c>
      <c r="AU616" s="7"/>
      <c r="AV616" s="38">
        <f ca="1">IF(TRIM($W616)="F",OFFSET($A$5,MATCH($AS616,$AS$5:$AS616,0)-1,0),$A616)</f>
        <v>615</v>
      </c>
      <c r="AW616" s="38">
        <f ca="1">IFERROR(OFFSET(ZPCS04!$A$1,MATCH(F616,ZPCS04!B:B,0)-1,0),100)</f>
        <v>2</v>
      </c>
      <c r="AX616" s="7"/>
      <c r="AY616" s="6" t="b">
        <f>SUMIF(AS:AS,AS616,AP:AP)=100</f>
        <v>1</v>
      </c>
      <c r="AZ616" s="6" t="b">
        <f>SUMIF(AS:AS,AS616,AE:AE)/COUNTIF(AS:AS,AS616)=AE616</f>
        <v>1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>C616&amp;" | "&amp;F616</f>
        <v>90MB1BJ0-C1BAY0 | 11G232010204150</v>
      </c>
      <c r="BE616" s="55" t="str">
        <f ca="1">C616&amp;" | "&amp;OFFSET($AF616,0,8-COUNTBLANK($AG616:$AN616))</f>
        <v>90MB1BJ0-C1BAY0 | 59MB1BJB-MB0A02S</v>
      </c>
      <c r="BF616" s="57">
        <f ca="1">IFERROR(VLOOKUP($BE616,$BD$5:$BF615,3,0)*$AE616,VLOOKUP($C616,Demanda!$A:$B,2,0)*$AE616)*IF(AT616="Phantom Alt",$BC616,TRUE)</f>
        <v>1000</v>
      </c>
      <c r="BG616" s="57">
        <f ca="1">BF616*(AP616/100)</f>
        <v>0</v>
      </c>
      <c r="BH616" s="57">
        <f>SUMIF(Invoice!A:A,F616,Invoice!B:B)</f>
        <v>0</v>
      </c>
      <c r="BI616" s="57">
        <f ca="1">SUMIF(AS:AS,AS616,BG:BG)</f>
        <v>1000</v>
      </c>
      <c r="BJ616" s="57">
        <f ca="1">MIN((BI616-SUMIF($AS$5:AS615,AS616,$BJ$5:BJ615)),MAX(0,BH616-SUMIF($F$5:F615,F616,$BJ$5:BJ615)))</f>
        <v>0</v>
      </c>
      <c r="BK616" s="57">
        <f ca="1">(-SUMIF(AS:AS,AS616,BG:BG)+SUMIF(AS:AS,AS616,BJ:BJ))*(AP616=100)*AR616</f>
        <v>0</v>
      </c>
      <c r="BL616" s="57">
        <f ca="1">MAX(0,SUMIF(Invoice!A:A,F616,Invoice!B:B)-SUMIF(F:F,F616,BJ:BJ))*(COUNTIF(F:F,F616)=COUNTIF($F$5:F616,F616))</f>
        <v>0</v>
      </c>
    </row>
    <row r="617" spans="1:64" hidden="1">
      <c r="A617" s="43">
        <v>617</v>
      </c>
      <c r="B617" s="13" t="s">
        <v>147</v>
      </c>
      <c r="C617" s="13" t="s">
        <v>146</v>
      </c>
      <c r="D617" s="13">
        <v>2</v>
      </c>
      <c r="E617" s="13">
        <v>2110</v>
      </c>
      <c r="F617" s="71" t="s">
        <v>1482</v>
      </c>
      <c r="G617" s="71" t="s">
        <v>1483</v>
      </c>
      <c r="H617" s="13" t="s">
        <v>1475</v>
      </c>
      <c r="I617" s="13" t="s">
        <v>55</v>
      </c>
      <c r="J617" s="28">
        <v>0</v>
      </c>
      <c r="K617" s="13" t="s">
        <v>1428</v>
      </c>
      <c r="L617" s="13" t="s">
        <v>53</v>
      </c>
      <c r="M617" s="13">
        <v>1</v>
      </c>
      <c r="O617" s="13">
        <v>1</v>
      </c>
      <c r="P617" s="13">
        <v>2</v>
      </c>
      <c r="Q617" s="13">
        <v>5</v>
      </c>
      <c r="R617" s="13" t="s">
        <v>122</v>
      </c>
      <c r="S617" s="13" t="s">
        <v>122</v>
      </c>
      <c r="T617" s="13">
        <v>44901</v>
      </c>
      <c r="U617" s="13">
        <v>2958465</v>
      </c>
      <c r="V617" s="13" t="s">
        <v>282</v>
      </c>
      <c r="W617" s="13" t="s">
        <v>145</v>
      </c>
      <c r="Y617" s="13" t="s">
        <v>143</v>
      </c>
      <c r="Z617" s="13">
        <v>7589154</v>
      </c>
      <c r="AA617" s="13">
        <v>1122</v>
      </c>
      <c r="AB617" s="13">
        <v>561</v>
      </c>
      <c r="AE617" s="51">
        <f>M617/O617</f>
        <v>1</v>
      </c>
      <c r="AG617" s="6" t="str">
        <f>C617</f>
        <v>90MB1BJ0-C1BAY0</v>
      </c>
      <c r="AH617" s="6" t="str">
        <f>IF($D617&lt;=AH$4,"",IF(AND($D616=AH$4,$D617&gt;AH$4),$F616,AH616))</f>
        <v>59MB1BJB-MB0A02S</v>
      </c>
      <c r="AI617" s="6" t="str">
        <f>IF($D617&lt;=AI$4,"",IF(AND($D616=AI$4,$D617&gt;AI$4),$F616,AI616))</f>
        <v/>
      </c>
      <c r="AJ617" s="6" t="str">
        <f>IF($D617&lt;=AJ$4,"",IF(AND($D616=AJ$4,$D617&gt;AJ$4),$F616,AJ616))</f>
        <v/>
      </c>
      <c r="AK617" s="6" t="str">
        <f>IF($D617&lt;=AK$4,"",IF(AND($D616=AK$4,$D617&gt;AK$4),$F616,AK616))</f>
        <v/>
      </c>
      <c r="AL617" s="6" t="str">
        <f>IF($D617&lt;=AL$4,"",IF(AND($D616=AL$4,$D617&gt;AL$4),$F616,AL616))</f>
        <v/>
      </c>
      <c r="AM617" s="6" t="str">
        <f>IF($D617&lt;=AM$4,"",IF(AND($D616=AM$4,$D617&gt;AM$4),$F616,AM616))</f>
        <v/>
      </c>
      <c r="AN617" s="6" t="str">
        <f>IF($D617&lt;=AN$4,"",IF(AND($D616=AN$4,$D617&gt;AN$4),$F616,AN616))</f>
        <v/>
      </c>
      <c r="AO617" s="6" t="str">
        <f>CONCATENATE(AG617," | ",AH617," | ",AI617," | ",AJ617," | ",AK617," | ",AL617," | ",AM617," | ",AN617)</f>
        <v xml:space="preserve">90MB1BJ0-C1BAY0 | 59MB1BJB-MB0A02S |  |  |  |  |  | </v>
      </c>
      <c r="AP617" s="6">
        <f>IF(TRIM(H617)="",100,J617)</f>
        <v>0</v>
      </c>
      <c r="AQ617" s="4"/>
      <c r="AR617" s="6" t="b">
        <f>NOT(TRIM(W617)&lt;&gt;"F")</f>
        <v>1</v>
      </c>
      <c r="AS617" s="6" t="str">
        <f>$B617&amp;" | "&amp;$AO617&amp;" | "&amp;IF(TRIM(H617)="","uniq"&amp;ROW(),TRIM(H617))</f>
        <v>461E | 90MB1BJ0-C1BAY0 | 59MB1BJB-MB0A02S |  |  |  |  |  |  | L1</v>
      </c>
      <c r="AT617" s="63">
        <f>IF(NOT(AR617),IF(TRIM($H617)="","Assembly","Phantom Alt"),VLOOKUP(F617,ZPCS04!B:G,6,0))</f>
        <v>882</v>
      </c>
      <c r="AU617" s="7"/>
      <c r="AV617" s="38">
        <f ca="1">IF(TRIM($W617)="F",OFFSET($A$5,MATCH($AS617,$AS$5:$AS617,0)-1,0),$A617)</f>
        <v>615</v>
      </c>
      <c r="AW617" s="38">
        <f ca="1">IFERROR(OFFSET(ZPCS04!$A$1,MATCH(F617,ZPCS04!B:B,0)-1,0),100)</f>
        <v>2</v>
      </c>
      <c r="AX617" s="7"/>
      <c r="AY617" s="6" t="b">
        <f>SUMIF(AS:AS,AS617,AP:AP)=100</f>
        <v>1</v>
      </c>
      <c r="AZ617" s="6" t="b">
        <f>SUMIF(AS:AS,AS617,AE:AE)/COUNTIF(AS:AS,AS617)=AE617</f>
        <v>1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>C617&amp;" | "&amp;F617</f>
        <v>90MB1BJ0-C1BAY0 | 11G232010204320</v>
      </c>
      <c r="BE617" s="55" t="str">
        <f ca="1">C617&amp;" | "&amp;OFFSET($AF617,0,8-COUNTBLANK($AG617:$AN617))</f>
        <v>90MB1BJ0-C1BAY0 | 59MB1BJB-MB0A02S</v>
      </c>
      <c r="BF617" s="57">
        <f ca="1">IFERROR(VLOOKUP($BE617,$BD$5:$BF616,3,0)*$AE617,VLOOKUP($C617,Demanda!$A:$B,2,0)*$AE617)*IF(AT617="Phantom Alt",$BC617,TRUE)</f>
        <v>1000</v>
      </c>
      <c r="BG617" s="57">
        <f ca="1">BF617*(AP617/100)</f>
        <v>0</v>
      </c>
      <c r="BH617" s="57">
        <f>SUMIF(Invoice!A:A,F617,Invoice!B:B)</f>
        <v>0</v>
      </c>
      <c r="BI617" s="57">
        <f ca="1">SUMIF(AS:AS,AS617,BG:BG)</f>
        <v>1000</v>
      </c>
      <c r="BJ617" s="57">
        <f ca="1">MIN((BI617-SUMIF($AS$5:AS616,AS617,$BJ$5:BJ616)),MAX(0,BH617-SUMIF($F$5:F616,F617,$BJ$5:BJ616)))</f>
        <v>0</v>
      </c>
      <c r="BK617" s="57">
        <f ca="1">(-SUMIF(AS:AS,AS617,BG:BG)+SUMIF(AS:AS,AS617,BJ:BJ))*(AP617=100)*AR617</f>
        <v>0</v>
      </c>
      <c r="BL617" s="57">
        <f ca="1">MAX(0,SUMIF(Invoice!A:A,F617,Invoice!B:B)-SUMIF(F:F,F617,BJ:BJ))*(COUNTIF(F:F,F617)=COUNTIF($F$5:F617,F617))</f>
        <v>0</v>
      </c>
    </row>
    <row r="618" spans="1:64" hidden="1">
      <c r="A618" s="43">
        <v>620</v>
      </c>
      <c r="B618" s="13" t="s">
        <v>147</v>
      </c>
      <c r="C618" s="13" t="s">
        <v>146</v>
      </c>
      <c r="D618" s="13">
        <v>2</v>
      </c>
      <c r="E618" s="13">
        <v>2120</v>
      </c>
      <c r="F618" s="71" t="s">
        <v>1489</v>
      </c>
      <c r="G618" s="71" t="s">
        <v>1488</v>
      </c>
      <c r="H618" s="13" t="s">
        <v>1486</v>
      </c>
      <c r="I618" s="13" t="s">
        <v>55</v>
      </c>
      <c r="J618" s="28">
        <v>0</v>
      </c>
      <c r="K618" s="13" t="s">
        <v>1428</v>
      </c>
      <c r="L618" s="13" t="s">
        <v>53</v>
      </c>
      <c r="M618" s="13">
        <v>136</v>
      </c>
      <c r="O618" s="13">
        <v>1</v>
      </c>
      <c r="P618" s="13">
        <v>2</v>
      </c>
      <c r="Q618" s="13">
        <v>5</v>
      </c>
      <c r="R618" s="13" t="s">
        <v>122</v>
      </c>
      <c r="S618" s="13" t="s">
        <v>122</v>
      </c>
      <c r="T618" s="13">
        <v>44901</v>
      </c>
      <c r="U618" s="13">
        <v>2958465</v>
      </c>
      <c r="V618" s="13" t="s">
        <v>282</v>
      </c>
      <c r="W618" s="13" t="s">
        <v>145</v>
      </c>
      <c r="Y618" s="13" t="s">
        <v>143</v>
      </c>
      <c r="Z618" s="13">
        <v>7589154</v>
      </c>
      <c r="AA618" s="13">
        <v>1132</v>
      </c>
      <c r="AB618" s="13">
        <v>566</v>
      </c>
      <c r="AE618" s="51">
        <f>M618/O618</f>
        <v>136</v>
      </c>
      <c r="AG618" s="6" t="str">
        <f>C618</f>
        <v>90MB1BJ0-C1BAY0</v>
      </c>
      <c r="AH618" s="6" t="str">
        <f>IF($D618&lt;=AH$4,"",IF(AND($D617=AH$4,$D618&gt;AH$4),$F617,AH617))</f>
        <v>59MB1BJB-MB0A02S</v>
      </c>
      <c r="AI618" s="6" t="str">
        <f>IF($D618&lt;=AI$4,"",IF(AND($D617=AI$4,$D618&gt;AI$4),$F617,AI617))</f>
        <v/>
      </c>
      <c r="AJ618" s="6" t="str">
        <f>IF($D618&lt;=AJ$4,"",IF(AND($D617=AJ$4,$D618&gt;AJ$4),$F617,AJ617))</f>
        <v/>
      </c>
      <c r="AK618" s="6" t="str">
        <f>IF($D618&lt;=AK$4,"",IF(AND($D617=AK$4,$D618&gt;AK$4),$F617,AK617))</f>
        <v/>
      </c>
      <c r="AL618" s="6" t="str">
        <f>IF($D618&lt;=AL$4,"",IF(AND($D617=AL$4,$D618&gt;AL$4),$F617,AL617))</f>
        <v/>
      </c>
      <c r="AM618" s="6" t="str">
        <f>IF($D618&lt;=AM$4,"",IF(AND($D617=AM$4,$D618&gt;AM$4),$F617,AM617))</f>
        <v/>
      </c>
      <c r="AN618" s="6" t="str">
        <f>IF($D618&lt;=AN$4,"",IF(AND($D617=AN$4,$D618&gt;AN$4),$F617,AN617))</f>
        <v/>
      </c>
      <c r="AO618" s="6" t="str">
        <f>CONCATENATE(AG618," | ",AH618," | ",AI618," | ",AJ618," | ",AK618," | ",AL618," | ",AM618," | ",AN618)</f>
        <v xml:space="preserve">90MB1BJ0-C1BAY0 | 59MB1BJB-MB0A02S |  |  |  |  |  | </v>
      </c>
      <c r="AP618" s="6">
        <f>IF(TRIM(H618)="",100,J618)</f>
        <v>0</v>
      </c>
      <c r="AQ618" s="4"/>
      <c r="AR618" s="6" t="b">
        <f>NOT(TRIM(W618)&lt;&gt;"F")</f>
        <v>1</v>
      </c>
      <c r="AS618" s="6" t="str">
        <f>$B618&amp;" | "&amp;$AO618&amp;" | "&amp;IF(TRIM(H618)="","uniq"&amp;ROW(),TRIM(H618))</f>
        <v>461E | 90MB1BJ0-C1BAY0 | 59MB1BJB-MB0A02S |  |  |  |  |  |  | L2</v>
      </c>
      <c r="AT618" s="63">
        <f>IF(NOT(AR618),IF(TRIM($H618)="","Assembly","Phantom Alt"),VLOOKUP(F618,ZPCS04!B:G,6,0))</f>
        <v>751</v>
      </c>
      <c r="AU618" s="7"/>
      <c r="AV618" s="38">
        <f ca="1">IF(TRIM($W618)="F",OFFSET($A$5,MATCH($AS618,$AS$5:$AS618,0)-1,0),$A618)</f>
        <v>620</v>
      </c>
      <c r="AW618" s="38">
        <f ca="1">IFERROR(OFFSET(ZPCS04!$A$1,MATCH(F618,ZPCS04!B:B,0)-1,0),100)</f>
        <v>1.9999986000000001</v>
      </c>
      <c r="AX618" s="7"/>
      <c r="AY618" s="6" t="b">
        <f>SUMIF(AS:AS,AS618,AP:AP)=100</f>
        <v>1</v>
      </c>
      <c r="AZ618" s="6" t="b">
        <f>SUMIF(AS:AS,AS618,AE:AE)/COUNTIF(AS:AS,AS618)=AE618</f>
        <v>1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>C618&amp;" | "&amp;F618</f>
        <v>90MB1BJ0-C1BAY0 | 11G232110411150</v>
      </c>
      <c r="BE618" s="55" t="str">
        <f ca="1">C618&amp;" | "&amp;OFFSET($AF618,0,8-COUNTBLANK($AG618:$AN618))</f>
        <v>90MB1BJ0-C1BAY0 | 59MB1BJB-MB0A02S</v>
      </c>
      <c r="BF618" s="57">
        <f ca="1">IFERROR(VLOOKUP($BE618,$BD$5:$BF617,3,0)*$AE618,VLOOKUP($C618,Demanda!$A:$B,2,0)*$AE618)*IF(AT618="Phantom Alt",$BC618,TRUE)</f>
        <v>136000</v>
      </c>
      <c r="BG618" s="57">
        <f ca="1">BF618*(AP618/100)</f>
        <v>0</v>
      </c>
      <c r="BH618" s="57">
        <f>SUMIF(Invoice!A:A,F618,Invoice!B:B)</f>
        <v>140000</v>
      </c>
      <c r="BI618" s="57">
        <f ca="1">SUMIF(AS:AS,AS618,BG:BG)</f>
        <v>136000</v>
      </c>
      <c r="BJ618" s="57">
        <f ca="1">MIN((BI618-SUMIF($AS$5:AS617,AS618,$BJ$5:BJ617)),MAX(0,BH618-SUMIF($F$5:F617,F618,$BJ$5:BJ617)))</f>
        <v>136000</v>
      </c>
      <c r="BK618" s="57">
        <f ca="1">(-SUMIF(AS:AS,AS618,BG:BG)+SUMIF(AS:AS,AS618,BJ:BJ))*(AP618=100)*AR618</f>
        <v>0</v>
      </c>
      <c r="BL618" s="57">
        <f ca="1">MAX(0,SUMIF(Invoice!A:A,F618,Invoice!B:B)-SUMIF(F:F,F618,BJ:BJ))*(COUNTIF(F:F,F618)=COUNTIF($F$5:F618,F618))</f>
        <v>4000</v>
      </c>
    </row>
    <row r="619" spans="1:64" hidden="1">
      <c r="A619" s="43">
        <v>618</v>
      </c>
      <c r="B619" s="13" t="s">
        <v>147</v>
      </c>
      <c r="C619" s="13" t="s">
        <v>146</v>
      </c>
      <c r="D619" s="13">
        <v>2</v>
      </c>
      <c r="E619" s="13">
        <v>2120</v>
      </c>
      <c r="F619" s="71" t="s">
        <v>1484</v>
      </c>
      <c r="G619" s="71" t="s">
        <v>1485</v>
      </c>
      <c r="H619" s="13" t="s">
        <v>1486</v>
      </c>
      <c r="I619" s="13" t="s">
        <v>54</v>
      </c>
      <c r="J619" s="28">
        <v>100</v>
      </c>
      <c r="K619" s="13" t="s">
        <v>150</v>
      </c>
      <c r="L619" s="13" t="s">
        <v>53</v>
      </c>
      <c r="M619" s="13">
        <v>136</v>
      </c>
      <c r="N619" s="13">
        <v>136</v>
      </c>
      <c r="O619" s="13">
        <v>1</v>
      </c>
      <c r="P619" s="13">
        <v>2</v>
      </c>
      <c r="Q619" s="13">
        <v>1</v>
      </c>
      <c r="R619" s="13" t="s">
        <v>73</v>
      </c>
      <c r="S619" s="13" t="s">
        <v>73</v>
      </c>
      <c r="T619" s="13">
        <v>44901</v>
      </c>
      <c r="U619" s="13">
        <v>2958465</v>
      </c>
      <c r="V619" s="13" t="s">
        <v>282</v>
      </c>
      <c r="W619" s="13" t="s">
        <v>145</v>
      </c>
      <c r="Y619" s="13" t="s">
        <v>143</v>
      </c>
      <c r="Z619" s="13">
        <v>7589154</v>
      </c>
      <c r="AA619" s="13">
        <v>1124</v>
      </c>
      <c r="AB619" s="13">
        <v>562</v>
      </c>
      <c r="AE619" s="51">
        <f>M619/O619</f>
        <v>136</v>
      </c>
      <c r="AG619" s="6" t="str">
        <f>C619</f>
        <v>90MB1BJ0-C1BAY0</v>
      </c>
      <c r="AH619" s="6" t="str">
        <f>IF($D619&lt;=AH$4,"",IF(AND($D618=AH$4,$D619&gt;AH$4),$F618,AH618))</f>
        <v>59MB1BJB-MB0A02S</v>
      </c>
      <c r="AI619" s="6" t="str">
        <f>IF($D619&lt;=AI$4,"",IF(AND($D618=AI$4,$D619&gt;AI$4),$F618,AI618))</f>
        <v/>
      </c>
      <c r="AJ619" s="6" t="str">
        <f>IF($D619&lt;=AJ$4,"",IF(AND($D618=AJ$4,$D619&gt;AJ$4),$F618,AJ618))</f>
        <v/>
      </c>
      <c r="AK619" s="6" t="str">
        <f>IF($D619&lt;=AK$4,"",IF(AND($D618=AK$4,$D619&gt;AK$4),$F618,AK618))</f>
        <v/>
      </c>
      <c r="AL619" s="6" t="str">
        <f>IF($D619&lt;=AL$4,"",IF(AND($D618=AL$4,$D619&gt;AL$4),$F618,AL618))</f>
        <v/>
      </c>
      <c r="AM619" s="6" t="str">
        <f>IF($D619&lt;=AM$4,"",IF(AND($D618=AM$4,$D619&gt;AM$4),$F618,AM618))</f>
        <v/>
      </c>
      <c r="AN619" s="6" t="str">
        <f>IF($D619&lt;=AN$4,"",IF(AND($D618=AN$4,$D619&gt;AN$4),$F618,AN618))</f>
        <v/>
      </c>
      <c r="AO619" s="6" t="str">
        <f>CONCATENATE(AG619," | ",AH619," | ",AI619," | ",AJ619," | ",AK619," | ",AL619," | ",AM619," | ",AN619)</f>
        <v xml:space="preserve">90MB1BJ0-C1BAY0 | 59MB1BJB-MB0A02S |  |  |  |  |  | </v>
      </c>
      <c r="AP619" s="6">
        <f>IF(TRIM(H619)="",100,J619)</f>
        <v>100</v>
      </c>
      <c r="AQ619" s="4"/>
      <c r="AR619" s="6" t="b">
        <f>NOT(TRIM(W619)&lt;&gt;"F")</f>
        <v>1</v>
      </c>
      <c r="AS619" s="6" t="str">
        <f>$B619&amp;" | "&amp;$AO619&amp;" | "&amp;IF(TRIM(H619)="","uniq"&amp;ROW(),TRIM(H619))</f>
        <v>461E | 90MB1BJ0-C1BAY0 | 59MB1BJB-MB0A02S |  |  |  |  |  |  | L2</v>
      </c>
      <c r="AT619" s="63">
        <f>IF(NOT(AR619),IF(TRIM($H619)="","Assembly","Phantom Alt"),VLOOKUP(F619,ZPCS04!B:G,6,0))</f>
        <v>751</v>
      </c>
      <c r="AU619" s="7"/>
      <c r="AV619" s="38">
        <f ca="1">IF(TRIM($W619)="F",OFFSET($A$5,MATCH($AS619,$AS$5:$AS619,0)-1,0),$A619)</f>
        <v>620</v>
      </c>
      <c r="AW619" s="38">
        <f ca="1">IFERROR(OFFSET(ZPCS04!$A$1,MATCH(F619,ZPCS04!B:B,0)-1,0),100)</f>
        <v>2</v>
      </c>
      <c r="AX619" s="7"/>
      <c r="AY619" s="6" t="b">
        <f>SUMIF(AS:AS,AS619,AP:AP)=100</f>
        <v>1</v>
      </c>
      <c r="AZ619" s="6" t="b">
        <f>SUMIF(AS:AS,AS619,AE:AE)/COUNTIF(AS:AS,AS619)=AE619</f>
        <v>1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>C619&amp;" | "&amp;F619</f>
        <v>90MB1BJ0-C1BAY0 | 11203-0211Q000</v>
      </c>
      <c r="BE619" s="55" t="str">
        <f ca="1">C619&amp;" | "&amp;OFFSET($AF619,0,8-COUNTBLANK($AG619:$AN619))</f>
        <v>90MB1BJ0-C1BAY0 | 59MB1BJB-MB0A02S</v>
      </c>
      <c r="BF619" s="57">
        <f ca="1">IFERROR(VLOOKUP($BE619,$BD$5:$BF618,3,0)*$AE619,VLOOKUP($C619,Demanda!$A:$B,2,0)*$AE619)*IF(AT619="Phantom Alt",$BC619,TRUE)</f>
        <v>136000</v>
      </c>
      <c r="BG619" s="57">
        <f ca="1">BF619*(AP619/100)</f>
        <v>136000</v>
      </c>
      <c r="BH619" s="57">
        <f>SUMIF(Invoice!A:A,F619,Invoice!B:B)</f>
        <v>0</v>
      </c>
      <c r="BI619" s="57">
        <f ca="1">SUMIF(AS:AS,AS619,BG:BG)</f>
        <v>136000</v>
      </c>
      <c r="BJ619" s="57">
        <f ca="1">MIN((BI619-SUMIF($AS$5:AS618,AS619,$BJ$5:BJ618)),MAX(0,BH619-SUMIF($F$5:F618,F619,$BJ$5:BJ618)))</f>
        <v>0</v>
      </c>
      <c r="BK619" s="57">
        <f ca="1">(-SUMIF(AS:AS,AS619,BG:BG)+SUMIF(AS:AS,AS619,BJ:BJ))*(AP619=100)*AR619</f>
        <v>0</v>
      </c>
      <c r="BL619" s="57">
        <f ca="1">MAX(0,SUMIF(Invoice!A:A,F619,Invoice!B:B)-SUMIF(F:F,F619,BJ:BJ))*(COUNTIF(F:F,F619)=COUNTIF($F$5:F619,F619))</f>
        <v>0</v>
      </c>
    </row>
    <row r="620" spans="1:64" hidden="1">
      <c r="A620" s="43">
        <v>619</v>
      </c>
      <c r="B620" s="13" t="s">
        <v>147</v>
      </c>
      <c r="C620" s="13" t="s">
        <v>146</v>
      </c>
      <c r="D620" s="13">
        <v>2</v>
      </c>
      <c r="E620" s="13">
        <v>2120</v>
      </c>
      <c r="F620" s="71" t="s">
        <v>1487</v>
      </c>
      <c r="G620" s="71" t="s">
        <v>1488</v>
      </c>
      <c r="H620" s="13" t="s">
        <v>1486</v>
      </c>
      <c r="I620" s="13" t="s">
        <v>55</v>
      </c>
      <c r="J620" s="28">
        <v>0</v>
      </c>
      <c r="K620" s="13" t="s">
        <v>1428</v>
      </c>
      <c r="L620" s="13" t="s">
        <v>53</v>
      </c>
      <c r="M620" s="13">
        <v>136</v>
      </c>
      <c r="O620" s="13">
        <v>1</v>
      </c>
      <c r="P620" s="13">
        <v>2</v>
      </c>
      <c r="Q620" s="13">
        <v>4</v>
      </c>
      <c r="R620" s="13" t="s">
        <v>122</v>
      </c>
      <c r="S620" s="13" t="s">
        <v>122</v>
      </c>
      <c r="T620" s="13">
        <v>44901</v>
      </c>
      <c r="U620" s="13">
        <v>2958465</v>
      </c>
      <c r="V620" s="13" t="s">
        <v>282</v>
      </c>
      <c r="W620" s="13" t="s">
        <v>145</v>
      </c>
      <c r="Y620" s="13" t="s">
        <v>143</v>
      </c>
      <c r="Z620" s="13">
        <v>7589154</v>
      </c>
      <c r="AA620" s="13">
        <v>1130</v>
      </c>
      <c r="AB620" s="13">
        <v>565</v>
      </c>
      <c r="AE620" s="51">
        <f>M620/O620</f>
        <v>136</v>
      </c>
      <c r="AG620" s="6" t="str">
        <f>C620</f>
        <v>90MB1BJ0-C1BAY0</v>
      </c>
      <c r="AH620" s="6" t="str">
        <f>IF($D620&lt;=AH$4,"",IF(AND($D619=AH$4,$D620&gt;AH$4),$F619,AH619))</f>
        <v>59MB1BJB-MB0A02S</v>
      </c>
      <c r="AI620" s="6" t="str">
        <f>IF($D620&lt;=AI$4,"",IF(AND($D619=AI$4,$D620&gt;AI$4),$F619,AI619))</f>
        <v/>
      </c>
      <c r="AJ620" s="6" t="str">
        <f>IF($D620&lt;=AJ$4,"",IF(AND($D619=AJ$4,$D620&gt;AJ$4),$F619,AJ619))</f>
        <v/>
      </c>
      <c r="AK620" s="6" t="str">
        <f>IF($D620&lt;=AK$4,"",IF(AND($D619=AK$4,$D620&gt;AK$4),$F619,AK619))</f>
        <v/>
      </c>
      <c r="AL620" s="6" t="str">
        <f>IF($D620&lt;=AL$4,"",IF(AND($D619=AL$4,$D620&gt;AL$4),$F619,AL619))</f>
        <v/>
      </c>
      <c r="AM620" s="6" t="str">
        <f>IF($D620&lt;=AM$4,"",IF(AND($D619=AM$4,$D620&gt;AM$4),$F619,AM619))</f>
        <v/>
      </c>
      <c r="AN620" s="6" t="str">
        <f>IF($D620&lt;=AN$4,"",IF(AND($D619=AN$4,$D620&gt;AN$4),$F619,AN619))</f>
        <v/>
      </c>
      <c r="AO620" s="6" t="str">
        <f>CONCATENATE(AG620," | ",AH620," | ",AI620," | ",AJ620," | ",AK620," | ",AL620," | ",AM620," | ",AN620)</f>
        <v xml:space="preserve">90MB1BJ0-C1BAY0 | 59MB1BJB-MB0A02S |  |  |  |  |  | </v>
      </c>
      <c r="AP620" s="6">
        <f>IF(TRIM(H620)="",100,J620)</f>
        <v>0</v>
      </c>
      <c r="AQ620" s="4"/>
      <c r="AR620" s="6" t="b">
        <f>NOT(TRIM(W620)&lt;&gt;"F")</f>
        <v>1</v>
      </c>
      <c r="AS620" s="6" t="str">
        <f>$B620&amp;" | "&amp;$AO620&amp;" | "&amp;IF(TRIM(H620)="","uniq"&amp;ROW(),TRIM(H620))</f>
        <v>461E | 90MB1BJ0-C1BAY0 | 59MB1BJB-MB0A02S |  |  |  |  |  |  | L2</v>
      </c>
      <c r="AT620" s="63">
        <f>IF(NOT(AR620),IF(TRIM($H620)="","Assembly","Phantom Alt"),VLOOKUP(F620,ZPCS04!B:G,6,0))</f>
        <v>751</v>
      </c>
      <c r="AU620" s="7"/>
      <c r="AV620" s="38">
        <f ca="1">IF(TRIM($W620)="F",OFFSET($A$5,MATCH($AS620,$AS$5:$AS620,0)-1,0),$A620)</f>
        <v>620</v>
      </c>
      <c r="AW620" s="38">
        <f ca="1">IFERROR(OFFSET(ZPCS04!$A$1,MATCH(F620,ZPCS04!B:B,0)-1,0),100)</f>
        <v>2</v>
      </c>
      <c r="AX620" s="7"/>
      <c r="AY620" s="6" t="b">
        <f>SUMIF(AS:AS,AS620,AP:AP)=100</f>
        <v>1</v>
      </c>
      <c r="AZ620" s="6" t="b">
        <f>SUMIF(AS:AS,AS620,AE:AE)/COUNTIF(AS:AS,AS620)=AE620</f>
        <v>1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>C620&amp;" | "&amp;F620</f>
        <v>90MB1BJ0-C1BAY0 | 11G232110411070</v>
      </c>
      <c r="BE620" s="55" t="str">
        <f ca="1">C620&amp;" | "&amp;OFFSET($AF620,0,8-COUNTBLANK($AG620:$AN620))</f>
        <v>90MB1BJ0-C1BAY0 | 59MB1BJB-MB0A02S</v>
      </c>
      <c r="BF620" s="57">
        <f ca="1">IFERROR(VLOOKUP($BE620,$BD$5:$BF619,3,0)*$AE620,VLOOKUP($C620,Demanda!$A:$B,2,0)*$AE620)*IF(AT620="Phantom Alt",$BC620,TRUE)</f>
        <v>136000</v>
      </c>
      <c r="BG620" s="57">
        <f ca="1">BF620*(AP620/100)</f>
        <v>0</v>
      </c>
      <c r="BH620" s="57">
        <f>SUMIF(Invoice!A:A,F620,Invoice!B:B)</f>
        <v>0</v>
      </c>
      <c r="BI620" s="57">
        <f ca="1">SUMIF(AS:AS,AS620,BG:BG)</f>
        <v>136000</v>
      </c>
      <c r="BJ620" s="57">
        <f ca="1">MIN((BI620-SUMIF($AS$5:AS619,AS620,$BJ$5:BJ619)),MAX(0,BH620-SUMIF($F$5:F619,F620,$BJ$5:BJ619)))</f>
        <v>0</v>
      </c>
      <c r="BK620" s="57">
        <f ca="1">(-SUMIF(AS:AS,AS620,BG:BG)+SUMIF(AS:AS,AS620,BJ:BJ))*(AP620=100)*AR620</f>
        <v>0</v>
      </c>
      <c r="BL620" s="57">
        <f ca="1">MAX(0,SUMIF(Invoice!A:A,F620,Invoice!B:B)-SUMIF(F:F,F620,BJ:BJ))*(COUNTIF(F:F,F620)=COUNTIF($F$5:F620,F620))</f>
        <v>0</v>
      </c>
    </row>
    <row r="621" spans="1:64" hidden="1">
      <c r="A621" s="43">
        <v>621</v>
      </c>
      <c r="B621" s="13" t="s">
        <v>147</v>
      </c>
      <c r="C621" s="13" t="s">
        <v>146</v>
      </c>
      <c r="D621" s="13">
        <v>2</v>
      </c>
      <c r="E621" s="13">
        <v>2120</v>
      </c>
      <c r="F621" s="71" t="s">
        <v>1490</v>
      </c>
      <c r="G621" s="71" t="s">
        <v>1491</v>
      </c>
      <c r="H621" s="13" t="s">
        <v>1486</v>
      </c>
      <c r="I621" s="13" t="s">
        <v>55</v>
      </c>
      <c r="J621" s="28">
        <v>0</v>
      </c>
      <c r="K621" s="13" t="s">
        <v>1428</v>
      </c>
      <c r="L621" s="13" t="s">
        <v>53</v>
      </c>
      <c r="M621" s="13">
        <v>136</v>
      </c>
      <c r="O621" s="13">
        <v>1</v>
      </c>
      <c r="P621" s="13">
        <v>2</v>
      </c>
      <c r="Q621" s="13">
        <v>2</v>
      </c>
      <c r="R621" s="13" t="s">
        <v>122</v>
      </c>
      <c r="S621" s="13" t="s">
        <v>122</v>
      </c>
      <c r="T621" s="13">
        <v>44901</v>
      </c>
      <c r="U621" s="13">
        <v>2958465</v>
      </c>
      <c r="V621" s="13" t="s">
        <v>282</v>
      </c>
      <c r="W621" s="13" t="s">
        <v>145</v>
      </c>
      <c r="Y621" s="13" t="s">
        <v>143</v>
      </c>
      <c r="Z621" s="13">
        <v>7589154</v>
      </c>
      <c r="AA621" s="13">
        <v>1126</v>
      </c>
      <c r="AB621" s="13">
        <v>563</v>
      </c>
      <c r="AE621" s="51">
        <f>M621/O621</f>
        <v>136</v>
      </c>
      <c r="AG621" s="6" t="str">
        <f>C621</f>
        <v>90MB1BJ0-C1BAY0</v>
      </c>
      <c r="AH621" s="6" t="str">
        <f>IF($D621&lt;=AH$4,"",IF(AND($D620=AH$4,$D621&gt;AH$4),$F620,AH620))</f>
        <v>59MB1BJB-MB0A02S</v>
      </c>
      <c r="AI621" s="6" t="str">
        <f>IF($D621&lt;=AI$4,"",IF(AND($D620=AI$4,$D621&gt;AI$4),$F620,AI620))</f>
        <v/>
      </c>
      <c r="AJ621" s="6" t="str">
        <f>IF($D621&lt;=AJ$4,"",IF(AND($D620=AJ$4,$D621&gt;AJ$4),$F620,AJ620))</f>
        <v/>
      </c>
      <c r="AK621" s="6" t="str">
        <f>IF($D621&lt;=AK$4,"",IF(AND($D620=AK$4,$D621&gt;AK$4),$F620,AK620))</f>
        <v/>
      </c>
      <c r="AL621" s="6" t="str">
        <f>IF($D621&lt;=AL$4,"",IF(AND($D620=AL$4,$D621&gt;AL$4),$F620,AL620))</f>
        <v/>
      </c>
      <c r="AM621" s="6" t="str">
        <f>IF($D621&lt;=AM$4,"",IF(AND($D620=AM$4,$D621&gt;AM$4),$F620,AM620))</f>
        <v/>
      </c>
      <c r="AN621" s="6" t="str">
        <f>IF($D621&lt;=AN$4,"",IF(AND($D620=AN$4,$D621&gt;AN$4),$F620,AN620))</f>
        <v/>
      </c>
      <c r="AO621" s="6" t="str">
        <f>CONCATENATE(AG621," | ",AH621," | ",AI621," | ",AJ621," | ",AK621," | ",AL621," | ",AM621," | ",AN621)</f>
        <v xml:space="preserve">90MB1BJ0-C1BAY0 | 59MB1BJB-MB0A02S |  |  |  |  |  | </v>
      </c>
      <c r="AP621" s="6">
        <f>IF(TRIM(H621)="",100,J621)</f>
        <v>0</v>
      </c>
      <c r="AQ621" s="4"/>
      <c r="AR621" s="6" t="b">
        <f>NOT(TRIM(W621)&lt;&gt;"F")</f>
        <v>1</v>
      </c>
      <c r="AS621" s="6" t="str">
        <f>$B621&amp;" | "&amp;$AO621&amp;" | "&amp;IF(TRIM(H621)="","uniq"&amp;ROW(),TRIM(H621))</f>
        <v>461E | 90MB1BJ0-C1BAY0 | 59MB1BJB-MB0A02S |  |  |  |  |  |  | L2</v>
      </c>
      <c r="AT621" s="63">
        <f>IF(NOT(AR621),IF(TRIM($H621)="","Assembly","Phantom Alt"),VLOOKUP(F621,ZPCS04!B:G,6,0))</f>
        <v>751</v>
      </c>
      <c r="AU621" s="7"/>
      <c r="AV621" s="38">
        <f ca="1">IF(TRIM($W621)="F",OFFSET($A$5,MATCH($AS621,$AS$5:$AS621,0)-1,0),$A621)</f>
        <v>620</v>
      </c>
      <c r="AW621" s="38">
        <f ca="1">IFERROR(OFFSET(ZPCS04!$A$1,MATCH(F621,ZPCS04!B:B,0)-1,0),100)</f>
        <v>2</v>
      </c>
      <c r="AX621" s="7"/>
      <c r="AY621" s="6" t="b">
        <f>SUMIF(AS:AS,AS621,AP:AP)=100</f>
        <v>1</v>
      </c>
      <c r="AZ621" s="6" t="b">
        <f>SUMIF(AS:AS,AS621,AE:AE)/COUNTIF(AS:AS,AS621)=AE621</f>
        <v>1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>C621&amp;" | "&amp;F621</f>
        <v>90MB1BJ0-C1BAY0 | 11G232110411321</v>
      </c>
      <c r="BE621" s="55" t="str">
        <f ca="1">C621&amp;" | "&amp;OFFSET($AF621,0,8-COUNTBLANK($AG621:$AN621))</f>
        <v>90MB1BJ0-C1BAY0 | 59MB1BJB-MB0A02S</v>
      </c>
      <c r="BF621" s="57">
        <f ca="1">IFERROR(VLOOKUP($BE621,$BD$5:$BF620,3,0)*$AE621,VLOOKUP($C621,Demanda!$A:$B,2,0)*$AE621)*IF(AT621="Phantom Alt",$BC621,TRUE)</f>
        <v>136000</v>
      </c>
      <c r="BG621" s="57">
        <f ca="1">BF621*(AP621/100)</f>
        <v>0</v>
      </c>
      <c r="BH621" s="57">
        <f>SUMIF(Invoice!A:A,F621,Invoice!B:B)</f>
        <v>0</v>
      </c>
      <c r="BI621" s="57">
        <f ca="1">SUMIF(AS:AS,AS621,BG:BG)</f>
        <v>136000</v>
      </c>
      <c r="BJ621" s="57">
        <f ca="1">MIN((BI621-SUMIF($AS$5:AS620,AS621,$BJ$5:BJ620)),MAX(0,BH621-SUMIF($F$5:F620,F621,$BJ$5:BJ620)))</f>
        <v>0</v>
      </c>
      <c r="BK621" s="57">
        <f ca="1">(-SUMIF(AS:AS,AS621,BG:BG)+SUMIF(AS:AS,AS621,BJ:BJ))*(AP621=100)*AR621</f>
        <v>0</v>
      </c>
      <c r="BL621" s="57">
        <f ca="1">MAX(0,SUMIF(Invoice!A:A,F621,Invoice!B:B)-SUMIF(F:F,F621,BJ:BJ))*(COUNTIF(F:F,F621)=COUNTIF($F$5:F621,F621))</f>
        <v>0</v>
      </c>
    </row>
    <row r="622" spans="1:64" hidden="1">
      <c r="A622" s="43">
        <v>622</v>
      </c>
      <c r="B622" s="13" t="s">
        <v>147</v>
      </c>
      <c r="C622" s="13" t="s">
        <v>146</v>
      </c>
      <c r="D622" s="13">
        <v>2</v>
      </c>
      <c r="E622" s="13">
        <v>2120</v>
      </c>
      <c r="F622" s="71" t="s">
        <v>1492</v>
      </c>
      <c r="G622" s="71" t="s">
        <v>1493</v>
      </c>
      <c r="H622" s="13" t="s">
        <v>1486</v>
      </c>
      <c r="I622" s="13" t="s">
        <v>55</v>
      </c>
      <c r="J622" s="28">
        <v>0</v>
      </c>
      <c r="K622" s="13" t="s">
        <v>1428</v>
      </c>
      <c r="L622" s="13" t="s">
        <v>53</v>
      </c>
      <c r="M622" s="13">
        <v>136</v>
      </c>
      <c r="O622" s="13">
        <v>1</v>
      </c>
      <c r="P622" s="13">
        <v>2</v>
      </c>
      <c r="Q622" s="13">
        <v>3</v>
      </c>
      <c r="R622" s="13" t="s">
        <v>122</v>
      </c>
      <c r="S622" s="13" t="s">
        <v>122</v>
      </c>
      <c r="T622" s="13">
        <v>44901</v>
      </c>
      <c r="U622" s="13">
        <v>2958465</v>
      </c>
      <c r="V622" s="13" t="s">
        <v>282</v>
      </c>
      <c r="W622" s="13" t="s">
        <v>145</v>
      </c>
      <c r="Y622" s="13" t="s">
        <v>143</v>
      </c>
      <c r="Z622" s="13">
        <v>7589154</v>
      </c>
      <c r="AA622" s="13">
        <v>1128</v>
      </c>
      <c r="AB622" s="13">
        <v>564</v>
      </c>
      <c r="AE622" s="51">
        <f>M622/O622</f>
        <v>136</v>
      </c>
      <c r="AG622" s="6" t="str">
        <f>C622</f>
        <v>90MB1BJ0-C1BAY0</v>
      </c>
      <c r="AH622" s="6" t="str">
        <f>IF($D622&lt;=AH$4,"",IF(AND($D621=AH$4,$D622&gt;AH$4),$F621,AH621))</f>
        <v>59MB1BJB-MB0A02S</v>
      </c>
      <c r="AI622" s="6" t="str">
        <f>IF($D622&lt;=AI$4,"",IF(AND($D621=AI$4,$D622&gt;AI$4),$F621,AI621))</f>
        <v/>
      </c>
      <c r="AJ622" s="6" t="str">
        <f>IF($D622&lt;=AJ$4,"",IF(AND($D621=AJ$4,$D622&gt;AJ$4),$F621,AJ621))</f>
        <v/>
      </c>
      <c r="AK622" s="6" t="str">
        <f>IF($D622&lt;=AK$4,"",IF(AND($D621=AK$4,$D622&gt;AK$4),$F621,AK621))</f>
        <v/>
      </c>
      <c r="AL622" s="6" t="str">
        <f>IF($D622&lt;=AL$4,"",IF(AND($D621=AL$4,$D622&gt;AL$4),$F621,AL621))</f>
        <v/>
      </c>
      <c r="AM622" s="6" t="str">
        <f>IF($D622&lt;=AM$4,"",IF(AND($D621=AM$4,$D622&gt;AM$4),$F621,AM621))</f>
        <v/>
      </c>
      <c r="AN622" s="6" t="str">
        <f>IF($D622&lt;=AN$4,"",IF(AND($D621=AN$4,$D622&gt;AN$4),$F621,AN621))</f>
        <v/>
      </c>
      <c r="AO622" s="6" t="str">
        <f>CONCATENATE(AG622," | ",AH622," | ",AI622," | ",AJ622," | ",AK622," | ",AL622," | ",AM622," | ",AN622)</f>
        <v xml:space="preserve">90MB1BJ0-C1BAY0 | 59MB1BJB-MB0A02S |  |  |  |  |  | </v>
      </c>
      <c r="AP622" s="6">
        <f>IF(TRIM(H622)="",100,J622)</f>
        <v>0</v>
      </c>
      <c r="AQ622" s="4"/>
      <c r="AR622" s="6" t="b">
        <f>NOT(TRIM(W622)&lt;&gt;"F")</f>
        <v>1</v>
      </c>
      <c r="AS622" s="6" t="str">
        <f>$B622&amp;" | "&amp;$AO622&amp;" | "&amp;IF(TRIM(H622)="","uniq"&amp;ROW(),TRIM(H622))</f>
        <v>461E | 90MB1BJ0-C1BAY0 | 59MB1BJB-MB0A02S |  |  |  |  |  |  | L2</v>
      </c>
      <c r="AT622" s="63">
        <f>IF(NOT(AR622),IF(TRIM($H622)="","Assembly","Phantom Alt"),VLOOKUP(F622,ZPCS04!B:G,6,0))</f>
        <v>751</v>
      </c>
      <c r="AU622" s="7"/>
      <c r="AV622" s="38">
        <f ca="1">IF(TRIM($W622)="F",OFFSET($A$5,MATCH($AS622,$AS$5:$AS622,0)-1,0),$A622)</f>
        <v>620</v>
      </c>
      <c r="AW622" s="38">
        <f ca="1">IFERROR(OFFSET(ZPCS04!$A$1,MATCH(F622,ZPCS04!B:B,0)-1,0),100)</f>
        <v>2</v>
      </c>
      <c r="AX622" s="7"/>
      <c r="AY622" s="6" t="b">
        <f>SUMIF(AS:AS,AS622,AP:AP)=100</f>
        <v>1</v>
      </c>
      <c r="AZ622" s="6" t="b">
        <f>SUMIF(AS:AS,AS622,AE:AE)/COUNTIF(AS:AS,AS622)=AE622</f>
        <v>1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>C622&amp;" | "&amp;F622</f>
        <v>90MB1BJ0-C1BAY0 | 11G232110411390</v>
      </c>
      <c r="BE622" s="55" t="str">
        <f ca="1">C622&amp;" | "&amp;OFFSET($AF622,0,8-COUNTBLANK($AG622:$AN622))</f>
        <v>90MB1BJ0-C1BAY0 | 59MB1BJB-MB0A02S</v>
      </c>
      <c r="BF622" s="57">
        <f ca="1">IFERROR(VLOOKUP($BE622,$BD$5:$BF621,3,0)*$AE622,VLOOKUP($C622,Demanda!$A:$B,2,0)*$AE622)*IF(AT622="Phantom Alt",$BC622,TRUE)</f>
        <v>136000</v>
      </c>
      <c r="BG622" s="57">
        <f ca="1">BF622*(AP622/100)</f>
        <v>0</v>
      </c>
      <c r="BH622" s="57">
        <f>SUMIF(Invoice!A:A,F622,Invoice!B:B)</f>
        <v>0</v>
      </c>
      <c r="BI622" s="57">
        <f ca="1">SUMIF(AS:AS,AS622,BG:BG)</f>
        <v>136000</v>
      </c>
      <c r="BJ622" s="57">
        <f ca="1">MIN((BI622-SUMIF($AS$5:AS621,AS622,$BJ$5:BJ621)),MAX(0,BH622-SUMIF($F$5:F621,F622,$BJ$5:BJ621)))</f>
        <v>0</v>
      </c>
      <c r="BK622" s="57">
        <f ca="1">(-SUMIF(AS:AS,AS622,BG:BG)+SUMIF(AS:AS,AS622,BJ:BJ))*(AP622=100)*AR622</f>
        <v>0</v>
      </c>
      <c r="BL622" s="57">
        <f ca="1">MAX(0,SUMIF(Invoice!A:A,F622,Invoice!B:B)-SUMIF(F:F,F622,BJ:BJ))*(COUNTIF(F:F,F622)=COUNTIF($F$5:F622,F622))</f>
        <v>0</v>
      </c>
    </row>
    <row r="623" spans="1:64" hidden="1">
      <c r="A623" s="43">
        <v>623</v>
      </c>
      <c r="B623" s="13" t="s">
        <v>147</v>
      </c>
      <c r="C623" s="13" t="s">
        <v>146</v>
      </c>
      <c r="D623" s="13">
        <v>2</v>
      </c>
      <c r="E623" s="13">
        <v>2130</v>
      </c>
      <c r="F623" s="71" t="s">
        <v>1494</v>
      </c>
      <c r="G623" s="71" t="s">
        <v>1495</v>
      </c>
      <c r="H623" s="13" t="s">
        <v>1496</v>
      </c>
      <c r="I623" s="13" t="s">
        <v>54</v>
      </c>
      <c r="J623" s="28">
        <v>100</v>
      </c>
      <c r="K623" s="13" t="s">
        <v>150</v>
      </c>
      <c r="L623" s="13" t="s">
        <v>53</v>
      </c>
      <c r="M623" s="13">
        <v>4</v>
      </c>
      <c r="N623" s="13">
        <v>4</v>
      </c>
      <c r="O623" s="13">
        <v>1</v>
      </c>
      <c r="P623" s="13">
        <v>2</v>
      </c>
      <c r="Q623" s="13">
        <v>1</v>
      </c>
      <c r="R623" s="13" t="s">
        <v>73</v>
      </c>
      <c r="S623" s="13" t="s">
        <v>73</v>
      </c>
      <c r="T623" s="13">
        <v>44901</v>
      </c>
      <c r="U623" s="13">
        <v>2958465</v>
      </c>
      <c r="V623" s="13" t="s">
        <v>282</v>
      </c>
      <c r="W623" s="13" t="s">
        <v>145</v>
      </c>
      <c r="Y623" s="13" t="s">
        <v>143</v>
      </c>
      <c r="Z623" s="13">
        <v>7589154</v>
      </c>
      <c r="AA623" s="13">
        <v>1134</v>
      </c>
      <c r="AB623" s="13">
        <v>567</v>
      </c>
      <c r="AE623" s="51">
        <f>M623/O623</f>
        <v>4</v>
      </c>
      <c r="AG623" s="6" t="str">
        <f>C623</f>
        <v>90MB1BJ0-C1BAY0</v>
      </c>
      <c r="AH623" s="6" t="str">
        <f>IF($D623&lt;=AH$4,"",IF(AND($D622=AH$4,$D623&gt;AH$4),$F622,AH622))</f>
        <v>59MB1BJB-MB0A02S</v>
      </c>
      <c r="AI623" s="6" t="str">
        <f>IF($D623&lt;=AI$4,"",IF(AND($D622=AI$4,$D623&gt;AI$4),$F622,AI622))</f>
        <v/>
      </c>
      <c r="AJ623" s="6" t="str">
        <f>IF($D623&lt;=AJ$4,"",IF(AND($D622=AJ$4,$D623&gt;AJ$4),$F622,AJ622))</f>
        <v/>
      </c>
      <c r="AK623" s="6" t="str">
        <f>IF($D623&lt;=AK$4,"",IF(AND($D622=AK$4,$D623&gt;AK$4),$F622,AK622))</f>
        <v/>
      </c>
      <c r="AL623" s="6" t="str">
        <f>IF($D623&lt;=AL$4,"",IF(AND($D622=AL$4,$D623&gt;AL$4),$F622,AL622))</f>
        <v/>
      </c>
      <c r="AM623" s="6" t="str">
        <f>IF($D623&lt;=AM$4,"",IF(AND($D622=AM$4,$D623&gt;AM$4),$F622,AM622))</f>
        <v/>
      </c>
      <c r="AN623" s="6" t="str">
        <f>IF($D623&lt;=AN$4,"",IF(AND($D622=AN$4,$D623&gt;AN$4),$F622,AN622))</f>
        <v/>
      </c>
      <c r="AO623" s="6" t="str">
        <f>CONCATENATE(AG623," | ",AH623," | ",AI623," | ",AJ623," | ",AK623," | ",AL623," | ",AM623," | ",AN623)</f>
        <v xml:space="preserve">90MB1BJ0-C1BAY0 | 59MB1BJB-MB0A02S |  |  |  |  |  | </v>
      </c>
      <c r="AP623" s="6">
        <f>IF(TRIM(H623)="",100,J623)</f>
        <v>100</v>
      </c>
      <c r="AQ623" s="4"/>
      <c r="AR623" s="6" t="b">
        <f>NOT(TRIM(W623)&lt;&gt;"F")</f>
        <v>1</v>
      </c>
      <c r="AS623" s="6" t="str">
        <f>$B623&amp;" | "&amp;$AO623&amp;" | "&amp;IF(TRIM(H623)="","uniq"&amp;ROW(),TRIM(H623))</f>
        <v>461E | 90MB1BJ0-C1BAY0 | 59MB1BJB-MB0A02S |  |  |  |  |  |  | L3</v>
      </c>
      <c r="AT623" s="63">
        <f>IF(NOT(AR623),IF(TRIM($H623)="","Assembly","Phantom Alt"),VLOOKUP(F623,ZPCS04!B:G,6,0))</f>
        <v>755</v>
      </c>
      <c r="AU623" s="7"/>
      <c r="AV623" s="38">
        <f ca="1">IF(TRIM($W623)="F",OFFSET($A$5,MATCH($AS623,$AS$5:$AS623,0)-1,0),$A623)</f>
        <v>623</v>
      </c>
      <c r="AW623" s="38">
        <f ca="1">IFERROR(OFFSET(ZPCS04!$A$1,MATCH(F623,ZPCS04!B:B,0)-1,0),100)</f>
        <v>1.9999999000000002</v>
      </c>
      <c r="AX623" s="7"/>
      <c r="AY623" s="6" t="b">
        <f>SUMIF(AS:AS,AS623,AP:AP)=100</f>
        <v>1</v>
      </c>
      <c r="AZ623" s="6" t="b">
        <f>SUMIF(AS:AS,AS623,AE:AE)/COUNTIF(AS:AS,AS623)=AE623</f>
        <v>1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>C623&amp;" | "&amp;F623</f>
        <v>90MB1BJ0-C1BAY0 | 11203-0233Q000</v>
      </c>
      <c r="BE623" s="55" t="str">
        <f ca="1">C623&amp;" | "&amp;OFFSET($AF623,0,8-COUNTBLANK($AG623:$AN623))</f>
        <v>90MB1BJ0-C1BAY0 | 59MB1BJB-MB0A02S</v>
      </c>
      <c r="BF623" s="57">
        <f ca="1">IFERROR(VLOOKUP($BE623,$BD$5:$BF622,3,0)*$AE623,VLOOKUP($C623,Demanda!$A:$B,2,0)*$AE623)*IF(AT623="Phantom Alt",$BC623,TRUE)</f>
        <v>4000</v>
      </c>
      <c r="BG623" s="57">
        <f ca="1">BF623*(AP623/100)</f>
        <v>4000</v>
      </c>
      <c r="BH623" s="57">
        <f>SUMIF(Invoice!A:A,F623,Invoice!B:B)</f>
        <v>10000</v>
      </c>
      <c r="BI623" s="57">
        <f ca="1">SUMIF(AS:AS,AS623,BG:BG)</f>
        <v>4000</v>
      </c>
      <c r="BJ623" s="57">
        <f ca="1">MIN((BI623-SUMIF($AS$5:AS622,AS623,$BJ$5:BJ622)),MAX(0,BH623-SUMIF($F$5:F622,F623,$BJ$5:BJ622)))</f>
        <v>4000</v>
      </c>
      <c r="BK623" s="57">
        <f ca="1">(-SUMIF(AS:AS,AS623,BG:BG)+SUMIF(AS:AS,AS623,BJ:BJ))*(AP623=100)*AR623</f>
        <v>0</v>
      </c>
      <c r="BL623" s="57">
        <f ca="1">MAX(0,SUMIF(Invoice!A:A,F623,Invoice!B:B)-SUMIF(F:F,F623,BJ:BJ))*(COUNTIF(F:F,F623)=COUNTIF($F$5:F623,F623))</f>
        <v>6000</v>
      </c>
    </row>
    <row r="624" spans="1:64" hidden="1">
      <c r="A624" s="43">
        <v>624</v>
      </c>
      <c r="B624" s="13" t="s">
        <v>147</v>
      </c>
      <c r="C624" s="13" t="s">
        <v>146</v>
      </c>
      <c r="D624" s="13">
        <v>2</v>
      </c>
      <c r="E624" s="13">
        <v>2130</v>
      </c>
      <c r="F624" s="71" t="s">
        <v>1497</v>
      </c>
      <c r="G624" s="71" t="s">
        <v>1498</v>
      </c>
      <c r="H624" s="13" t="s">
        <v>1496</v>
      </c>
      <c r="I624" s="13" t="s">
        <v>55</v>
      </c>
      <c r="J624" s="28">
        <v>0</v>
      </c>
      <c r="K624" s="13" t="s">
        <v>150</v>
      </c>
      <c r="L624" s="13" t="s">
        <v>53</v>
      </c>
      <c r="M624" s="13">
        <v>4</v>
      </c>
      <c r="O624" s="13">
        <v>1</v>
      </c>
      <c r="P624" s="13">
        <v>2</v>
      </c>
      <c r="Q624" s="13">
        <v>3</v>
      </c>
      <c r="R624" s="13" t="s">
        <v>73</v>
      </c>
      <c r="S624" s="13" t="s">
        <v>73</v>
      </c>
      <c r="T624" s="13">
        <v>44901</v>
      </c>
      <c r="U624" s="13">
        <v>2958465</v>
      </c>
      <c r="V624" s="13" t="s">
        <v>282</v>
      </c>
      <c r="W624" s="13" t="s">
        <v>145</v>
      </c>
      <c r="Y624" s="13" t="s">
        <v>143</v>
      </c>
      <c r="Z624" s="13">
        <v>7589154</v>
      </c>
      <c r="AA624" s="13">
        <v>1138</v>
      </c>
      <c r="AB624" s="13">
        <v>569</v>
      </c>
      <c r="AE624" s="51">
        <f>M624/O624</f>
        <v>4</v>
      </c>
      <c r="AG624" s="6" t="str">
        <f>C624</f>
        <v>90MB1BJ0-C1BAY0</v>
      </c>
      <c r="AH624" s="6" t="str">
        <f>IF($D624&lt;=AH$4,"",IF(AND($D623=AH$4,$D624&gt;AH$4),$F623,AH623))</f>
        <v>59MB1BJB-MB0A02S</v>
      </c>
      <c r="AI624" s="6" t="str">
        <f>IF($D624&lt;=AI$4,"",IF(AND($D623=AI$4,$D624&gt;AI$4),$F623,AI623))</f>
        <v/>
      </c>
      <c r="AJ624" s="6" t="str">
        <f>IF($D624&lt;=AJ$4,"",IF(AND($D623=AJ$4,$D624&gt;AJ$4),$F623,AJ623))</f>
        <v/>
      </c>
      <c r="AK624" s="6" t="str">
        <f>IF($D624&lt;=AK$4,"",IF(AND($D623=AK$4,$D624&gt;AK$4),$F623,AK623))</f>
        <v/>
      </c>
      <c r="AL624" s="6" t="str">
        <f>IF($D624&lt;=AL$4,"",IF(AND($D623=AL$4,$D624&gt;AL$4),$F623,AL623))</f>
        <v/>
      </c>
      <c r="AM624" s="6" t="str">
        <f>IF($D624&lt;=AM$4,"",IF(AND($D623=AM$4,$D624&gt;AM$4),$F623,AM623))</f>
        <v/>
      </c>
      <c r="AN624" s="6" t="str">
        <f>IF($D624&lt;=AN$4,"",IF(AND($D623=AN$4,$D624&gt;AN$4),$F623,AN623))</f>
        <v/>
      </c>
      <c r="AO624" s="6" t="str">
        <f>CONCATENATE(AG624," | ",AH624," | ",AI624," | ",AJ624," | ",AK624," | ",AL624," | ",AM624," | ",AN624)</f>
        <v xml:space="preserve">90MB1BJ0-C1BAY0 | 59MB1BJB-MB0A02S |  |  |  |  |  | </v>
      </c>
      <c r="AP624" s="6">
        <f>IF(TRIM(H624)="",100,J624)</f>
        <v>0</v>
      </c>
      <c r="AQ624" s="4"/>
      <c r="AR624" s="6" t="b">
        <f>NOT(TRIM(W624)&lt;&gt;"F")</f>
        <v>1</v>
      </c>
      <c r="AS624" s="6" t="str">
        <f>$B624&amp;" | "&amp;$AO624&amp;" | "&amp;IF(TRIM(H624)="","uniq"&amp;ROW(),TRIM(H624))</f>
        <v>461E | 90MB1BJ0-C1BAY0 | 59MB1BJB-MB0A02S |  |  |  |  |  |  | L3</v>
      </c>
      <c r="AT624" s="63">
        <f>IF(NOT(AR624),IF(TRIM($H624)="","Assembly","Phantom Alt"),VLOOKUP(F624,ZPCS04!B:G,6,0))</f>
        <v>755</v>
      </c>
      <c r="AU624" s="7"/>
      <c r="AV624" s="38">
        <f ca="1">IF(TRIM($W624)="F",OFFSET($A$5,MATCH($AS624,$AS$5:$AS624,0)-1,0),$A624)</f>
        <v>623</v>
      </c>
      <c r="AW624" s="38">
        <f ca="1">IFERROR(OFFSET(ZPCS04!$A$1,MATCH(F624,ZPCS04!B:B,0)-1,0),100)</f>
        <v>2</v>
      </c>
      <c r="AX624" s="7"/>
      <c r="AY624" s="6" t="b">
        <f>SUMIF(AS:AS,AS624,AP:AP)=100</f>
        <v>1</v>
      </c>
      <c r="AZ624" s="6" t="b">
        <f>SUMIF(AS:AS,AS624,AE:AE)/COUNTIF(AS:AS,AS624)=AE624</f>
        <v>1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>C624&amp;" | "&amp;F624</f>
        <v>90MB1BJ0-C1BAY0 | 11G232168311070</v>
      </c>
      <c r="BE624" s="55" t="str">
        <f ca="1">C624&amp;" | "&amp;OFFSET($AF624,0,8-COUNTBLANK($AG624:$AN624))</f>
        <v>90MB1BJ0-C1BAY0 | 59MB1BJB-MB0A02S</v>
      </c>
      <c r="BF624" s="57">
        <f ca="1">IFERROR(VLOOKUP($BE624,$BD$5:$BF623,3,0)*$AE624,VLOOKUP($C624,Demanda!$A:$B,2,0)*$AE624)*IF(AT624="Phantom Alt",$BC624,TRUE)</f>
        <v>4000</v>
      </c>
      <c r="BG624" s="57">
        <f ca="1">BF624*(AP624/100)</f>
        <v>0</v>
      </c>
      <c r="BH624" s="57">
        <f>SUMIF(Invoice!A:A,F624,Invoice!B:B)</f>
        <v>0</v>
      </c>
      <c r="BI624" s="57">
        <f ca="1">SUMIF(AS:AS,AS624,BG:BG)</f>
        <v>4000</v>
      </c>
      <c r="BJ624" s="57">
        <f ca="1">MIN((BI624-SUMIF($AS$5:AS623,AS624,$BJ$5:BJ623)),MAX(0,BH624-SUMIF($F$5:F623,F624,$BJ$5:BJ623)))</f>
        <v>0</v>
      </c>
      <c r="BK624" s="57">
        <f ca="1">(-SUMIF(AS:AS,AS624,BG:BG)+SUMIF(AS:AS,AS624,BJ:BJ))*(AP624=100)*AR624</f>
        <v>0</v>
      </c>
      <c r="BL624" s="57">
        <f ca="1">MAX(0,SUMIF(Invoice!A:A,F624,Invoice!B:B)-SUMIF(F:F,F624,BJ:BJ))*(COUNTIF(F:F,F624)=COUNTIF($F$5:F624,F624))</f>
        <v>0</v>
      </c>
    </row>
    <row r="625" spans="1:64" hidden="1">
      <c r="A625" s="43">
        <v>625</v>
      </c>
      <c r="B625" s="13" t="s">
        <v>147</v>
      </c>
      <c r="C625" s="13" t="s">
        <v>146</v>
      </c>
      <c r="D625" s="13">
        <v>2</v>
      </c>
      <c r="E625" s="13">
        <v>2130</v>
      </c>
      <c r="F625" s="71" t="s">
        <v>1499</v>
      </c>
      <c r="G625" s="71" t="s">
        <v>1500</v>
      </c>
      <c r="H625" s="13" t="s">
        <v>1496</v>
      </c>
      <c r="I625" s="13" t="s">
        <v>55</v>
      </c>
      <c r="J625" s="28">
        <v>0</v>
      </c>
      <c r="K625" s="13" t="s">
        <v>150</v>
      </c>
      <c r="L625" s="13" t="s">
        <v>53</v>
      </c>
      <c r="M625" s="13">
        <v>4</v>
      </c>
      <c r="O625" s="13">
        <v>1</v>
      </c>
      <c r="P625" s="13">
        <v>2</v>
      </c>
      <c r="Q625" s="13">
        <v>2</v>
      </c>
      <c r="R625" s="13" t="s">
        <v>73</v>
      </c>
      <c r="S625" s="13" t="s">
        <v>73</v>
      </c>
      <c r="T625" s="13">
        <v>44901</v>
      </c>
      <c r="U625" s="13">
        <v>2958465</v>
      </c>
      <c r="V625" s="13" t="s">
        <v>282</v>
      </c>
      <c r="W625" s="13" t="s">
        <v>145</v>
      </c>
      <c r="Y625" s="13" t="s">
        <v>143</v>
      </c>
      <c r="Z625" s="13">
        <v>7589154</v>
      </c>
      <c r="AA625" s="13">
        <v>1136</v>
      </c>
      <c r="AB625" s="13">
        <v>568</v>
      </c>
      <c r="AE625" s="51">
        <f>M625/O625</f>
        <v>4</v>
      </c>
      <c r="AG625" s="6" t="str">
        <f>C625</f>
        <v>90MB1BJ0-C1BAY0</v>
      </c>
      <c r="AH625" s="6" t="str">
        <f>IF($D625&lt;=AH$4,"",IF(AND($D624=AH$4,$D625&gt;AH$4),$F624,AH624))</f>
        <v>59MB1BJB-MB0A02S</v>
      </c>
      <c r="AI625" s="6" t="str">
        <f>IF($D625&lt;=AI$4,"",IF(AND($D624=AI$4,$D625&gt;AI$4),$F624,AI624))</f>
        <v/>
      </c>
      <c r="AJ625" s="6" t="str">
        <f>IF($D625&lt;=AJ$4,"",IF(AND($D624=AJ$4,$D625&gt;AJ$4),$F624,AJ624))</f>
        <v/>
      </c>
      <c r="AK625" s="6" t="str">
        <f>IF($D625&lt;=AK$4,"",IF(AND($D624=AK$4,$D625&gt;AK$4),$F624,AK624))</f>
        <v/>
      </c>
      <c r="AL625" s="6" t="str">
        <f>IF($D625&lt;=AL$4,"",IF(AND($D624=AL$4,$D625&gt;AL$4),$F624,AL624))</f>
        <v/>
      </c>
      <c r="AM625" s="6" t="str">
        <f>IF($D625&lt;=AM$4,"",IF(AND($D624=AM$4,$D625&gt;AM$4),$F624,AM624))</f>
        <v/>
      </c>
      <c r="AN625" s="6" t="str">
        <f>IF($D625&lt;=AN$4,"",IF(AND($D624=AN$4,$D625&gt;AN$4),$F624,AN624))</f>
        <v/>
      </c>
      <c r="AO625" s="6" t="str">
        <f>CONCATENATE(AG625," | ",AH625," | ",AI625," | ",AJ625," | ",AK625," | ",AL625," | ",AM625," | ",AN625)</f>
        <v xml:space="preserve">90MB1BJ0-C1BAY0 | 59MB1BJB-MB0A02S |  |  |  |  |  | </v>
      </c>
      <c r="AP625" s="6">
        <f>IF(TRIM(H625)="",100,J625)</f>
        <v>0</v>
      </c>
      <c r="AQ625" s="4"/>
      <c r="AR625" s="6" t="b">
        <f>NOT(TRIM(W625)&lt;&gt;"F")</f>
        <v>1</v>
      </c>
      <c r="AS625" s="6" t="str">
        <f>$B625&amp;" | "&amp;$AO625&amp;" | "&amp;IF(TRIM(H625)="","uniq"&amp;ROW(),TRIM(H625))</f>
        <v>461E | 90MB1BJ0-C1BAY0 | 59MB1BJB-MB0A02S |  |  |  |  |  |  | L3</v>
      </c>
      <c r="AT625" s="63">
        <f>IF(NOT(AR625),IF(TRIM($H625)="","Assembly","Phantom Alt"),VLOOKUP(F625,ZPCS04!B:G,6,0))</f>
        <v>755</v>
      </c>
      <c r="AU625" s="7"/>
      <c r="AV625" s="38">
        <f ca="1">IF(TRIM($W625)="F",OFFSET($A$5,MATCH($AS625,$AS$5:$AS625,0)-1,0),$A625)</f>
        <v>623</v>
      </c>
      <c r="AW625" s="38">
        <f ca="1">IFERROR(OFFSET(ZPCS04!$A$1,MATCH(F625,ZPCS04!B:B,0)-1,0),100)</f>
        <v>2</v>
      </c>
      <c r="AX625" s="7"/>
      <c r="AY625" s="6" t="b">
        <f>SUMIF(AS:AS,AS625,AP:AP)=100</f>
        <v>1</v>
      </c>
      <c r="AZ625" s="6" t="b">
        <f>SUMIF(AS:AS,AS625,AE:AE)/COUNTIF(AS:AS,AS625)=AE625</f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>C625&amp;" | "&amp;F625</f>
        <v>90MB1BJ0-C1BAY0 | 11G232168311390</v>
      </c>
      <c r="BE625" s="55" t="str">
        <f ca="1">C625&amp;" | "&amp;OFFSET($AF625,0,8-COUNTBLANK($AG625:$AN625))</f>
        <v>90MB1BJ0-C1BAY0 | 59MB1BJB-MB0A02S</v>
      </c>
      <c r="BF625" s="57">
        <f ca="1">IFERROR(VLOOKUP($BE625,$BD$5:$BF624,3,0)*$AE625,VLOOKUP($C625,Demanda!$A:$B,2,0)*$AE625)*IF(AT625="Phantom Alt",$BC625,TRUE)</f>
        <v>4000</v>
      </c>
      <c r="BG625" s="57">
        <f ca="1">BF625*(AP625/100)</f>
        <v>0</v>
      </c>
      <c r="BH625" s="57">
        <f>SUMIF(Invoice!A:A,F625,Invoice!B:B)</f>
        <v>0</v>
      </c>
      <c r="BI625" s="57">
        <f ca="1">SUMIF(AS:AS,AS625,BG:BG)</f>
        <v>4000</v>
      </c>
      <c r="BJ625" s="57">
        <f ca="1">MIN((BI625-SUMIF($AS$5:AS624,AS625,$BJ$5:BJ624)),MAX(0,BH625-SUMIF($F$5:F624,F625,$BJ$5:BJ624)))</f>
        <v>0</v>
      </c>
      <c r="BK625" s="57">
        <f ca="1">(-SUMIF(AS:AS,AS625,BG:BG)+SUMIF(AS:AS,AS625,BJ:BJ))*(AP625=100)*AR625</f>
        <v>0</v>
      </c>
      <c r="BL625" s="57">
        <f ca="1">MAX(0,SUMIF(Invoice!A:A,F625,Invoice!B:B)-SUMIF(F:F,F625,BJ:BJ))*(COUNTIF(F:F,F625)=COUNTIF($F$5:F625,F625))</f>
        <v>0</v>
      </c>
    </row>
    <row r="626" spans="1:64" hidden="1">
      <c r="A626" s="43">
        <v>626</v>
      </c>
      <c r="B626" s="13" t="s">
        <v>147</v>
      </c>
      <c r="C626" s="13" t="s">
        <v>146</v>
      </c>
      <c r="D626" s="13">
        <v>2</v>
      </c>
      <c r="E626" s="13">
        <v>2140</v>
      </c>
      <c r="F626" s="71" t="s">
        <v>1501</v>
      </c>
      <c r="G626" s="71" t="s">
        <v>1502</v>
      </c>
      <c r="H626" s="13" t="s">
        <v>1503</v>
      </c>
      <c r="I626" s="13" t="s">
        <v>55</v>
      </c>
      <c r="J626" s="28">
        <v>0</v>
      </c>
      <c r="K626" s="13" t="s">
        <v>150</v>
      </c>
      <c r="L626" s="13" t="s">
        <v>53</v>
      </c>
      <c r="M626" s="13">
        <v>64</v>
      </c>
      <c r="O626" s="13">
        <v>1</v>
      </c>
      <c r="P626" s="13">
        <v>2</v>
      </c>
      <c r="Q626" s="13">
        <v>2</v>
      </c>
      <c r="R626" s="13" t="s">
        <v>73</v>
      </c>
      <c r="S626" s="13" t="s">
        <v>73</v>
      </c>
      <c r="T626" s="13">
        <v>44901</v>
      </c>
      <c r="U626" s="13">
        <v>2958465</v>
      </c>
      <c r="V626" s="13" t="s">
        <v>282</v>
      </c>
      <c r="W626" s="13" t="s">
        <v>145</v>
      </c>
      <c r="Y626" s="13" t="s">
        <v>143</v>
      </c>
      <c r="Z626" s="13">
        <v>7589154</v>
      </c>
      <c r="AA626" s="13">
        <v>1142</v>
      </c>
      <c r="AB626" s="13">
        <v>571</v>
      </c>
      <c r="AE626" s="51">
        <f>M626/O626</f>
        <v>64</v>
      </c>
      <c r="AG626" s="6" t="str">
        <f>C626</f>
        <v>90MB1BJ0-C1BAY0</v>
      </c>
      <c r="AH626" s="6" t="str">
        <f>IF($D626&lt;=AH$4,"",IF(AND($D625=AH$4,$D626&gt;AH$4),$F625,AH625))</f>
        <v>59MB1BJB-MB0A02S</v>
      </c>
      <c r="AI626" s="6" t="str">
        <f>IF($D626&lt;=AI$4,"",IF(AND($D625=AI$4,$D626&gt;AI$4),$F625,AI625))</f>
        <v/>
      </c>
      <c r="AJ626" s="6" t="str">
        <f>IF($D626&lt;=AJ$4,"",IF(AND($D625=AJ$4,$D626&gt;AJ$4),$F625,AJ625))</f>
        <v/>
      </c>
      <c r="AK626" s="6" t="str">
        <f>IF($D626&lt;=AK$4,"",IF(AND($D625=AK$4,$D626&gt;AK$4),$F625,AK625))</f>
        <v/>
      </c>
      <c r="AL626" s="6" t="str">
        <f>IF($D626&lt;=AL$4,"",IF(AND($D625=AL$4,$D626&gt;AL$4),$F625,AL625))</f>
        <v/>
      </c>
      <c r="AM626" s="6" t="str">
        <f>IF($D626&lt;=AM$4,"",IF(AND($D625=AM$4,$D626&gt;AM$4),$F625,AM625))</f>
        <v/>
      </c>
      <c r="AN626" s="6" t="str">
        <f>IF($D626&lt;=AN$4,"",IF(AND($D625=AN$4,$D626&gt;AN$4),$F625,AN625))</f>
        <v/>
      </c>
      <c r="AO626" s="6" t="str">
        <f>CONCATENATE(AG626," | ",AH626," | ",AI626," | ",AJ626," | ",AK626," | ",AL626," | ",AM626," | ",AN626)</f>
        <v xml:space="preserve">90MB1BJ0-C1BAY0 | 59MB1BJB-MB0A02S |  |  |  |  |  | </v>
      </c>
      <c r="AP626" s="6">
        <f>IF(TRIM(H626)="",100,J626)</f>
        <v>0</v>
      </c>
      <c r="AQ626" s="4"/>
      <c r="AR626" s="6" t="b">
        <f>NOT(TRIM(W626)&lt;&gt;"F")</f>
        <v>1</v>
      </c>
      <c r="AS626" s="6" t="str">
        <f>$B626&amp;" | "&amp;$AO626&amp;" | "&amp;IF(TRIM(H626)="","uniq"&amp;ROW(),TRIM(H626))</f>
        <v>461E | 90MB1BJ0-C1BAY0 | 59MB1BJB-MB0A02S |  |  |  |  |  |  | L4</v>
      </c>
      <c r="AT626" s="63">
        <f>IF(NOT(AR626),IF(TRIM($H626)="","Assembly","Phantom Alt"),VLOOKUP(F626,ZPCS04!B:G,6,0))</f>
        <v>738</v>
      </c>
      <c r="AU626" s="7"/>
      <c r="AV626" s="38">
        <f ca="1">IF(TRIM($W626)="F",OFFSET($A$5,MATCH($AS626,$AS$5:$AS626,0)-1,0),$A626)</f>
        <v>626</v>
      </c>
      <c r="AW626" s="38">
        <f ca="1">IFERROR(OFFSET(ZPCS04!$A$1,MATCH(F626,ZPCS04!B:B,0)-1,0),100)</f>
        <v>1.9999993599999999</v>
      </c>
      <c r="AX626" s="7"/>
      <c r="AY626" s="6" t="b">
        <f>SUMIF(AS:AS,AS626,AP:AP)=100</f>
        <v>1</v>
      </c>
      <c r="AZ626" s="6" t="b">
        <f>SUMIF(AS:AS,AS626,AE:AE)/COUNTIF(AS:AS,AS626)=AE626</f>
        <v>1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>C626&amp;" | "&amp;F626</f>
        <v>90MB1BJ0-C1BAY0 | 11206-0010D000</v>
      </c>
      <c r="BE626" s="55" t="str">
        <f ca="1">C626&amp;" | "&amp;OFFSET($AF626,0,8-COUNTBLANK($AG626:$AN626))</f>
        <v>90MB1BJ0-C1BAY0 | 59MB1BJB-MB0A02S</v>
      </c>
      <c r="BF626" s="57">
        <f ca="1">IFERROR(VLOOKUP($BE626,$BD$5:$BF625,3,0)*$AE626,VLOOKUP($C626,Demanda!$A:$B,2,0)*$AE626)*IF(AT626="Phantom Alt",$BC626,TRUE)</f>
        <v>64000</v>
      </c>
      <c r="BG626" s="57">
        <f ca="1">BF626*(AP626/100)</f>
        <v>0</v>
      </c>
      <c r="BH626" s="57">
        <f>SUMIF(Invoice!A:A,F626,Invoice!B:B)</f>
        <v>64000</v>
      </c>
      <c r="BI626" s="57">
        <f ca="1">SUMIF(AS:AS,AS626,BG:BG)</f>
        <v>64000</v>
      </c>
      <c r="BJ626" s="57">
        <f ca="1">MIN((BI626-SUMIF($AS$5:AS625,AS626,$BJ$5:BJ625)),MAX(0,BH626-SUMIF($F$5:F625,F626,$BJ$5:BJ625)))</f>
        <v>64000</v>
      </c>
      <c r="BK626" s="57">
        <f ca="1">(-SUMIF(AS:AS,AS626,BG:BG)+SUMIF(AS:AS,AS626,BJ:BJ))*(AP626=100)*AR626</f>
        <v>0</v>
      </c>
      <c r="BL626" s="57">
        <f ca="1">MAX(0,SUMIF(Invoice!A:A,F626,Invoice!B:B)-SUMIF(F:F,F626,BJ:BJ))*(COUNTIF(F:F,F626)=COUNTIF($F$5:F626,F626))</f>
        <v>0</v>
      </c>
    </row>
    <row r="627" spans="1:64" hidden="1">
      <c r="A627" s="43">
        <v>627</v>
      </c>
      <c r="B627" s="13" t="s">
        <v>147</v>
      </c>
      <c r="C627" s="13" t="s">
        <v>146</v>
      </c>
      <c r="D627" s="13">
        <v>2</v>
      </c>
      <c r="E627" s="13">
        <v>2140</v>
      </c>
      <c r="F627" s="71" t="s">
        <v>1504</v>
      </c>
      <c r="G627" s="71" t="s">
        <v>1505</v>
      </c>
      <c r="H627" s="13" t="s">
        <v>1503</v>
      </c>
      <c r="I627" s="13" t="s">
        <v>54</v>
      </c>
      <c r="J627" s="28">
        <v>100</v>
      </c>
      <c r="K627" s="13" t="s">
        <v>150</v>
      </c>
      <c r="L627" s="13" t="s">
        <v>53</v>
      </c>
      <c r="M627" s="13">
        <v>64</v>
      </c>
      <c r="N627" s="13">
        <v>64</v>
      </c>
      <c r="O627" s="13">
        <v>1</v>
      </c>
      <c r="P627" s="13">
        <v>2</v>
      </c>
      <c r="Q627" s="13">
        <v>1</v>
      </c>
      <c r="R627" s="13" t="s">
        <v>73</v>
      </c>
      <c r="S627" s="13" t="s">
        <v>73</v>
      </c>
      <c r="T627" s="13">
        <v>44901</v>
      </c>
      <c r="U627" s="13">
        <v>2958465</v>
      </c>
      <c r="V627" s="13" t="s">
        <v>282</v>
      </c>
      <c r="W627" s="13" t="s">
        <v>145</v>
      </c>
      <c r="Y627" s="13" t="s">
        <v>143</v>
      </c>
      <c r="Z627" s="13">
        <v>7589154</v>
      </c>
      <c r="AA627" s="13">
        <v>1140</v>
      </c>
      <c r="AB627" s="13">
        <v>570</v>
      </c>
      <c r="AE627" s="51">
        <f>M627/O627</f>
        <v>64</v>
      </c>
      <c r="AG627" s="6" t="str">
        <f>C627</f>
        <v>90MB1BJ0-C1BAY0</v>
      </c>
      <c r="AH627" s="6" t="str">
        <f>IF($D627&lt;=AH$4,"",IF(AND($D626=AH$4,$D627&gt;AH$4),$F626,AH626))</f>
        <v>59MB1BJB-MB0A02S</v>
      </c>
      <c r="AI627" s="6" t="str">
        <f>IF($D627&lt;=AI$4,"",IF(AND($D626=AI$4,$D627&gt;AI$4),$F626,AI626))</f>
        <v/>
      </c>
      <c r="AJ627" s="6" t="str">
        <f>IF($D627&lt;=AJ$4,"",IF(AND($D626=AJ$4,$D627&gt;AJ$4),$F626,AJ626))</f>
        <v/>
      </c>
      <c r="AK627" s="6" t="str">
        <f>IF($D627&lt;=AK$4,"",IF(AND($D626=AK$4,$D627&gt;AK$4),$F626,AK626))</f>
        <v/>
      </c>
      <c r="AL627" s="6" t="str">
        <f>IF($D627&lt;=AL$4,"",IF(AND($D626=AL$4,$D627&gt;AL$4),$F626,AL626))</f>
        <v/>
      </c>
      <c r="AM627" s="6" t="str">
        <f>IF($D627&lt;=AM$4,"",IF(AND($D626=AM$4,$D627&gt;AM$4),$F626,AM626))</f>
        <v/>
      </c>
      <c r="AN627" s="6" t="str">
        <f>IF($D627&lt;=AN$4,"",IF(AND($D626=AN$4,$D627&gt;AN$4),$F626,AN626))</f>
        <v/>
      </c>
      <c r="AO627" s="6" t="str">
        <f>CONCATENATE(AG627," | ",AH627," | ",AI627," | ",AJ627," | ",AK627," | ",AL627," | ",AM627," | ",AN627)</f>
        <v xml:space="preserve">90MB1BJ0-C1BAY0 | 59MB1BJB-MB0A02S |  |  |  |  |  | </v>
      </c>
      <c r="AP627" s="6">
        <f>IF(TRIM(H627)="",100,J627)</f>
        <v>100</v>
      </c>
      <c r="AQ627" s="4"/>
      <c r="AR627" s="6" t="b">
        <f>NOT(TRIM(W627)&lt;&gt;"F")</f>
        <v>1</v>
      </c>
      <c r="AS627" s="6" t="str">
        <f>$B627&amp;" | "&amp;$AO627&amp;" | "&amp;IF(TRIM(H627)="","uniq"&amp;ROW(),TRIM(H627))</f>
        <v>461E | 90MB1BJ0-C1BAY0 | 59MB1BJB-MB0A02S |  |  |  |  |  |  | L4</v>
      </c>
      <c r="AT627" s="63">
        <f>IF(NOT(AR627),IF(TRIM($H627)="","Assembly","Phantom Alt"),VLOOKUP(F627,ZPCS04!B:G,6,0))</f>
        <v>738</v>
      </c>
      <c r="AU627" s="7"/>
      <c r="AV627" s="38">
        <f ca="1">IF(TRIM($W627)="F",OFFSET($A$5,MATCH($AS627,$AS$5:$AS627,0)-1,0),$A627)</f>
        <v>626</v>
      </c>
      <c r="AW627" s="38">
        <f ca="1">IFERROR(OFFSET(ZPCS04!$A$1,MATCH(F627,ZPCS04!B:B,0)-1,0),100)</f>
        <v>2</v>
      </c>
      <c r="AX627" s="7"/>
      <c r="AY627" s="6" t="b">
        <f>SUMIF(AS:AS,AS627,AP:AP)=100</f>
        <v>1</v>
      </c>
      <c r="AZ627" s="6" t="b">
        <f>SUMIF(AS:AS,AS627,AE:AE)/COUNTIF(AS:AS,AS627)=AE627</f>
        <v>1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>C627&amp;" | "&amp;F627</f>
        <v>90MB1BJ0-C1BAY0 | 11206-0010F000</v>
      </c>
      <c r="BE627" s="55" t="str">
        <f ca="1">C627&amp;" | "&amp;OFFSET($AF627,0,8-COUNTBLANK($AG627:$AN627))</f>
        <v>90MB1BJ0-C1BAY0 | 59MB1BJB-MB0A02S</v>
      </c>
      <c r="BF627" s="57">
        <f ca="1">IFERROR(VLOOKUP($BE627,$BD$5:$BF626,3,0)*$AE627,VLOOKUP($C627,Demanda!$A:$B,2,0)*$AE627)*IF(AT627="Phantom Alt",$BC627,TRUE)</f>
        <v>64000</v>
      </c>
      <c r="BG627" s="57">
        <f ca="1">BF627*(AP627/100)</f>
        <v>64000</v>
      </c>
      <c r="BH627" s="57">
        <f>SUMIF(Invoice!A:A,F627,Invoice!B:B)</f>
        <v>0</v>
      </c>
      <c r="BI627" s="57">
        <f ca="1">SUMIF(AS:AS,AS627,BG:BG)</f>
        <v>64000</v>
      </c>
      <c r="BJ627" s="57">
        <f ca="1">MIN((BI627-SUMIF($AS$5:AS626,AS627,$BJ$5:BJ626)),MAX(0,BH627-SUMIF($F$5:F626,F627,$BJ$5:BJ626)))</f>
        <v>0</v>
      </c>
      <c r="BK627" s="57">
        <f ca="1">(-SUMIF(AS:AS,AS627,BG:BG)+SUMIF(AS:AS,AS627,BJ:BJ))*(AP627=100)*AR627</f>
        <v>0</v>
      </c>
      <c r="BL627" s="57">
        <f ca="1">MAX(0,SUMIF(Invoice!A:A,F627,Invoice!B:B)-SUMIF(F:F,F627,BJ:BJ))*(COUNTIF(F:F,F627)=COUNTIF($F$5:F627,F627))</f>
        <v>0</v>
      </c>
    </row>
    <row r="628" spans="1:64" hidden="1">
      <c r="A628" s="43">
        <v>628</v>
      </c>
      <c r="B628" s="13" t="s">
        <v>147</v>
      </c>
      <c r="C628" s="13" t="s">
        <v>146</v>
      </c>
      <c r="D628" s="13">
        <v>2</v>
      </c>
      <c r="E628" s="13">
        <v>2140</v>
      </c>
      <c r="F628" s="71" t="s">
        <v>1506</v>
      </c>
      <c r="G628" s="71" t="s">
        <v>1507</v>
      </c>
      <c r="H628" s="13" t="s">
        <v>1503</v>
      </c>
      <c r="I628" s="13" t="s">
        <v>55</v>
      </c>
      <c r="J628" s="28">
        <v>0</v>
      </c>
      <c r="K628" s="13" t="s">
        <v>150</v>
      </c>
      <c r="L628" s="13" t="s">
        <v>53</v>
      </c>
      <c r="M628" s="13">
        <v>64</v>
      </c>
      <c r="O628" s="13">
        <v>1</v>
      </c>
      <c r="P628" s="13">
        <v>2</v>
      </c>
      <c r="Q628" s="13">
        <v>3</v>
      </c>
      <c r="R628" s="13" t="s">
        <v>73</v>
      </c>
      <c r="S628" s="13" t="s">
        <v>73</v>
      </c>
      <c r="T628" s="13">
        <v>44901</v>
      </c>
      <c r="U628" s="13">
        <v>2958465</v>
      </c>
      <c r="V628" s="13" t="s">
        <v>282</v>
      </c>
      <c r="W628" s="13" t="s">
        <v>145</v>
      </c>
      <c r="Y628" s="13" t="s">
        <v>143</v>
      </c>
      <c r="Z628" s="13">
        <v>7589154</v>
      </c>
      <c r="AA628" s="13">
        <v>1144</v>
      </c>
      <c r="AB628" s="13">
        <v>572</v>
      </c>
      <c r="AE628" s="51">
        <f>M628/O628</f>
        <v>64</v>
      </c>
      <c r="AG628" s="6" t="str">
        <f>C628</f>
        <v>90MB1BJ0-C1BAY0</v>
      </c>
      <c r="AH628" s="6" t="str">
        <f>IF($D628&lt;=AH$4,"",IF(AND($D627=AH$4,$D628&gt;AH$4),$F627,AH627))</f>
        <v>59MB1BJB-MB0A02S</v>
      </c>
      <c r="AI628" s="6" t="str">
        <f>IF($D628&lt;=AI$4,"",IF(AND($D627=AI$4,$D628&gt;AI$4),$F627,AI627))</f>
        <v/>
      </c>
      <c r="AJ628" s="6" t="str">
        <f>IF($D628&lt;=AJ$4,"",IF(AND($D627=AJ$4,$D628&gt;AJ$4),$F627,AJ627))</f>
        <v/>
      </c>
      <c r="AK628" s="6" t="str">
        <f>IF($D628&lt;=AK$4,"",IF(AND($D627=AK$4,$D628&gt;AK$4),$F627,AK627))</f>
        <v/>
      </c>
      <c r="AL628" s="6" t="str">
        <f>IF($D628&lt;=AL$4,"",IF(AND($D627=AL$4,$D628&gt;AL$4),$F627,AL627))</f>
        <v/>
      </c>
      <c r="AM628" s="6" t="str">
        <f>IF($D628&lt;=AM$4,"",IF(AND($D627=AM$4,$D628&gt;AM$4),$F627,AM627))</f>
        <v/>
      </c>
      <c r="AN628" s="6" t="str">
        <f>IF($D628&lt;=AN$4,"",IF(AND($D627=AN$4,$D628&gt;AN$4),$F627,AN627))</f>
        <v/>
      </c>
      <c r="AO628" s="6" t="str">
        <f>CONCATENATE(AG628," | ",AH628," | ",AI628," | ",AJ628," | ",AK628," | ",AL628," | ",AM628," | ",AN628)</f>
        <v xml:space="preserve">90MB1BJ0-C1BAY0 | 59MB1BJB-MB0A02S |  |  |  |  |  | </v>
      </c>
      <c r="AP628" s="6">
        <f>IF(TRIM(H628)="",100,J628)</f>
        <v>0</v>
      </c>
      <c r="AQ628" s="4"/>
      <c r="AR628" s="6" t="b">
        <f>NOT(TRIM(W628)&lt;&gt;"F")</f>
        <v>1</v>
      </c>
      <c r="AS628" s="6" t="str">
        <f>$B628&amp;" | "&amp;$AO628&amp;" | "&amp;IF(TRIM(H628)="","uniq"&amp;ROW(),TRIM(H628))</f>
        <v>461E | 90MB1BJ0-C1BAY0 | 59MB1BJB-MB0A02S |  |  |  |  |  |  | L4</v>
      </c>
      <c r="AT628" s="63">
        <f>IF(NOT(AR628),IF(TRIM($H628)="","Assembly","Phantom Alt"),VLOOKUP(F628,ZPCS04!B:G,6,0))</f>
        <v>738</v>
      </c>
      <c r="AU628" s="7"/>
      <c r="AV628" s="38">
        <f ca="1">IF(TRIM($W628)="F",OFFSET($A$5,MATCH($AS628,$AS$5:$AS628,0)-1,0),$A628)</f>
        <v>626</v>
      </c>
      <c r="AW628" s="38">
        <f ca="1">IFERROR(OFFSET(ZPCS04!$A$1,MATCH(F628,ZPCS04!B:B,0)-1,0),100)</f>
        <v>2</v>
      </c>
      <c r="AX628" s="7"/>
      <c r="AY628" s="6" t="b">
        <f>SUMIF(AS:AS,AS628,AP:AP)=100</f>
        <v>1</v>
      </c>
      <c r="AZ628" s="6" t="b">
        <f>SUMIF(AS:AS,AS628,AE:AE)/COUNTIF(AS:AS,AS628)=AE628</f>
        <v>1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>C628&amp;" | "&amp;F628</f>
        <v>90MB1BJ0-C1BAY0 | 11206-0010H000</v>
      </c>
      <c r="BE628" s="55" t="str">
        <f ca="1">C628&amp;" | "&amp;OFFSET($AF628,0,8-COUNTBLANK($AG628:$AN628))</f>
        <v>90MB1BJ0-C1BAY0 | 59MB1BJB-MB0A02S</v>
      </c>
      <c r="BF628" s="57">
        <f ca="1">IFERROR(VLOOKUP($BE628,$BD$5:$BF627,3,0)*$AE628,VLOOKUP($C628,Demanda!$A:$B,2,0)*$AE628)*IF(AT628="Phantom Alt",$BC628,TRUE)</f>
        <v>64000</v>
      </c>
      <c r="BG628" s="57">
        <f ca="1">BF628*(AP628/100)</f>
        <v>0</v>
      </c>
      <c r="BH628" s="57">
        <f>SUMIF(Invoice!A:A,F628,Invoice!B:B)</f>
        <v>0</v>
      </c>
      <c r="BI628" s="57">
        <f ca="1">SUMIF(AS:AS,AS628,BG:BG)</f>
        <v>64000</v>
      </c>
      <c r="BJ628" s="57">
        <f ca="1">MIN((BI628-SUMIF($AS$5:AS627,AS628,$BJ$5:BJ627)),MAX(0,BH628-SUMIF($F$5:F627,F628,$BJ$5:BJ627)))</f>
        <v>0</v>
      </c>
      <c r="BK628" s="57">
        <f ca="1">(-SUMIF(AS:AS,AS628,BG:BG)+SUMIF(AS:AS,AS628,BJ:BJ))*(AP628=100)*AR628</f>
        <v>0</v>
      </c>
      <c r="BL628" s="57">
        <f ca="1">MAX(0,SUMIF(Invoice!A:A,F628,Invoice!B:B)-SUMIF(F:F,F628,BJ:BJ))*(COUNTIF(F:F,F628)=COUNTIF($F$5:F628,F628))</f>
        <v>0</v>
      </c>
    </row>
    <row r="629" spans="1:64" hidden="1">
      <c r="A629" s="43">
        <v>633</v>
      </c>
      <c r="B629" s="13" t="s">
        <v>147</v>
      </c>
      <c r="C629" s="13" t="s">
        <v>146</v>
      </c>
      <c r="D629" s="13">
        <v>2</v>
      </c>
      <c r="E629" s="13">
        <v>2150</v>
      </c>
      <c r="F629" s="71" t="s">
        <v>1517</v>
      </c>
      <c r="G629" s="71" t="s">
        <v>1518</v>
      </c>
      <c r="H629" s="13" t="s">
        <v>1510</v>
      </c>
      <c r="I629" s="13" t="s">
        <v>54</v>
      </c>
      <c r="J629" s="28">
        <v>100</v>
      </c>
      <c r="K629" s="13" t="s">
        <v>1428</v>
      </c>
      <c r="L629" s="13" t="s">
        <v>53</v>
      </c>
      <c r="M629" s="13">
        <v>2</v>
      </c>
      <c r="N629" s="13">
        <v>2</v>
      </c>
      <c r="O629" s="13">
        <v>1</v>
      </c>
      <c r="P629" s="13">
        <v>2</v>
      </c>
      <c r="Q629" s="13">
        <v>1</v>
      </c>
      <c r="R629" s="13" t="s">
        <v>122</v>
      </c>
      <c r="S629" s="13" t="s">
        <v>122</v>
      </c>
      <c r="T629" s="13">
        <v>44901</v>
      </c>
      <c r="U629" s="13">
        <v>2958465</v>
      </c>
      <c r="V629" s="13" t="s">
        <v>282</v>
      </c>
      <c r="W629" s="13" t="s">
        <v>145</v>
      </c>
      <c r="Y629" s="13" t="s">
        <v>143</v>
      </c>
      <c r="Z629" s="13">
        <v>7589154</v>
      </c>
      <c r="AA629" s="13">
        <v>1146</v>
      </c>
      <c r="AB629" s="13">
        <v>573</v>
      </c>
      <c r="AE629" s="51">
        <f>M629/O629</f>
        <v>2</v>
      </c>
      <c r="AG629" s="6" t="str">
        <f>C629</f>
        <v>90MB1BJ0-C1BAY0</v>
      </c>
      <c r="AH629" s="6" t="str">
        <f>IF($D629&lt;=AH$4,"",IF(AND($D628=AH$4,$D629&gt;AH$4),$F628,AH628))</f>
        <v>59MB1BJB-MB0A02S</v>
      </c>
      <c r="AI629" s="6" t="str">
        <f>IF($D629&lt;=AI$4,"",IF(AND($D628=AI$4,$D629&gt;AI$4),$F628,AI628))</f>
        <v/>
      </c>
      <c r="AJ629" s="6" t="str">
        <f>IF($D629&lt;=AJ$4,"",IF(AND($D628=AJ$4,$D629&gt;AJ$4),$F628,AJ628))</f>
        <v/>
      </c>
      <c r="AK629" s="6" t="str">
        <f>IF($D629&lt;=AK$4,"",IF(AND($D628=AK$4,$D629&gt;AK$4),$F628,AK628))</f>
        <v/>
      </c>
      <c r="AL629" s="6" t="str">
        <f>IF($D629&lt;=AL$4,"",IF(AND($D628=AL$4,$D629&gt;AL$4),$F628,AL628))</f>
        <v/>
      </c>
      <c r="AM629" s="6" t="str">
        <f>IF($D629&lt;=AM$4,"",IF(AND($D628=AM$4,$D629&gt;AM$4),$F628,AM628))</f>
        <v/>
      </c>
      <c r="AN629" s="6" t="str">
        <f>IF($D629&lt;=AN$4,"",IF(AND($D628=AN$4,$D629&gt;AN$4),$F628,AN628))</f>
        <v/>
      </c>
      <c r="AO629" s="6" t="str">
        <f>CONCATENATE(AG629," | ",AH629," | ",AI629," | ",AJ629," | ",AK629," | ",AL629," | ",AM629," | ",AN629)</f>
        <v xml:space="preserve">90MB1BJ0-C1BAY0 | 59MB1BJB-MB0A02S |  |  |  |  |  | </v>
      </c>
      <c r="AP629" s="6">
        <f>IF(TRIM(H629)="",100,J629)</f>
        <v>100</v>
      </c>
      <c r="AQ629" s="4"/>
      <c r="AR629" s="6" t="b">
        <f>NOT(TRIM(W629)&lt;&gt;"F")</f>
        <v>1</v>
      </c>
      <c r="AS629" s="6" t="str">
        <f>$B629&amp;" | "&amp;$AO629&amp;" | "&amp;IF(TRIM(H629)="","uniq"&amp;ROW(),TRIM(H629))</f>
        <v>461E | 90MB1BJ0-C1BAY0 | 59MB1BJB-MB0A02S |  |  |  |  |  |  | L5</v>
      </c>
      <c r="AT629" s="63">
        <f>IF(NOT(AR629),IF(TRIM($H629)="","Assembly","Phantom Alt"),VLOOKUP(F629,ZPCS04!B:G,6,0))</f>
        <v>1280</v>
      </c>
      <c r="AU629" s="7"/>
      <c r="AV629" s="38">
        <f ca="1">IF(TRIM($W629)="F",OFFSET($A$5,MATCH($AS629,$AS$5:$AS629,0)-1,0),$A629)</f>
        <v>633</v>
      </c>
      <c r="AW629" s="38">
        <f ca="1">IFERROR(OFFSET(ZPCS04!$A$1,MATCH(F629,ZPCS04!B:B,0)-1,0),100)</f>
        <v>1.999999965</v>
      </c>
      <c r="AX629" s="7"/>
      <c r="AY629" s="6" t="b">
        <f>SUMIF(AS:AS,AS629,AP:AP)=100</f>
        <v>1</v>
      </c>
      <c r="AZ629" s="6" t="b">
        <f>SUMIF(AS:AS,AS629,AE:AE)/COUNTIF(AS:AS,AS629)=AE629</f>
        <v>1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>C629&amp;" | "&amp;F629</f>
        <v>90MB1BJ0-C1BAY0 | 11G08D415750</v>
      </c>
      <c r="BE629" s="55" t="str">
        <f ca="1">C629&amp;" | "&amp;OFFSET($AF629,0,8-COUNTBLANK($AG629:$AN629))</f>
        <v>90MB1BJ0-C1BAY0 | 59MB1BJB-MB0A02S</v>
      </c>
      <c r="BF629" s="57">
        <f ca="1">IFERROR(VLOOKUP($BE629,$BD$5:$BF628,3,0)*$AE629,VLOOKUP($C629,Demanda!$A:$B,2,0)*$AE629)*IF(AT629="Phantom Alt",$BC629,TRUE)</f>
        <v>2000</v>
      </c>
      <c r="BG629" s="57">
        <f ca="1">BF629*(AP629/100)</f>
        <v>2000</v>
      </c>
      <c r="BH629" s="57">
        <f>SUMIF(Invoice!A:A,F629,Invoice!B:B)</f>
        <v>3500</v>
      </c>
      <c r="BI629" s="57">
        <f ca="1">SUMIF(AS:AS,AS629,BG:BG)</f>
        <v>2000</v>
      </c>
      <c r="BJ629" s="57">
        <f ca="1">MIN((BI629-SUMIF($AS$5:AS628,AS629,$BJ$5:BJ628)),MAX(0,BH629-SUMIF($F$5:F628,F629,$BJ$5:BJ628)))</f>
        <v>2000</v>
      </c>
      <c r="BK629" s="57">
        <f ca="1">(-SUMIF(AS:AS,AS629,BG:BG)+SUMIF(AS:AS,AS629,BJ:BJ))*(AP629=100)*AR629</f>
        <v>0</v>
      </c>
      <c r="BL629" s="57">
        <f ca="1">MAX(0,SUMIF(Invoice!A:A,F629,Invoice!B:B)-SUMIF(F:F,F629,BJ:BJ))*(COUNTIF(F:F,F629)=COUNTIF($F$5:F629,F629))</f>
        <v>1500</v>
      </c>
    </row>
    <row r="630" spans="1:64" hidden="1">
      <c r="A630" s="43">
        <v>629</v>
      </c>
      <c r="B630" s="13" t="s">
        <v>147</v>
      </c>
      <c r="C630" s="13" t="s">
        <v>146</v>
      </c>
      <c r="D630" s="13">
        <v>2</v>
      </c>
      <c r="E630" s="13">
        <v>2150</v>
      </c>
      <c r="F630" s="71" t="s">
        <v>1508</v>
      </c>
      <c r="G630" s="71" t="s">
        <v>1509</v>
      </c>
      <c r="H630" s="13" t="s">
        <v>1510</v>
      </c>
      <c r="I630" s="13" t="s">
        <v>55</v>
      </c>
      <c r="J630" s="28">
        <v>0</v>
      </c>
      <c r="K630" s="13" t="s">
        <v>1428</v>
      </c>
      <c r="L630" s="13" t="s">
        <v>53</v>
      </c>
      <c r="M630" s="13">
        <v>2</v>
      </c>
      <c r="O630" s="13">
        <v>1</v>
      </c>
      <c r="P630" s="13">
        <v>2</v>
      </c>
      <c r="Q630" s="13">
        <v>3</v>
      </c>
      <c r="R630" s="13" t="s">
        <v>73</v>
      </c>
      <c r="S630" s="13" t="s">
        <v>73</v>
      </c>
      <c r="T630" s="13">
        <v>44901</v>
      </c>
      <c r="U630" s="13">
        <v>2958465</v>
      </c>
      <c r="V630" s="13" t="s">
        <v>282</v>
      </c>
      <c r="W630" s="13" t="s">
        <v>145</v>
      </c>
      <c r="Y630" s="13" t="s">
        <v>143</v>
      </c>
      <c r="Z630" s="13">
        <v>7589154</v>
      </c>
      <c r="AA630" s="13">
        <v>1150</v>
      </c>
      <c r="AB630" s="13">
        <v>575</v>
      </c>
      <c r="AE630" s="51">
        <f>M630/O630</f>
        <v>2</v>
      </c>
      <c r="AG630" s="6" t="str">
        <f>C630</f>
        <v>90MB1BJ0-C1BAY0</v>
      </c>
      <c r="AH630" s="6" t="str">
        <f>IF($D630&lt;=AH$4,"",IF(AND($D629=AH$4,$D630&gt;AH$4),$F629,AH629))</f>
        <v>59MB1BJB-MB0A02S</v>
      </c>
      <c r="AI630" s="6" t="str">
        <f>IF($D630&lt;=AI$4,"",IF(AND($D629=AI$4,$D630&gt;AI$4),$F629,AI629))</f>
        <v/>
      </c>
      <c r="AJ630" s="6" t="str">
        <f>IF($D630&lt;=AJ$4,"",IF(AND($D629=AJ$4,$D630&gt;AJ$4),$F629,AJ629))</f>
        <v/>
      </c>
      <c r="AK630" s="6" t="str">
        <f>IF($D630&lt;=AK$4,"",IF(AND($D629=AK$4,$D630&gt;AK$4),$F629,AK629))</f>
        <v/>
      </c>
      <c r="AL630" s="6" t="str">
        <f>IF($D630&lt;=AL$4,"",IF(AND($D629=AL$4,$D630&gt;AL$4),$F629,AL629))</f>
        <v/>
      </c>
      <c r="AM630" s="6" t="str">
        <f>IF($D630&lt;=AM$4,"",IF(AND($D629=AM$4,$D630&gt;AM$4),$F629,AM629))</f>
        <v/>
      </c>
      <c r="AN630" s="6" t="str">
        <f>IF($D630&lt;=AN$4,"",IF(AND($D629=AN$4,$D630&gt;AN$4),$F629,AN629))</f>
        <v/>
      </c>
      <c r="AO630" s="6" t="str">
        <f>CONCATENATE(AG630," | ",AH630," | ",AI630," | ",AJ630," | ",AK630," | ",AL630," | ",AM630," | ",AN630)</f>
        <v xml:space="preserve">90MB1BJ0-C1BAY0 | 59MB1BJB-MB0A02S |  |  |  |  |  | </v>
      </c>
      <c r="AP630" s="6">
        <f>IF(TRIM(H630)="",100,J630)</f>
        <v>0</v>
      </c>
      <c r="AQ630" s="4"/>
      <c r="AR630" s="6" t="b">
        <f>NOT(TRIM(W630)&lt;&gt;"F")</f>
        <v>1</v>
      </c>
      <c r="AS630" s="6" t="str">
        <f>$B630&amp;" | "&amp;$AO630&amp;" | "&amp;IF(TRIM(H630)="","uniq"&amp;ROW(),TRIM(H630))</f>
        <v>461E | 90MB1BJ0-C1BAY0 | 59MB1BJB-MB0A02S |  |  |  |  |  |  | L5</v>
      </c>
      <c r="AT630" s="63">
        <f>IF(NOT(AR630),IF(TRIM($H630)="","Assembly","Phantom Alt"),VLOOKUP(F630,ZPCS04!B:G,6,0))</f>
        <v>1280</v>
      </c>
      <c r="AU630" s="7"/>
      <c r="AV630" s="38">
        <f ca="1">IF(TRIM($W630)="F",OFFSET($A$5,MATCH($AS630,$AS$5:$AS630,0)-1,0),$A630)</f>
        <v>633</v>
      </c>
      <c r="AW630" s="38">
        <f ca="1">IFERROR(OFFSET(ZPCS04!$A$1,MATCH(F630,ZPCS04!B:B,0)-1,0),100)</f>
        <v>2</v>
      </c>
      <c r="AX630" s="7"/>
      <c r="AY630" s="6" t="b">
        <f>SUMIF(AS:AS,AS630,AP:AP)=100</f>
        <v>1</v>
      </c>
      <c r="AZ630" s="6" t="b">
        <f>SUMIF(AS:AS,AS630,AE:AE)/COUNTIF(AS:AS,AS630)=AE630</f>
        <v>1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>C630&amp;" | "&amp;F630</f>
        <v>90MB1BJ0-C1BAY0 | 11020-00405000</v>
      </c>
      <c r="BE630" s="55" t="str">
        <f ca="1">C630&amp;" | "&amp;OFFSET($AF630,0,8-COUNTBLANK($AG630:$AN630))</f>
        <v>90MB1BJ0-C1BAY0 | 59MB1BJB-MB0A02S</v>
      </c>
      <c r="BF630" s="57">
        <f ca="1">IFERROR(VLOOKUP($BE630,$BD$5:$BF629,3,0)*$AE630,VLOOKUP($C630,Demanda!$A:$B,2,0)*$AE630)*IF(AT630="Phantom Alt",$BC630,TRUE)</f>
        <v>2000</v>
      </c>
      <c r="BG630" s="57">
        <f ca="1">BF630*(AP630/100)</f>
        <v>0</v>
      </c>
      <c r="BH630" s="57">
        <f>SUMIF(Invoice!A:A,F630,Invoice!B:B)</f>
        <v>0</v>
      </c>
      <c r="BI630" s="57">
        <f ca="1">SUMIF(AS:AS,AS630,BG:BG)</f>
        <v>2000</v>
      </c>
      <c r="BJ630" s="57">
        <f ca="1">MIN((BI630-SUMIF($AS$5:AS629,AS630,$BJ$5:BJ629)),MAX(0,BH630-SUMIF($F$5:F629,F630,$BJ$5:BJ629)))</f>
        <v>0</v>
      </c>
      <c r="BK630" s="57">
        <f ca="1">(-SUMIF(AS:AS,AS630,BG:BG)+SUMIF(AS:AS,AS630,BJ:BJ))*(AP630=100)*AR630</f>
        <v>0</v>
      </c>
      <c r="BL630" s="57">
        <f ca="1">MAX(0,SUMIF(Invoice!A:A,F630,Invoice!B:B)-SUMIF(F:F,F630,BJ:BJ))*(COUNTIF(F:F,F630)=COUNTIF($F$5:F630,F630))</f>
        <v>0</v>
      </c>
    </row>
    <row r="631" spans="1:64" hidden="1">
      <c r="A631" s="43">
        <v>630</v>
      </c>
      <c r="B631" s="13" t="s">
        <v>147</v>
      </c>
      <c r="C631" s="13" t="s">
        <v>146</v>
      </c>
      <c r="D631" s="13">
        <v>2</v>
      </c>
      <c r="E631" s="13">
        <v>2150</v>
      </c>
      <c r="F631" s="71" t="s">
        <v>1511</v>
      </c>
      <c r="G631" s="71" t="s">
        <v>1512</v>
      </c>
      <c r="H631" s="13" t="s">
        <v>1510</v>
      </c>
      <c r="I631" s="13" t="s">
        <v>55</v>
      </c>
      <c r="J631" s="28">
        <v>0</v>
      </c>
      <c r="K631" s="13" t="s">
        <v>150</v>
      </c>
      <c r="L631" s="13" t="s">
        <v>53</v>
      </c>
      <c r="M631" s="13">
        <v>2</v>
      </c>
      <c r="O631" s="13">
        <v>1</v>
      </c>
      <c r="P631" s="13">
        <v>2</v>
      </c>
      <c r="Q631" s="13">
        <v>4</v>
      </c>
      <c r="R631" s="13" t="s">
        <v>73</v>
      </c>
      <c r="S631" s="13" t="s">
        <v>73</v>
      </c>
      <c r="T631" s="13">
        <v>44901</v>
      </c>
      <c r="U631" s="13">
        <v>2958465</v>
      </c>
      <c r="V631" s="13" t="s">
        <v>282</v>
      </c>
      <c r="W631" s="13" t="s">
        <v>145</v>
      </c>
      <c r="Y631" s="13" t="s">
        <v>143</v>
      </c>
      <c r="Z631" s="13">
        <v>7589154</v>
      </c>
      <c r="AA631" s="13">
        <v>1152</v>
      </c>
      <c r="AB631" s="13">
        <v>576</v>
      </c>
      <c r="AE631" s="51">
        <f>M631/O631</f>
        <v>2</v>
      </c>
      <c r="AG631" s="6" t="str">
        <f>C631</f>
        <v>90MB1BJ0-C1BAY0</v>
      </c>
      <c r="AH631" s="6" t="str">
        <f>IF($D631&lt;=AH$4,"",IF(AND($D630=AH$4,$D631&gt;AH$4),$F630,AH630))</f>
        <v>59MB1BJB-MB0A02S</v>
      </c>
      <c r="AI631" s="6" t="str">
        <f>IF($D631&lt;=AI$4,"",IF(AND($D630=AI$4,$D631&gt;AI$4),$F630,AI630))</f>
        <v/>
      </c>
      <c r="AJ631" s="6" t="str">
        <f>IF($D631&lt;=AJ$4,"",IF(AND($D630=AJ$4,$D631&gt;AJ$4),$F630,AJ630))</f>
        <v/>
      </c>
      <c r="AK631" s="6" t="str">
        <f>IF($D631&lt;=AK$4,"",IF(AND($D630=AK$4,$D631&gt;AK$4),$F630,AK630))</f>
        <v/>
      </c>
      <c r="AL631" s="6" t="str">
        <f>IF($D631&lt;=AL$4,"",IF(AND($D630=AL$4,$D631&gt;AL$4),$F630,AL630))</f>
        <v/>
      </c>
      <c r="AM631" s="6" t="str">
        <f>IF($D631&lt;=AM$4,"",IF(AND($D630=AM$4,$D631&gt;AM$4),$F630,AM630))</f>
        <v/>
      </c>
      <c r="AN631" s="6" t="str">
        <f>IF($D631&lt;=AN$4,"",IF(AND($D630=AN$4,$D631&gt;AN$4),$F630,AN630))</f>
        <v/>
      </c>
      <c r="AO631" s="6" t="str">
        <f>CONCATENATE(AG631," | ",AH631," | ",AI631," | ",AJ631," | ",AK631," | ",AL631," | ",AM631," | ",AN631)</f>
        <v xml:space="preserve">90MB1BJ0-C1BAY0 | 59MB1BJB-MB0A02S |  |  |  |  |  | </v>
      </c>
      <c r="AP631" s="6">
        <f>IF(TRIM(H631)="",100,J631)</f>
        <v>0</v>
      </c>
      <c r="AQ631" s="4"/>
      <c r="AR631" s="6" t="b">
        <f>NOT(TRIM(W631)&lt;&gt;"F")</f>
        <v>1</v>
      </c>
      <c r="AS631" s="6" t="str">
        <f>$B631&amp;" | "&amp;$AO631&amp;" | "&amp;IF(TRIM(H631)="","uniq"&amp;ROW(),TRIM(H631))</f>
        <v>461E | 90MB1BJ0-C1BAY0 | 59MB1BJB-MB0A02S |  |  |  |  |  |  | L5</v>
      </c>
      <c r="AT631" s="63">
        <f>IF(NOT(AR631),IF(TRIM($H631)="","Assembly","Phantom Alt"),VLOOKUP(F631,ZPCS04!B:G,6,0))</f>
        <v>1280</v>
      </c>
      <c r="AU631" s="7"/>
      <c r="AV631" s="38">
        <f ca="1">IF(TRIM($W631)="F",OFFSET($A$5,MATCH($AS631,$AS$5:$AS631,0)-1,0),$A631)</f>
        <v>633</v>
      </c>
      <c r="AW631" s="38">
        <f ca="1">IFERROR(OFFSET(ZPCS04!$A$1,MATCH(F631,ZPCS04!B:B,0)-1,0),100)</f>
        <v>2</v>
      </c>
      <c r="AX631" s="7"/>
      <c r="AY631" s="6" t="b">
        <f>SUMIF(AS:AS,AS631,AP:AP)=100</f>
        <v>1</v>
      </c>
      <c r="AZ631" s="6" t="b">
        <f>SUMIF(AS:AS,AS631,AE:AE)/COUNTIF(AS:AS,AS631)=AE631</f>
        <v>1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>C631&amp;" | "&amp;F631</f>
        <v>90MB1BJ0-C1BAY0 | 11020-0040E000</v>
      </c>
      <c r="BE631" s="55" t="str">
        <f ca="1">C631&amp;" | "&amp;OFFSET($AF631,0,8-COUNTBLANK($AG631:$AN631))</f>
        <v>90MB1BJ0-C1BAY0 | 59MB1BJB-MB0A02S</v>
      </c>
      <c r="BF631" s="57">
        <f ca="1">IFERROR(VLOOKUP($BE631,$BD$5:$BF630,3,0)*$AE631,VLOOKUP($C631,Demanda!$A:$B,2,0)*$AE631)*IF(AT631="Phantom Alt",$BC631,TRUE)</f>
        <v>2000</v>
      </c>
      <c r="BG631" s="57">
        <f ca="1">BF631*(AP631/100)</f>
        <v>0</v>
      </c>
      <c r="BH631" s="57">
        <f>SUMIF(Invoice!A:A,F631,Invoice!B:B)</f>
        <v>0</v>
      </c>
      <c r="BI631" s="57">
        <f ca="1">SUMIF(AS:AS,AS631,BG:BG)</f>
        <v>2000</v>
      </c>
      <c r="BJ631" s="57">
        <f ca="1">MIN((BI631-SUMIF($AS$5:AS630,AS631,$BJ$5:BJ630)),MAX(0,BH631-SUMIF($F$5:F630,F631,$BJ$5:BJ630)))</f>
        <v>0</v>
      </c>
      <c r="BK631" s="57">
        <f ca="1">(-SUMIF(AS:AS,AS631,BG:BG)+SUMIF(AS:AS,AS631,BJ:BJ))*(AP631=100)*AR631</f>
        <v>0</v>
      </c>
      <c r="BL631" s="57">
        <f ca="1">MAX(0,SUMIF(Invoice!A:A,F631,Invoice!B:B)-SUMIF(F:F,F631,BJ:BJ))*(COUNTIF(F:F,F631)=COUNTIF($F$5:F631,F631))</f>
        <v>0</v>
      </c>
    </row>
    <row r="632" spans="1:64" hidden="1">
      <c r="A632" s="43">
        <v>631</v>
      </c>
      <c r="B632" s="13" t="s">
        <v>147</v>
      </c>
      <c r="C632" s="13" t="s">
        <v>146</v>
      </c>
      <c r="D632" s="13">
        <v>2</v>
      </c>
      <c r="E632" s="13">
        <v>2150</v>
      </c>
      <c r="F632" s="71" t="s">
        <v>1513</v>
      </c>
      <c r="G632" s="71" t="s">
        <v>1514</v>
      </c>
      <c r="H632" s="13" t="s">
        <v>1510</v>
      </c>
      <c r="I632" s="13" t="s">
        <v>55</v>
      </c>
      <c r="J632" s="28">
        <v>0</v>
      </c>
      <c r="K632" s="13" t="s">
        <v>150</v>
      </c>
      <c r="L632" s="13" t="s">
        <v>53</v>
      </c>
      <c r="M632" s="13">
        <v>2</v>
      </c>
      <c r="O632" s="13">
        <v>1</v>
      </c>
      <c r="P632" s="13">
        <v>2</v>
      </c>
      <c r="Q632" s="13">
        <v>2</v>
      </c>
      <c r="R632" s="13" t="s">
        <v>73</v>
      </c>
      <c r="S632" s="13" t="s">
        <v>73</v>
      </c>
      <c r="T632" s="13">
        <v>44901</v>
      </c>
      <c r="U632" s="13">
        <v>2958465</v>
      </c>
      <c r="V632" s="13" t="s">
        <v>282</v>
      </c>
      <c r="W632" s="13" t="s">
        <v>145</v>
      </c>
      <c r="Y632" s="13" t="s">
        <v>143</v>
      </c>
      <c r="Z632" s="13">
        <v>7589154</v>
      </c>
      <c r="AA632" s="13">
        <v>1148</v>
      </c>
      <c r="AB632" s="13">
        <v>574</v>
      </c>
      <c r="AE632" s="51">
        <f>M632/O632</f>
        <v>2</v>
      </c>
      <c r="AG632" s="6" t="str">
        <f>C632</f>
        <v>90MB1BJ0-C1BAY0</v>
      </c>
      <c r="AH632" s="6" t="str">
        <f>IF($D632&lt;=AH$4,"",IF(AND($D631=AH$4,$D632&gt;AH$4),$F631,AH631))</f>
        <v>59MB1BJB-MB0A02S</v>
      </c>
      <c r="AI632" s="6" t="str">
        <f>IF($D632&lt;=AI$4,"",IF(AND($D631=AI$4,$D632&gt;AI$4),$F631,AI631))</f>
        <v/>
      </c>
      <c r="AJ632" s="6" t="str">
        <f>IF($D632&lt;=AJ$4,"",IF(AND($D631=AJ$4,$D632&gt;AJ$4),$F631,AJ631))</f>
        <v/>
      </c>
      <c r="AK632" s="6" t="str">
        <f>IF($D632&lt;=AK$4,"",IF(AND($D631=AK$4,$D632&gt;AK$4),$F631,AK631))</f>
        <v/>
      </c>
      <c r="AL632" s="6" t="str">
        <f>IF($D632&lt;=AL$4,"",IF(AND($D631=AL$4,$D632&gt;AL$4),$F631,AL631))</f>
        <v/>
      </c>
      <c r="AM632" s="6" t="str">
        <f>IF($D632&lt;=AM$4,"",IF(AND($D631=AM$4,$D632&gt;AM$4),$F631,AM631))</f>
        <v/>
      </c>
      <c r="AN632" s="6" t="str">
        <f>IF($D632&lt;=AN$4,"",IF(AND($D631=AN$4,$D632&gt;AN$4),$F631,AN631))</f>
        <v/>
      </c>
      <c r="AO632" s="6" t="str">
        <f>CONCATENATE(AG632," | ",AH632," | ",AI632," | ",AJ632," | ",AK632," | ",AL632," | ",AM632," | ",AN632)</f>
        <v xml:space="preserve">90MB1BJ0-C1BAY0 | 59MB1BJB-MB0A02S |  |  |  |  |  | </v>
      </c>
      <c r="AP632" s="6">
        <f>IF(TRIM(H632)="",100,J632)</f>
        <v>0</v>
      </c>
      <c r="AQ632" s="4"/>
      <c r="AR632" s="6" t="b">
        <f>NOT(TRIM(W632)&lt;&gt;"F")</f>
        <v>1</v>
      </c>
      <c r="AS632" s="6" t="str">
        <f>$B632&amp;" | "&amp;$AO632&amp;" | "&amp;IF(TRIM(H632)="","uniq"&amp;ROW(),TRIM(H632))</f>
        <v>461E | 90MB1BJ0-C1BAY0 | 59MB1BJB-MB0A02S |  |  |  |  |  |  | L5</v>
      </c>
      <c r="AT632" s="63">
        <f>IF(NOT(AR632),IF(TRIM($H632)="","Assembly","Phantom Alt"),VLOOKUP(F632,ZPCS04!B:G,6,0))</f>
        <v>1280</v>
      </c>
      <c r="AU632" s="7"/>
      <c r="AV632" s="38">
        <f ca="1">IF(TRIM($W632)="F",OFFSET($A$5,MATCH($AS632,$AS$5:$AS632,0)-1,0),$A632)</f>
        <v>633</v>
      </c>
      <c r="AW632" s="38">
        <f ca="1">IFERROR(OFFSET(ZPCS04!$A$1,MATCH(F632,ZPCS04!B:B,0)-1,0),100)</f>
        <v>2</v>
      </c>
      <c r="AX632" s="7"/>
      <c r="AY632" s="6" t="b">
        <f>SUMIF(AS:AS,AS632,AP:AP)=100</f>
        <v>1</v>
      </c>
      <c r="AZ632" s="6" t="b">
        <f>SUMIF(AS:AS,AS632,AE:AE)/COUNTIF(AS:AS,AS632)=AE632</f>
        <v>1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>C632&amp;" | "&amp;F632</f>
        <v>90MB1BJ0-C1BAY0 | 11G08D215706</v>
      </c>
      <c r="BE632" s="55" t="str">
        <f ca="1">C632&amp;" | "&amp;OFFSET($AF632,0,8-COUNTBLANK($AG632:$AN632))</f>
        <v>90MB1BJ0-C1BAY0 | 59MB1BJB-MB0A02S</v>
      </c>
      <c r="BF632" s="57">
        <f ca="1">IFERROR(VLOOKUP($BE632,$BD$5:$BF631,3,0)*$AE632,VLOOKUP($C632,Demanda!$A:$B,2,0)*$AE632)*IF(AT632="Phantom Alt",$BC632,TRUE)</f>
        <v>2000</v>
      </c>
      <c r="BG632" s="57">
        <f ca="1">BF632*(AP632/100)</f>
        <v>0</v>
      </c>
      <c r="BH632" s="57">
        <f>SUMIF(Invoice!A:A,F632,Invoice!B:B)</f>
        <v>0</v>
      </c>
      <c r="BI632" s="57">
        <f ca="1">SUMIF(AS:AS,AS632,BG:BG)</f>
        <v>2000</v>
      </c>
      <c r="BJ632" s="57">
        <f ca="1">MIN((BI632-SUMIF($AS$5:AS631,AS632,$BJ$5:BJ631)),MAX(0,BH632-SUMIF($F$5:F631,F632,$BJ$5:BJ631)))</f>
        <v>0</v>
      </c>
      <c r="BK632" s="57">
        <f ca="1">(-SUMIF(AS:AS,AS632,BG:BG)+SUMIF(AS:AS,AS632,BJ:BJ))*(AP632=100)*AR632</f>
        <v>0</v>
      </c>
      <c r="BL632" s="57">
        <f ca="1">MAX(0,SUMIF(Invoice!A:A,F632,Invoice!B:B)-SUMIF(F:F,F632,BJ:BJ))*(COUNTIF(F:F,F632)=COUNTIF($F$5:F632,F632))</f>
        <v>0</v>
      </c>
    </row>
    <row r="633" spans="1:64" hidden="1">
      <c r="A633" s="43">
        <v>632</v>
      </c>
      <c r="B633" s="13" t="s">
        <v>147</v>
      </c>
      <c r="C633" s="13" t="s">
        <v>146</v>
      </c>
      <c r="D633" s="13">
        <v>2</v>
      </c>
      <c r="E633" s="13">
        <v>2150</v>
      </c>
      <c r="F633" s="71" t="s">
        <v>1515</v>
      </c>
      <c r="G633" s="71" t="s">
        <v>1516</v>
      </c>
      <c r="H633" s="13" t="s">
        <v>1510</v>
      </c>
      <c r="I633" s="13" t="s">
        <v>55</v>
      </c>
      <c r="J633" s="28">
        <v>0</v>
      </c>
      <c r="K633" s="13" t="s">
        <v>150</v>
      </c>
      <c r="L633" s="13" t="s">
        <v>53</v>
      </c>
      <c r="M633" s="13">
        <v>2</v>
      </c>
      <c r="O633" s="13">
        <v>1</v>
      </c>
      <c r="P633" s="13">
        <v>2</v>
      </c>
      <c r="Q633" s="13">
        <v>5</v>
      </c>
      <c r="R633" s="13" t="s">
        <v>73</v>
      </c>
      <c r="S633" s="13" t="s">
        <v>73</v>
      </c>
      <c r="T633" s="13">
        <v>44901</v>
      </c>
      <c r="U633" s="13">
        <v>2958465</v>
      </c>
      <c r="V633" s="13" t="s">
        <v>282</v>
      </c>
      <c r="W633" s="13" t="s">
        <v>145</v>
      </c>
      <c r="Y633" s="13" t="s">
        <v>143</v>
      </c>
      <c r="Z633" s="13">
        <v>7589154</v>
      </c>
      <c r="AA633" s="13">
        <v>1154</v>
      </c>
      <c r="AB633" s="13">
        <v>577</v>
      </c>
      <c r="AE633" s="51">
        <f>M633/O633</f>
        <v>2</v>
      </c>
      <c r="AG633" s="6" t="str">
        <f>C633</f>
        <v>90MB1BJ0-C1BAY0</v>
      </c>
      <c r="AH633" s="6" t="str">
        <f>IF($D633&lt;=AH$4,"",IF(AND($D632=AH$4,$D633&gt;AH$4),$F632,AH632))</f>
        <v>59MB1BJB-MB0A02S</v>
      </c>
      <c r="AI633" s="6" t="str">
        <f>IF($D633&lt;=AI$4,"",IF(AND($D632=AI$4,$D633&gt;AI$4),$F632,AI632))</f>
        <v/>
      </c>
      <c r="AJ633" s="6" t="str">
        <f>IF($D633&lt;=AJ$4,"",IF(AND($D632=AJ$4,$D633&gt;AJ$4),$F632,AJ632))</f>
        <v/>
      </c>
      <c r="AK633" s="6" t="str">
        <f>IF($D633&lt;=AK$4,"",IF(AND($D632=AK$4,$D633&gt;AK$4),$F632,AK632))</f>
        <v/>
      </c>
      <c r="AL633" s="6" t="str">
        <f>IF($D633&lt;=AL$4,"",IF(AND($D632=AL$4,$D633&gt;AL$4),$F632,AL632))</f>
        <v/>
      </c>
      <c r="AM633" s="6" t="str">
        <f>IF($D633&lt;=AM$4,"",IF(AND($D632=AM$4,$D633&gt;AM$4),$F632,AM632))</f>
        <v/>
      </c>
      <c r="AN633" s="6" t="str">
        <f>IF($D633&lt;=AN$4,"",IF(AND($D632=AN$4,$D633&gt;AN$4),$F632,AN632))</f>
        <v/>
      </c>
      <c r="AO633" s="6" t="str">
        <f>CONCATENATE(AG633," | ",AH633," | ",AI633," | ",AJ633," | ",AK633," | ",AL633," | ",AM633," | ",AN633)</f>
        <v xml:space="preserve">90MB1BJ0-C1BAY0 | 59MB1BJB-MB0A02S |  |  |  |  |  | </v>
      </c>
      <c r="AP633" s="6">
        <f>IF(TRIM(H633)="",100,J633)</f>
        <v>0</v>
      </c>
      <c r="AQ633" s="4"/>
      <c r="AR633" s="6" t="b">
        <f>NOT(TRIM(W633)&lt;&gt;"F")</f>
        <v>1</v>
      </c>
      <c r="AS633" s="6" t="str">
        <f>$B633&amp;" | "&amp;$AO633&amp;" | "&amp;IF(TRIM(H633)="","uniq"&amp;ROW(),TRIM(H633))</f>
        <v>461E | 90MB1BJ0-C1BAY0 | 59MB1BJB-MB0A02S |  |  |  |  |  |  | L5</v>
      </c>
      <c r="AT633" s="63">
        <f>IF(NOT(AR633),IF(TRIM($H633)="","Assembly","Phantom Alt"),VLOOKUP(F633,ZPCS04!B:G,6,0))</f>
        <v>1280</v>
      </c>
      <c r="AU633" s="7"/>
      <c r="AV633" s="38">
        <f ca="1">IF(TRIM($W633)="F",OFFSET($A$5,MATCH($AS633,$AS$5:$AS633,0)-1,0),$A633)</f>
        <v>633</v>
      </c>
      <c r="AW633" s="38">
        <f ca="1">IFERROR(OFFSET(ZPCS04!$A$1,MATCH(F633,ZPCS04!B:B,0)-1,0),100)</f>
        <v>2</v>
      </c>
      <c r="AX633" s="7"/>
      <c r="AY633" s="6" t="b">
        <f>SUMIF(AS:AS,AS633,AP:AP)=100</f>
        <v>1</v>
      </c>
      <c r="AZ633" s="6" t="b">
        <f>SUMIF(AS:AS,AS633,AE:AE)/COUNTIF(AS:AS,AS633)=AE633</f>
        <v>1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>C633&amp;" | "&amp;F633</f>
        <v>90MB1BJ0-C1BAY0 | 11G08D21570J</v>
      </c>
      <c r="BE633" s="55" t="str">
        <f ca="1">C633&amp;" | "&amp;OFFSET($AF633,0,8-COUNTBLANK($AG633:$AN633))</f>
        <v>90MB1BJ0-C1BAY0 | 59MB1BJB-MB0A02S</v>
      </c>
      <c r="BF633" s="57">
        <f ca="1">IFERROR(VLOOKUP($BE633,$BD$5:$BF632,3,0)*$AE633,VLOOKUP($C633,Demanda!$A:$B,2,0)*$AE633)*IF(AT633="Phantom Alt",$BC633,TRUE)</f>
        <v>2000</v>
      </c>
      <c r="BG633" s="57">
        <f ca="1">BF633*(AP633/100)</f>
        <v>0</v>
      </c>
      <c r="BH633" s="57">
        <f>SUMIF(Invoice!A:A,F633,Invoice!B:B)</f>
        <v>0</v>
      </c>
      <c r="BI633" s="57">
        <f ca="1">SUMIF(AS:AS,AS633,BG:BG)</f>
        <v>2000</v>
      </c>
      <c r="BJ633" s="57">
        <f ca="1">MIN((BI633-SUMIF($AS$5:AS632,AS633,$BJ$5:BJ632)),MAX(0,BH633-SUMIF($F$5:F632,F633,$BJ$5:BJ632)))</f>
        <v>0</v>
      </c>
      <c r="BK633" s="57">
        <f ca="1">(-SUMIF(AS:AS,AS633,BG:BG)+SUMIF(AS:AS,AS633,BJ:BJ))*(AP633=100)*AR633</f>
        <v>0</v>
      </c>
      <c r="BL633" s="57">
        <f ca="1">MAX(0,SUMIF(Invoice!A:A,F633,Invoice!B:B)-SUMIF(F:F,F633,BJ:BJ))*(COUNTIF(F:F,F633)=COUNTIF($F$5:F633,F633))</f>
        <v>0</v>
      </c>
    </row>
    <row r="634" spans="1:64" hidden="1">
      <c r="A634" s="43">
        <v>637</v>
      </c>
      <c r="B634" s="13" t="s">
        <v>147</v>
      </c>
      <c r="C634" s="13" t="s">
        <v>146</v>
      </c>
      <c r="D634" s="13">
        <v>2</v>
      </c>
      <c r="E634" s="13">
        <v>2160</v>
      </c>
      <c r="F634" s="71" t="s">
        <v>1525</v>
      </c>
      <c r="G634" s="71" t="s">
        <v>1526</v>
      </c>
      <c r="H634" s="13" t="s">
        <v>1521</v>
      </c>
      <c r="I634" s="13" t="s">
        <v>54</v>
      </c>
      <c r="J634" s="28">
        <v>100</v>
      </c>
      <c r="K634" s="13" t="s">
        <v>1428</v>
      </c>
      <c r="L634" s="13" t="s">
        <v>53</v>
      </c>
      <c r="M634" s="13">
        <v>4</v>
      </c>
      <c r="N634" s="13">
        <v>4</v>
      </c>
      <c r="O634" s="13">
        <v>1</v>
      </c>
      <c r="P634" s="13">
        <v>2</v>
      </c>
      <c r="Q634" s="13">
        <v>1</v>
      </c>
      <c r="R634" s="13" t="s">
        <v>122</v>
      </c>
      <c r="S634" s="13" t="s">
        <v>122</v>
      </c>
      <c r="T634" s="13">
        <v>44901</v>
      </c>
      <c r="U634" s="13">
        <v>2958465</v>
      </c>
      <c r="V634" s="13" t="s">
        <v>282</v>
      </c>
      <c r="W634" s="13" t="s">
        <v>145</v>
      </c>
      <c r="Y634" s="13" t="s">
        <v>143</v>
      </c>
      <c r="Z634" s="13">
        <v>7589154</v>
      </c>
      <c r="AA634" s="13">
        <v>1156</v>
      </c>
      <c r="AB634" s="13">
        <v>578</v>
      </c>
      <c r="AE634" s="51">
        <f>M634/O634</f>
        <v>4</v>
      </c>
      <c r="AG634" s="6" t="str">
        <f>C634</f>
        <v>90MB1BJ0-C1BAY0</v>
      </c>
      <c r="AH634" s="6" t="str">
        <f>IF($D634&lt;=AH$4,"",IF(AND($D633=AH$4,$D634&gt;AH$4),$F633,AH633))</f>
        <v>59MB1BJB-MB0A02S</v>
      </c>
      <c r="AI634" s="6" t="str">
        <f>IF($D634&lt;=AI$4,"",IF(AND($D633=AI$4,$D634&gt;AI$4),$F633,AI633))</f>
        <v/>
      </c>
      <c r="AJ634" s="6" t="str">
        <f>IF($D634&lt;=AJ$4,"",IF(AND($D633=AJ$4,$D634&gt;AJ$4),$F633,AJ633))</f>
        <v/>
      </c>
      <c r="AK634" s="6" t="str">
        <f>IF($D634&lt;=AK$4,"",IF(AND($D633=AK$4,$D634&gt;AK$4),$F633,AK633))</f>
        <v/>
      </c>
      <c r="AL634" s="6" t="str">
        <f>IF($D634&lt;=AL$4,"",IF(AND($D633=AL$4,$D634&gt;AL$4),$F633,AL633))</f>
        <v/>
      </c>
      <c r="AM634" s="6" t="str">
        <f>IF($D634&lt;=AM$4,"",IF(AND($D633=AM$4,$D634&gt;AM$4),$F633,AM633))</f>
        <v/>
      </c>
      <c r="AN634" s="6" t="str">
        <f>IF($D634&lt;=AN$4,"",IF(AND($D633=AN$4,$D634&gt;AN$4),$F633,AN633))</f>
        <v/>
      </c>
      <c r="AO634" s="6" t="str">
        <f>CONCATENATE(AG634," | ",AH634," | ",AI634," | ",AJ634," | ",AK634," | ",AL634," | ",AM634," | ",AN634)</f>
        <v xml:space="preserve">90MB1BJ0-C1BAY0 | 59MB1BJB-MB0A02S |  |  |  |  |  | </v>
      </c>
      <c r="AP634" s="6">
        <f>IF(TRIM(H634)="",100,J634)</f>
        <v>100</v>
      </c>
      <c r="AQ634" s="4"/>
      <c r="AR634" s="6" t="b">
        <f>NOT(TRIM(W634)&lt;&gt;"F")</f>
        <v>1</v>
      </c>
      <c r="AS634" s="6" t="str">
        <f>$B634&amp;" | "&amp;$AO634&amp;" | "&amp;IF(TRIM(H634)="","uniq"&amp;ROW(),TRIM(H634))</f>
        <v>461E | 90MB1BJ0-C1BAY0 | 59MB1BJB-MB0A02S |  |  |  |  |  |  | L6</v>
      </c>
      <c r="AT634" s="63">
        <f>IF(NOT(AR634),IF(TRIM($H634)="","Assembly","Phantom Alt"),VLOOKUP(F634,ZPCS04!B:G,6,0))</f>
        <v>740</v>
      </c>
      <c r="AU634" s="7"/>
      <c r="AV634" s="38">
        <f ca="1">IF(TRIM($W634)="F",OFFSET($A$5,MATCH($AS634,$AS$5:$AS634,0)-1,0),$A634)</f>
        <v>637</v>
      </c>
      <c r="AW634" s="38">
        <f ca="1">IFERROR(OFFSET(ZPCS04!$A$1,MATCH(F634,ZPCS04!B:B,0)-1,0),100)</f>
        <v>1.9999999000000002</v>
      </c>
      <c r="AX634" s="7"/>
      <c r="AY634" s="6" t="b">
        <f>SUMIF(AS:AS,AS634,AP:AP)=100</f>
        <v>1</v>
      </c>
      <c r="AZ634" s="6" t="b">
        <f>SUMIF(AS:AS,AS634,AE:AE)/COUNTIF(AS:AS,AS634)=AE634</f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>C634&amp;" | "&amp;F634</f>
        <v>90MB1BJ0-C1BAY0 | 11G232010004390</v>
      </c>
      <c r="BE634" s="55" t="str">
        <f ca="1">C634&amp;" | "&amp;OFFSET($AF634,0,8-COUNTBLANK($AG634:$AN634))</f>
        <v>90MB1BJ0-C1BAY0 | 59MB1BJB-MB0A02S</v>
      </c>
      <c r="BF634" s="57">
        <f ca="1">IFERROR(VLOOKUP($BE634,$BD$5:$BF633,3,0)*$AE634,VLOOKUP($C634,Demanda!$A:$B,2,0)*$AE634)*IF(AT634="Phantom Alt",$BC634,TRUE)</f>
        <v>4000</v>
      </c>
      <c r="BG634" s="57">
        <f ca="1">BF634*(AP634/100)</f>
        <v>4000</v>
      </c>
      <c r="BH634" s="57">
        <f>SUMIF(Invoice!A:A,F634,Invoice!B:B)</f>
        <v>10000</v>
      </c>
      <c r="BI634" s="57">
        <f ca="1">SUMIF(AS:AS,AS634,BG:BG)</f>
        <v>4000</v>
      </c>
      <c r="BJ634" s="57">
        <f ca="1">MIN((BI634-SUMIF($AS$5:AS633,AS634,$BJ$5:BJ633)),MAX(0,BH634-SUMIF($F$5:F633,F634,$BJ$5:BJ633)))</f>
        <v>4000</v>
      </c>
      <c r="BK634" s="57">
        <f ca="1">(-SUMIF(AS:AS,AS634,BG:BG)+SUMIF(AS:AS,AS634,BJ:BJ))*(AP634=100)*AR634</f>
        <v>0</v>
      </c>
      <c r="BL634" s="57">
        <f ca="1">MAX(0,SUMIF(Invoice!A:A,F634,Invoice!B:B)-SUMIF(F:F,F634,BJ:BJ))*(COUNTIF(F:F,F634)=COUNTIF($F$5:F634,F634))</f>
        <v>6000</v>
      </c>
    </row>
    <row r="635" spans="1:64" hidden="1">
      <c r="A635" s="43">
        <v>634</v>
      </c>
      <c r="B635" s="13" t="s">
        <v>147</v>
      </c>
      <c r="C635" s="13" t="s">
        <v>146</v>
      </c>
      <c r="D635" s="13">
        <v>2</v>
      </c>
      <c r="E635" s="13">
        <v>2160</v>
      </c>
      <c r="F635" s="71" t="s">
        <v>1519</v>
      </c>
      <c r="G635" s="71" t="s">
        <v>1520</v>
      </c>
      <c r="H635" s="13" t="s">
        <v>1521</v>
      </c>
      <c r="I635" s="13" t="s">
        <v>55</v>
      </c>
      <c r="J635" s="28">
        <v>0</v>
      </c>
      <c r="K635" s="13" t="s">
        <v>150</v>
      </c>
      <c r="L635" s="13" t="s">
        <v>53</v>
      </c>
      <c r="M635" s="13">
        <v>4</v>
      </c>
      <c r="O635" s="13">
        <v>1</v>
      </c>
      <c r="P635" s="13">
        <v>2</v>
      </c>
      <c r="Q635" s="13">
        <v>4</v>
      </c>
      <c r="R635" s="13" t="s">
        <v>73</v>
      </c>
      <c r="S635" s="13" t="s">
        <v>73</v>
      </c>
      <c r="T635" s="13">
        <v>44901</v>
      </c>
      <c r="U635" s="13">
        <v>2958465</v>
      </c>
      <c r="V635" s="13" t="s">
        <v>282</v>
      </c>
      <c r="W635" s="13" t="s">
        <v>145</v>
      </c>
      <c r="Y635" s="13" t="s">
        <v>143</v>
      </c>
      <c r="Z635" s="13">
        <v>7589154</v>
      </c>
      <c r="AA635" s="13">
        <v>1162</v>
      </c>
      <c r="AB635" s="13">
        <v>581</v>
      </c>
      <c r="AE635" s="51">
        <f>M635/O635</f>
        <v>4</v>
      </c>
      <c r="AG635" s="6" t="str">
        <f>C635</f>
        <v>90MB1BJ0-C1BAY0</v>
      </c>
      <c r="AH635" s="6" t="str">
        <f>IF($D635&lt;=AH$4,"",IF(AND($D634=AH$4,$D635&gt;AH$4),$F634,AH634))</f>
        <v>59MB1BJB-MB0A02S</v>
      </c>
      <c r="AI635" s="6" t="str">
        <f>IF($D635&lt;=AI$4,"",IF(AND($D634=AI$4,$D635&gt;AI$4),$F634,AI634))</f>
        <v/>
      </c>
      <c r="AJ635" s="6" t="str">
        <f>IF($D635&lt;=AJ$4,"",IF(AND($D634=AJ$4,$D635&gt;AJ$4),$F634,AJ634))</f>
        <v/>
      </c>
      <c r="AK635" s="6" t="str">
        <f>IF($D635&lt;=AK$4,"",IF(AND($D634=AK$4,$D635&gt;AK$4),$F634,AK634))</f>
        <v/>
      </c>
      <c r="AL635" s="6" t="str">
        <f>IF($D635&lt;=AL$4,"",IF(AND($D634=AL$4,$D635&gt;AL$4),$F634,AL634))</f>
        <v/>
      </c>
      <c r="AM635" s="6" t="str">
        <f>IF($D635&lt;=AM$4,"",IF(AND($D634=AM$4,$D635&gt;AM$4),$F634,AM634))</f>
        <v/>
      </c>
      <c r="AN635" s="6" t="str">
        <f>IF($D635&lt;=AN$4,"",IF(AND($D634=AN$4,$D635&gt;AN$4),$F634,AN634))</f>
        <v/>
      </c>
      <c r="AO635" s="6" t="str">
        <f>CONCATENATE(AG635," | ",AH635," | ",AI635," | ",AJ635," | ",AK635," | ",AL635," | ",AM635," | ",AN635)</f>
        <v xml:space="preserve">90MB1BJ0-C1BAY0 | 59MB1BJB-MB0A02S |  |  |  |  |  | </v>
      </c>
      <c r="AP635" s="6">
        <f>IF(TRIM(H635)="",100,J635)</f>
        <v>0</v>
      </c>
      <c r="AQ635" s="4"/>
      <c r="AR635" s="6" t="b">
        <f>NOT(TRIM(W635)&lt;&gt;"F")</f>
        <v>1</v>
      </c>
      <c r="AS635" s="6" t="str">
        <f>$B635&amp;" | "&amp;$AO635&amp;" | "&amp;IF(TRIM(H635)="","uniq"&amp;ROW(),TRIM(H635))</f>
        <v>461E | 90MB1BJ0-C1BAY0 | 59MB1BJB-MB0A02S |  |  |  |  |  |  | L6</v>
      </c>
      <c r="AT635" s="63">
        <f>IF(NOT(AR635),IF(TRIM($H635)="","Assembly","Phantom Alt"),VLOOKUP(F635,ZPCS04!B:G,6,0))</f>
        <v>740</v>
      </c>
      <c r="AU635" s="7"/>
      <c r="AV635" s="38">
        <f ca="1">IF(TRIM($W635)="F",OFFSET($A$5,MATCH($AS635,$AS$5:$AS635,0)-1,0),$A635)</f>
        <v>637</v>
      </c>
      <c r="AW635" s="38">
        <f ca="1">IFERROR(OFFSET(ZPCS04!$A$1,MATCH(F635,ZPCS04!B:B,0)-1,0),100)</f>
        <v>2</v>
      </c>
      <c r="AX635" s="7"/>
      <c r="AY635" s="6" t="b">
        <f>SUMIF(AS:AS,AS635,AP:AP)=100</f>
        <v>1</v>
      </c>
      <c r="AZ635" s="6" t="b">
        <f>SUMIF(AS:AS,AS635,AE:AE)/COUNTIF(AS:AS,AS635)=AE635</f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>C635&amp;" | "&amp;F635</f>
        <v>90MB1BJ0-C1BAY0 | 11203-0039Q000</v>
      </c>
      <c r="BE635" s="55" t="str">
        <f ca="1">C635&amp;" | "&amp;OFFSET($AF635,0,8-COUNTBLANK($AG635:$AN635))</f>
        <v>90MB1BJ0-C1BAY0 | 59MB1BJB-MB0A02S</v>
      </c>
      <c r="BF635" s="57">
        <f ca="1">IFERROR(VLOOKUP($BE635,$BD$5:$BF634,3,0)*$AE635,VLOOKUP($C635,Demanda!$A:$B,2,0)*$AE635)*IF(AT635="Phantom Alt",$BC635,TRUE)</f>
        <v>4000</v>
      </c>
      <c r="BG635" s="57">
        <f ca="1">BF635*(AP635/100)</f>
        <v>0</v>
      </c>
      <c r="BH635" s="57">
        <f>SUMIF(Invoice!A:A,F635,Invoice!B:B)</f>
        <v>0</v>
      </c>
      <c r="BI635" s="57">
        <f ca="1">SUMIF(AS:AS,AS635,BG:BG)</f>
        <v>4000</v>
      </c>
      <c r="BJ635" s="57">
        <f ca="1">MIN((BI635-SUMIF($AS$5:AS634,AS635,$BJ$5:BJ634)),MAX(0,BH635-SUMIF($F$5:F634,F635,$BJ$5:BJ634)))</f>
        <v>0</v>
      </c>
      <c r="BK635" s="57">
        <f ca="1">(-SUMIF(AS:AS,AS635,BG:BG)+SUMIF(AS:AS,AS635,BJ:BJ))*(AP635=100)*AR635</f>
        <v>0</v>
      </c>
      <c r="BL635" s="57">
        <f ca="1">MAX(0,SUMIF(Invoice!A:A,F635,Invoice!B:B)-SUMIF(F:F,F635,BJ:BJ))*(COUNTIF(F:F,F635)=COUNTIF($F$5:F635,F635))</f>
        <v>0</v>
      </c>
    </row>
    <row r="636" spans="1:64" hidden="1">
      <c r="A636" s="43">
        <v>635</v>
      </c>
      <c r="B636" s="13" t="s">
        <v>147</v>
      </c>
      <c r="C636" s="13" t="s">
        <v>146</v>
      </c>
      <c r="D636" s="13">
        <v>2</v>
      </c>
      <c r="E636" s="13">
        <v>2160</v>
      </c>
      <c r="F636" s="71" t="s">
        <v>1522</v>
      </c>
      <c r="G636" s="71" t="s">
        <v>1523</v>
      </c>
      <c r="H636" s="13" t="s">
        <v>1521</v>
      </c>
      <c r="I636" s="13" t="s">
        <v>55</v>
      </c>
      <c r="J636" s="28">
        <v>0</v>
      </c>
      <c r="K636" s="13" t="s">
        <v>1428</v>
      </c>
      <c r="L636" s="13" t="s">
        <v>53</v>
      </c>
      <c r="M636" s="13">
        <v>4</v>
      </c>
      <c r="O636" s="13">
        <v>1</v>
      </c>
      <c r="P636" s="13">
        <v>2</v>
      </c>
      <c r="Q636" s="13">
        <v>2</v>
      </c>
      <c r="R636" s="13" t="s">
        <v>122</v>
      </c>
      <c r="S636" s="13" t="s">
        <v>122</v>
      </c>
      <c r="T636" s="13">
        <v>44901</v>
      </c>
      <c r="U636" s="13">
        <v>2958465</v>
      </c>
      <c r="V636" s="13" t="s">
        <v>282</v>
      </c>
      <c r="W636" s="13" t="s">
        <v>145</v>
      </c>
      <c r="Y636" s="13" t="s">
        <v>143</v>
      </c>
      <c r="Z636" s="13">
        <v>7589154</v>
      </c>
      <c r="AA636" s="13">
        <v>1158</v>
      </c>
      <c r="AB636" s="13">
        <v>579</v>
      </c>
      <c r="AE636" s="51">
        <f>M636/O636</f>
        <v>4</v>
      </c>
      <c r="AG636" s="6" t="str">
        <f>C636</f>
        <v>90MB1BJ0-C1BAY0</v>
      </c>
      <c r="AH636" s="6" t="str">
        <f>IF($D636&lt;=AH$4,"",IF(AND($D635=AH$4,$D636&gt;AH$4),$F635,AH635))</f>
        <v>59MB1BJB-MB0A02S</v>
      </c>
      <c r="AI636" s="6" t="str">
        <f>IF($D636&lt;=AI$4,"",IF(AND($D635=AI$4,$D636&gt;AI$4),$F635,AI635))</f>
        <v/>
      </c>
      <c r="AJ636" s="6" t="str">
        <f>IF($D636&lt;=AJ$4,"",IF(AND($D635=AJ$4,$D636&gt;AJ$4),$F635,AJ635))</f>
        <v/>
      </c>
      <c r="AK636" s="6" t="str">
        <f>IF($D636&lt;=AK$4,"",IF(AND($D635=AK$4,$D636&gt;AK$4),$F635,AK635))</f>
        <v/>
      </c>
      <c r="AL636" s="6" t="str">
        <f>IF($D636&lt;=AL$4,"",IF(AND($D635=AL$4,$D636&gt;AL$4),$F635,AL635))</f>
        <v/>
      </c>
      <c r="AM636" s="6" t="str">
        <f>IF($D636&lt;=AM$4,"",IF(AND($D635=AM$4,$D636&gt;AM$4),$F635,AM635))</f>
        <v/>
      </c>
      <c r="AN636" s="6" t="str">
        <f>IF($D636&lt;=AN$4,"",IF(AND($D635=AN$4,$D636&gt;AN$4),$F635,AN635))</f>
        <v/>
      </c>
      <c r="AO636" s="6" t="str">
        <f>CONCATENATE(AG636," | ",AH636," | ",AI636," | ",AJ636," | ",AK636," | ",AL636," | ",AM636," | ",AN636)</f>
        <v xml:space="preserve">90MB1BJ0-C1BAY0 | 59MB1BJB-MB0A02S |  |  |  |  |  | </v>
      </c>
      <c r="AP636" s="6">
        <f>IF(TRIM(H636)="",100,J636)</f>
        <v>0</v>
      </c>
      <c r="AQ636" s="4"/>
      <c r="AR636" s="6" t="b">
        <f>NOT(TRIM(W636)&lt;&gt;"F")</f>
        <v>1</v>
      </c>
      <c r="AS636" s="6" t="str">
        <f>$B636&amp;" | "&amp;$AO636&amp;" | "&amp;IF(TRIM(H636)="","uniq"&amp;ROW(),TRIM(H636))</f>
        <v>461E | 90MB1BJ0-C1BAY0 | 59MB1BJB-MB0A02S |  |  |  |  |  |  | L6</v>
      </c>
      <c r="AT636" s="63">
        <f>IF(NOT(AR636),IF(TRIM($H636)="","Assembly","Phantom Alt"),VLOOKUP(F636,ZPCS04!B:G,6,0))</f>
        <v>740</v>
      </c>
      <c r="AU636" s="7"/>
      <c r="AV636" s="38">
        <f ca="1">IF(TRIM($W636)="F",OFFSET($A$5,MATCH($AS636,$AS$5:$AS636,0)-1,0),$A636)</f>
        <v>637</v>
      </c>
      <c r="AW636" s="38">
        <f ca="1">IFERROR(OFFSET(ZPCS04!$A$1,MATCH(F636,ZPCS04!B:B,0)-1,0),100)</f>
        <v>2</v>
      </c>
      <c r="AX636" s="7"/>
      <c r="AY636" s="6" t="b">
        <f>SUMIF(AS:AS,AS636,AP:AP)=100</f>
        <v>1</v>
      </c>
      <c r="AZ636" s="6" t="b">
        <f>SUMIF(AS:AS,AS636,AE:AE)/COUNTIF(AS:AS,AS636)=AE636</f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>C636&amp;" | "&amp;F636</f>
        <v>90MB1BJ0-C1BAY0 | 11G232010004070</v>
      </c>
      <c r="BE636" s="55" t="str">
        <f ca="1">C636&amp;" | "&amp;OFFSET($AF636,0,8-COUNTBLANK($AG636:$AN636))</f>
        <v>90MB1BJ0-C1BAY0 | 59MB1BJB-MB0A02S</v>
      </c>
      <c r="BF636" s="57">
        <f ca="1">IFERROR(VLOOKUP($BE636,$BD$5:$BF635,3,0)*$AE636,VLOOKUP($C636,Demanda!$A:$B,2,0)*$AE636)*IF(AT636="Phantom Alt",$BC636,TRUE)</f>
        <v>4000</v>
      </c>
      <c r="BG636" s="57">
        <f ca="1">BF636*(AP636/100)</f>
        <v>0</v>
      </c>
      <c r="BH636" s="57">
        <f>SUMIF(Invoice!A:A,F636,Invoice!B:B)</f>
        <v>0</v>
      </c>
      <c r="BI636" s="57">
        <f ca="1">SUMIF(AS:AS,AS636,BG:BG)</f>
        <v>4000</v>
      </c>
      <c r="BJ636" s="57">
        <f ca="1">MIN((BI636-SUMIF($AS$5:AS635,AS636,$BJ$5:BJ635)),MAX(0,BH636-SUMIF($F$5:F635,F636,$BJ$5:BJ635)))</f>
        <v>0</v>
      </c>
      <c r="BK636" s="57">
        <f ca="1">(-SUMIF(AS:AS,AS636,BG:BG)+SUMIF(AS:AS,AS636,BJ:BJ))*(AP636=100)*AR636</f>
        <v>0</v>
      </c>
      <c r="BL636" s="57">
        <f ca="1">MAX(0,SUMIF(Invoice!A:A,F636,Invoice!B:B)-SUMIF(F:F,F636,BJ:BJ))*(COUNTIF(F:F,F636)=COUNTIF($F$5:F636,F636))</f>
        <v>0</v>
      </c>
    </row>
    <row r="637" spans="1:64" hidden="1">
      <c r="A637" s="43">
        <v>636</v>
      </c>
      <c r="B637" s="13" t="s">
        <v>147</v>
      </c>
      <c r="C637" s="13" t="s">
        <v>146</v>
      </c>
      <c r="D637" s="13">
        <v>2</v>
      </c>
      <c r="E637" s="13">
        <v>2160</v>
      </c>
      <c r="F637" s="71" t="s">
        <v>1524</v>
      </c>
      <c r="G637" s="71" t="s">
        <v>1523</v>
      </c>
      <c r="H637" s="13" t="s">
        <v>1521</v>
      </c>
      <c r="I637" s="13" t="s">
        <v>55</v>
      </c>
      <c r="J637" s="28">
        <v>0</v>
      </c>
      <c r="K637" s="13" t="s">
        <v>1428</v>
      </c>
      <c r="L637" s="13" t="s">
        <v>53</v>
      </c>
      <c r="M637" s="13">
        <v>4</v>
      </c>
      <c r="O637" s="13">
        <v>1</v>
      </c>
      <c r="P637" s="13">
        <v>2</v>
      </c>
      <c r="Q637" s="13">
        <v>3</v>
      </c>
      <c r="R637" s="13" t="s">
        <v>122</v>
      </c>
      <c r="S637" s="13" t="s">
        <v>122</v>
      </c>
      <c r="T637" s="13">
        <v>44901</v>
      </c>
      <c r="U637" s="13">
        <v>2958465</v>
      </c>
      <c r="V637" s="13" t="s">
        <v>282</v>
      </c>
      <c r="W637" s="13" t="s">
        <v>145</v>
      </c>
      <c r="Y637" s="13" t="s">
        <v>143</v>
      </c>
      <c r="Z637" s="13">
        <v>7589154</v>
      </c>
      <c r="AA637" s="13">
        <v>1160</v>
      </c>
      <c r="AB637" s="13">
        <v>580</v>
      </c>
      <c r="AE637" s="51">
        <f>M637/O637</f>
        <v>4</v>
      </c>
      <c r="AG637" s="6" t="str">
        <f>C637</f>
        <v>90MB1BJ0-C1BAY0</v>
      </c>
      <c r="AH637" s="6" t="str">
        <f>IF($D637&lt;=AH$4,"",IF(AND($D636=AH$4,$D637&gt;AH$4),$F636,AH636))</f>
        <v>59MB1BJB-MB0A02S</v>
      </c>
      <c r="AI637" s="6" t="str">
        <f>IF($D637&lt;=AI$4,"",IF(AND($D636=AI$4,$D637&gt;AI$4),$F636,AI636))</f>
        <v/>
      </c>
      <c r="AJ637" s="6" t="str">
        <f>IF($D637&lt;=AJ$4,"",IF(AND($D636=AJ$4,$D637&gt;AJ$4),$F636,AJ636))</f>
        <v/>
      </c>
      <c r="AK637" s="6" t="str">
        <f>IF($D637&lt;=AK$4,"",IF(AND($D636=AK$4,$D637&gt;AK$4),$F636,AK636))</f>
        <v/>
      </c>
      <c r="AL637" s="6" t="str">
        <f>IF($D637&lt;=AL$4,"",IF(AND($D636=AL$4,$D637&gt;AL$4),$F636,AL636))</f>
        <v/>
      </c>
      <c r="AM637" s="6" t="str">
        <f>IF($D637&lt;=AM$4,"",IF(AND($D636=AM$4,$D637&gt;AM$4),$F636,AM636))</f>
        <v/>
      </c>
      <c r="AN637" s="6" t="str">
        <f>IF($D637&lt;=AN$4,"",IF(AND($D636=AN$4,$D637&gt;AN$4),$F636,AN636))</f>
        <v/>
      </c>
      <c r="AO637" s="6" t="str">
        <f>CONCATENATE(AG637," | ",AH637," | ",AI637," | ",AJ637," | ",AK637," | ",AL637," | ",AM637," | ",AN637)</f>
        <v xml:space="preserve">90MB1BJ0-C1BAY0 | 59MB1BJB-MB0A02S |  |  |  |  |  | </v>
      </c>
      <c r="AP637" s="6">
        <f>IF(TRIM(H637)="",100,J637)</f>
        <v>0</v>
      </c>
      <c r="AQ637" s="4"/>
      <c r="AR637" s="6" t="b">
        <f>NOT(TRIM(W637)&lt;&gt;"F")</f>
        <v>1</v>
      </c>
      <c r="AS637" s="6" t="str">
        <f>$B637&amp;" | "&amp;$AO637&amp;" | "&amp;IF(TRIM(H637)="","uniq"&amp;ROW(),TRIM(H637))</f>
        <v>461E | 90MB1BJ0-C1BAY0 | 59MB1BJB-MB0A02S |  |  |  |  |  |  | L6</v>
      </c>
      <c r="AT637" s="63">
        <f>IF(NOT(AR637),IF(TRIM($H637)="","Assembly","Phantom Alt"),VLOOKUP(F637,ZPCS04!B:G,6,0))</f>
        <v>740</v>
      </c>
      <c r="AU637" s="7"/>
      <c r="AV637" s="38">
        <f ca="1">IF(TRIM($W637)="F",OFFSET($A$5,MATCH($AS637,$AS$5:$AS637,0)-1,0),$A637)</f>
        <v>637</v>
      </c>
      <c r="AW637" s="38">
        <f ca="1">IFERROR(OFFSET(ZPCS04!$A$1,MATCH(F637,ZPCS04!B:B,0)-1,0),100)</f>
        <v>2</v>
      </c>
      <c r="AX637" s="7"/>
      <c r="AY637" s="6" t="b">
        <f>SUMIF(AS:AS,AS637,AP:AP)=100</f>
        <v>1</v>
      </c>
      <c r="AZ637" s="6" t="b">
        <f>SUMIF(AS:AS,AS637,AE:AE)/COUNTIF(AS:AS,AS637)=AE637</f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>C637&amp;" | "&amp;F637</f>
        <v>90MB1BJ0-C1BAY0 | 11G232010004150</v>
      </c>
      <c r="BE637" s="55" t="str">
        <f ca="1">C637&amp;" | "&amp;OFFSET($AF637,0,8-COUNTBLANK($AG637:$AN637))</f>
        <v>90MB1BJ0-C1BAY0 | 59MB1BJB-MB0A02S</v>
      </c>
      <c r="BF637" s="57">
        <f ca="1">IFERROR(VLOOKUP($BE637,$BD$5:$BF636,3,0)*$AE637,VLOOKUP($C637,Demanda!$A:$B,2,0)*$AE637)*IF(AT637="Phantom Alt",$BC637,TRUE)</f>
        <v>4000</v>
      </c>
      <c r="BG637" s="57">
        <f ca="1">BF637*(AP637/100)</f>
        <v>0</v>
      </c>
      <c r="BH637" s="57">
        <f>SUMIF(Invoice!A:A,F637,Invoice!B:B)</f>
        <v>0</v>
      </c>
      <c r="BI637" s="57">
        <f ca="1">SUMIF(AS:AS,AS637,BG:BG)</f>
        <v>4000</v>
      </c>
      <c r="BJ637" s="57">
        <f ca="1">MIN((BI637-SUMIF($AS$5:AS636,AS637,$BJ$5:BJ636)),MAX(0,BH637-SUMIF($F$5:F636,F637,$BJ$5:BJ636)))</f>
        <v>0</v>
      </c>
      <c r="BK637" s="57">
        <f ca="1">(-SUMIF(AS:AS,AS637,BG:BG)+SUMIF(AS:AS,AS637,BJ:BJ))*(AP637=100)*AR637</f>
        <v>0</v>
      </c>
      <c r="BL637" s="57">
        <f ca="1">MAX(0,SUMIF(Invoice!A:A,F637,Invoice!B:B)-SUMIF(F:F,F637,BJ:BJ))*(COUNTIF(F:F,F637)=COUNTIF($F$5:F637,F637))</f>
        <v>0</v>
      </c>
    </row>
    <row r="638" spans="1:64" hidden="1">
      <c r="A638" s="43">
        <v>638</v>
      </c>
      <c r="B638" s="13" t="s">
        <v>147</v>
      </c>
      <c r="C638" s="13" t="s">
        <v>146</v>
      </c>
      <c r="D638" s="13">
        <v>2</v>
      </c>
      <c r="E638" s="13">
        <v>2170</v>
      </c>
      <c r="F638" s="71" t="s">
        <v>1527</v>
      </c>
      <c r="G638" s="71" t="s">
        <v>1528</v>
      </c>
      <c r="H638" s="13" t="s">
        <v>1529</v>
      </c>
      <c r="I638" s="13" t="s">
        <v>55</v>
      </c>
      <c r="J638" s="28">
        <v>0</v>
      </c>
      <c r="K638" s="13" t="s">
        <v>150</v>
      </c>
      <c r="L638" s="13" t="s">
        <v>53</v>
      </c>
      <c r="M638" s="13">
        <v>1</v>
      </c>
      <c r="O638" s="13">
        <v>1</v>
      </c>
      <c r="P638" s="13">
        <v>2</v>
      </c>
      <c r="Q638" s="13">
        <v>5</v>
      </c>
      <c r="R638" s="13" t="s">
        <v>73</v>
      </c>
      <c r="S638" s="13" t="s">
        <v>73</v>
      </c>
      <c r="T638" s="13">
        <v>44901</v>
      </c>
      <c r="U638" s="13">
        <v>2958465</v>
      </c>
      <c r="V638" s="13" t="s">
        <v>282</v>
      </c>
      <c r="W638" s="13" t="s">
        <v>145</v>
      </c>
      <c r="Y638" s="13" t="s">
        <v>143</v>
      </c>
      <c r="Z638" s="13">
        <v>7589154</v>
      </c>
      <c r="AA638" s="13">
        <v>1172</v>
      </c>
      <c r="AB638" s="13">
        <v>586</v>
      </c>
      <c r="AE638" s="51">
        <f>M638/O638</f>
        <v>1</v>
      </c>
      <c r="AG638" s="6" t="str">
        <f>C638</f>
        <v>90MB1BJ0-C1BAY0</v>
      </c>
      <c r="AH638" s="6" t="str">
        <f>IF($D638&lt;=AH$4,"",IF(AND($D637=AH$4,$D638&gt;AH$4),$F637,AH637))</f>
        <v>59MB1BJB-MB0A02S</v>
      </c>
      <c r="AI638" s="6" t="str">
        <f>IF($D638&lt;=AI$4,"",IF(AND($D637=AI$4,$D638&gt;AI$4),$F637,AI637))</f>
        <v/>
      </c>
      <c r="AJ638" s="6" t="str">
        <f>IF($D638&lt;=AJ$4,"",IF(AND($D637=AJ$4,$D638&gt;AJ$4),$F637,AJ637))</f>
        <v/>
      </c>
      <c r="AK638" s="6" t="str">
        <f>IF($D638&lt;=AK$4,"",IF(AND($D637=AK$4,$D638&gt;AK$4),$F637,AK637))</f>
        <v/>
      </c>
      <c r="AL638" s="6" t="str">
        <f>IF($D638&lt;=AL$4,"",IF(AND($D637=AL$4,$D638&gt;AL$4),$F637,AL637))</f>
        <v/>
      </c>
      <c r="AM638" s="6" t="str">
        <f>IF($D638&lt;=AM$4,"",IF(AND($D637=AM$4,$D638&gt;AM$4),$F637,AM637))</f>
        <v/>
      </c>
      <c r="AN638" s="6" t="str">
        <f>IF($D638&lt;=AN$4,"",IF(AND($D637=AN$4,$D638&gt;AN$4),$F637,AN637))</f>
        <v/>
      </c>
      <c r="AO638" s="6" t="str">
        <f>CONCATENATE(AG638," | ",AH638," | ",AI638," | ",AJ638," | ",AK638," | ",AL638," | ",AM638," | ",AN638)</f>
        <v xml:space="preserve">90MB1BJ0-C1BAY0 | 59MB1BJB-MB0A02S |  |  |  |  |  | </v>
      </c>
      <c r="AP638" s="6">
        <f>IF(TRIM(H638)="",100,J638)</f>
        <v>0</v>
      </c>
      <c r="AQ638" s="4"/>
      <c r="AR638" s="6" t="b">
        <f>NOT(TRIM(W638)&lt;&gt;"F")</f>
        <v>1</v>
      </c>
      <c r="AS638" s="6" t="str">
        <f>$B638&amp;" | "&amp;$AO638&amp;" | "&amp;IF(TRIM(H638)="","uniq"&amp;ROW(),TRIM(H638))</f>
        <v>461E | 90MB1BJ0-C1BAY0 | 59MB1BJB-MB0A02S |  |  |  |  |  |  | L7</v>
      </c>
      <c r="AT638" s="63">
        <f>IF(NOT(AR638),IF(TRIM($H638)="","Assembly","Phantom Alt"),VLOOKUP(F638,ZPCS04!B:G,6,0))</f>
        <v>1041</v>
      </c>
      <c r="AU638" s="7"/>
      <c r="AV638" s="38">
        <f ca="1">IF(TRIM($W638)="F",OFFSET($A$5,MATCH($AS638,$AS$5:$AS638,0)-1,0),$A638)</f>
        <v>638</v>
      </c>
      <c r="AW638" s="38">
        <f ca="1">IFERROR(OFFSET(ZPCS04!$A$1,MATCH(F638,ZPCS04!B:B,0)-1,0),100)</f>
        <v>1.9999999000000002</v>
      </c>
      <c r="AX638" s="7"/>
      <c r="AY638" s="6" t="b">
        <f>SUMIF(AS:AS,AS638,AP:AP)=100</f>
        <v>1</v>
      </c>
      <c r="AZ638" s="6" t="b">
        <f>SUMIF(AS:AS,AS638,AE:AE)/COUNTIF(AS:AS,AS638)=AE638</f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>C638&amp;" | "&amp;F638</f>
        <v>90MB1BJ0-C1BAY0 | 11203-0183Q000</v>
      </c>
      <c r="BE638" s="55" t="str">
        <f ca="1">C638&amp;" | "&amp;OFFSET($AF638,0,8-COUNTBLANK($AG638:$AN638))</f>
        <v>90MB1BJ0-C1BAY0 | 59MB1BJB-MB0A02S</v>
      </c>
      <c r="BF638" s="57">
        <f ca="1">IFERROR(VLOOKUP($BE638,$BD$5:$BF637,3,0)*$AE638,VLOOKUP($C638,Demanda!$A:$B,2,0)*$AE638)*IF(AT638="Phantom Alt",$BC638,TRUE)</f>
        <v>1000</v>
      </c>
      <c r="BG638" s="57">
        <f ca="1">BF638*(AP638/100)</f>
        <v>0</v>
      </c>
      <c r="BH638" s="57">
        <f>SUMIF(Invoice!A:A,F638,Invoice!B:B)</f>
        <v>10000</v>
      </c>
      <c r="BI638" s="57">
        <f ca="1">SUMIF(AS:AS,AS638,BG:BG)</f>
        <v>1000</v>
      </c>
      <c r="BJ638" s="57">
        <f ca="1">MIN((BI638-SUMIF($AS$5:AS637,AS638,$BJ$5:BJ637)),MAX(0,BH638-SUMIF($F$5:F637,F638,$BJ$5:BJ637)))</f>
        <v>1000</v>
      </c>
      <c r="BK638" s="57">
        <f ca="1">(-SUMIF(AS:AS,AS638,BG:BG)+SUMIF(AS:AS,AS638,BJ:BJ))*(AP638=100)*AR638</f>
        <v>0</v>
      </c>
      <c r="BL638" s="57">
        <f ca="1">MAX(0,SUMIF(Invoice!A:A,F638,Invoice!B:B)-SUMIF(F:F,F638,BJ:BJ))*(COUNTIF(F:F,F638)=COUNTIF($F$5:F638,F638))</f>
        <v>9000</v>
      </c>
    </row>
    <row r="639" spans="1:64" hidden="1">
      <c r="A639" s="43">
        <v>639</v>
      </c>
      <c r="B639" s="13" t="s">
        <v>147</v>
      </c>
      <c r="C639" s="13" t="s">
        <v>146</v>
      </c>
      <c r="D639" s="13">
        <v>2</v>
      </c>
      <c r="E639" s="13">
        <v>2170</v>
      </c>
      <c r="F639" s="71" t="s">
        <v>1530</v>
      </c>
      <c r="G639" s="71" t="s">
        <v>1531</v>
      </c>
      <c r="H639" s="13" t="s">
        <v>1529</v>
      </c>
      <c r="I639" s="13" t="s">
        <v>54</v>
      </c>
      <c r="J639" s="28">
        <v>100</v>
      </c>
      <c r="K639" s="13" t="s">
        <v>1428</v>
      </c>
      <c r="L639" s="13" t="s">
        <v>53</v>
      </c>
      <c r="M639" s="13">
        <v>1</v>
      </c>
      <c r="N639" s="13">
        <v>1</v>
      </c>
      <c r="O639" s="13">
        <v>1</v>
      </c>
      <c r="P639" s="13">
        <v>2</v>
      </c>
      <c r="Q639" s="13">
        <v>1</v>
      </c>
      <c r="R639" s="13" t="s">
        <v>122</v>
      </c>
      <c r="S639" s="13" t="s">
        <v>122</v>
      </c>
      <c r="T639" s="13">
        <v>44901</v>
      </c>
      <c r="U639" s="13">
        <v>2958465</v>
      </c>
      <c r="V639" s="13" t="s">
        <v>282</v>
      </c>
      <c r="W639" s="13" t="s">
        <v>145</v>
      </c>
      <c r="Y639" s="13" t="s">
        <v>143</v>
      </c>
      <c r="Z639" s="13">
        <v>7589154</v>
      </c>
      <c r="AA639" s="13">
        <v>1164</v>
      </c>
      <c r="AB639" s="13">
        <v>582</v>
      </c>
      <c r="AE639" s="51">
        <f>M639/O639</f>
        <v>1</v>
      </c>
      <c r="AG639" s="6" t="str">
        <f>C639</f>
        <v>90MB1BJ0-C1BAY0</v>
      </c>
      <c r="AH639" s="6" t="str">
        <f>IF($D639&lt;=AH$4,"",IF(AND($D638=AH$4,$D639&gt;AH$4),$F638,AH638))</f>
        <v>59MB1BJB-MB0A02S</v>
      </c>
      <c r="AI639" s="6" t="str">
        <f>IF($D639&lt;=AI$4,"",IF(AND($D638=AI$4,$D639&gt;AI$4),$F638,AI638))</f>
        <v/>
      </c>
      <c r="AJ639" s="6" t="str">
        <f>IF($D639&lt;=AJ$4,"",IF(AND($D638=AJ$4,$D639&gt;AJ$4),$F638,AJ638))</f>
        <v/>
      </c>
      <c r="AK639" s="6" t="str">
        <f>IF($D639&lt;=AK$4,"",IF(AND($D638=AK$4,$D639&gt;AK$4),$F638,AK638))</f>
        <v/>
      </c>
      <c r="AL639" s="6" t="str">
        <f>IF($D639&lt;=AL$4,"",IF(AND($D638=AL$4,$D639&gt;AL$4),$F638,AL638))</f>
        <v/>
      </c>
      <c r="AM639" s="6" t="str">
        <f>IF($D639&lt;=AM$4,"",IF(AND($D638=AM$4,$D639&gt;AM$4),$F638,AM638))</f>
        <v/>
      </c>
      <c r="AN639" s="6" t="str">
        <f>IF($D639&lt;=AN$4,"",IF(AND($D638=AN$4,$D639&gt;AN$4),$F638,AN638))</f>
        <v/>
      </c>
      <c r="AO639" s="6" t="str">
        <f>CONCATENATE(AG639," | ",AH639," | ",AI639," | ",AJ639," | ",AK639," | ",AL639," | ",AM639," | ",AN639)</f>
        <v xml:space="preserve">90MB1BJ0-C1BAY0 | 59MB1BJB-MB0A02S |  |  |  |  |  | </v>
      </c>
      <c r="AP639" s="6">
        <f>IF(TRIM(H639)="",100,J639)</f>
        <v>100</v>
      </c>
      <c r="AQ639" s="4"/>
      <c r="AR639" s="6" t="b">
        <f>NOT(TRIM(W639)&lt;&gt;"F")</f>
        <v>1</v>
      </c>
      <c r="AS639" s="6" t="str">
        <f>$B639&amp;" | "&amp;$AO639&amp;" | "&amp;IF(TRIM(H639)="","uniq"&amp;ROW(),TRIM(H639))</f>
        <v>461E | 90MB1BJ0-C1BAY0 | 59MB1BJB-MB0A02S |  |  |  |  |  |  | L7</v>
      </c>
      <c r="AT639" s="63">
        <f>IF(NOT(AR639),IF(TRIM($H639)="","Assembly","Phantom Alt"),VLOOKUP(F639,ZPCS04!B:G,6,0))</f>
        <v>1041</v>
      </c>
      <c r="AU639" s="7"/>
      <c r="AV639" s="38">
        <f ca="1">IF(TRIM($W639)="F",OFFSET($A$5,MATCH($AS639,$AS$5:$AS639,0)-1,0),$A639)</f>
        <v>638</v>
      </c>
      <c r="AW639" s="38">
        <f ca="1">IFERROR(OFFSET(ZPCS04!$A$1,MATCH(F639,ZPCS04!B:B,0)-1,0),100)</f>
        <v>2</v>
      </c>
      <c r="AX639" s="7"/>
      <c r="AY639" s="6" t="b">
        <f>SUMIF(AS:AS,AS639,AP:AP)=100</f>
        <v>1</v>
      </c>
      <c r="AZ639" s="6" t="b">
        <f>SUMIF(AS:AS,AS639,AE:AE)/COUNTIF(AS:AS,AS639)=AE639</f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>C639&amp;" | "&amp;F639</f>
        <v>90MB1BJ0-C1BAY0 | 11G232022104070</v>
      </c>
      <c r="BE639" s="55" t="str">
        <f ca="1">C639&amp;" | "&amp;OFFSET($AF639,0,8-COUNTBLANK($AG639:$AN639))</f>
        <v>90MB1BJ0-C1BAY0 | 59MB1BJB-MB0A02S</v>
      </c>
      <c r="BF639" s="57">
        <f ca="1">IFERROR(VLOOKUP($BE639,$BD$5:$BF638,3,0)*$AE639,VLOOKUP($C639,Demanda!$A:$B,2,0)*$AE639)*IF(AT639="Phantom Alt",$BC639,TRUE)</f>
        <v>1000</v>
      </c>
      <c r="BG639" s="57">
        <f ca="1">BF639*(AP639/100)</f>
        <v>1000</v>
      </c>
      <c r="BH639" s="57">
        <f>SUMIF(Invoice!A:A,F639,Invoice!B:B)</f>
        <v>0</v>
      </c>
      <c r="BI639" s="57">
        <f ca="1">SUMIF(AS:AS,AS639,BG:BG)</f>
        <v>1000</v>
      </c>
      <c r="BJ639" s="57">
        <f ca="1">MIN((BI639-SUMIF($AS$5:AS638,AS639,$BJ$5:BJ638)),MAX(0,BH639-SUMIF($F$5:F638,F639,$BJ$5:BJ638)))</f>
        <v>0</v>
      </c>
      <c r="BK639" s="57">
        <f ca="1">(-SUMIF(AS:AS,AS639,BG:BG)+SUMIF(AS:AS,AS639,BJ:BJ))*(AP639=100)*AR639</f>
        <v>0</v>
      </c>
      <c r="BL639" s="57">
        <f ca="1">MAX(0,SUMIF(Invoice!A:A,F639,Invoice!B:B)-SUMIF(F:F,F639,BJ:BJ))*(COUNTIF(F:F,F639)=COUNTIF($F$5:F639,F639))</f>
        <v>0</v>
      </c>
    </row>
    <row r="640" spans="1:64" hidden="1">
      <c r="A640" s="43">
        <v>640</v>
      </c>
      <c r="B640" s="13" t="s">
        <v>147</v>
      </c>
      <c r="C640" s="13" t="s">
        <v>146</v>
      </c>
      <c r="D640" s="13">
        <v>2</v>
      </c>
      <c r="E640" s="13">
        <v>2170</v>
      </c>
      <c r="F640" s="71" t="s">
        <v>1532</v>
      </c>
      <c r="G640" s="71" t="s">
        <v>1531</v>
      </c>
      <c r="H640" s="13" t="s">
        <v>1529</v>
      </c>
      <c r="I640" s="13" t="s">
        <v>55</v>
      </c>
      <c r="J640" s="28">
        <v>0</v>
      </c>
      <c r="K640" s="13" t="s">
        <v>1428</v>
      </c>
      <c r="L640" s="13" t="s">
        <v>53</v>
      </c>
      <c r="M640" s="13">
        <v>1</v>
      </c>
      <c r="O640" s="13">
        <v>1</v>
      </c>
      <c r="P640" s="13">
        <v>2</v>
      </c>
      <c r="Q640" s="13">
        <v>4</v>
      </c>
      <c r="R640" s="13" t="s">
        <v>122</v>
      </c>
      <c r="S640" s="13" t="s">
        <v>122</v>
      </c>
      <c r="T640" s="13">
        <v>44901</v>
      </c>
      <c r="U640" s="13">
        <v>2958465</v>
      </c>
      <c r="V640" s="13" t="s">
        <v>282</v>
      </c>
      <c r="W640" s="13" t="s">
        <v>145</v>
      </c>
      <c r="Y640" s="13" t="s">
        <v>143</v>
      </c>
      <c r="Z640" s="13">
        <v>7589154</v>
      </c>
      <c r="AA640" s="13">
        <v>1170</v>
      </c>
      <c r="AB640" s="13">
        <v>585</v>
      </c>
      <c r="AE640" s="51">
        <f>M640/O640</f>
        <v>1</v>
      </c>
      <c r="AG640" s="6" t="str">
        <f>C640</f>
        <v>90MB1BJ0-C1BAY0</v>
      </c>
      <c r="AH640" s="6" t="str">
        <f>IF($D640&lt;=AH$4,"",IF(AND($D639=AH$4,$D640&gt;AH$4),$F639,AH639))</f>
        <v>59MB1BJB-MB0A02S</v>
      </c>
      <c r="AI640" s="6" t="str">
        <f>IF($D640&lt;=AI$4,"",IF(AND($D639=AI$4,$D640&gt;AI$4),$F639,AI639))</f>
        <v/>
      </c>
      <c r="AJ640" s="6" t="str">
        <f>IF($D640&lt;=AJ$4,"",IF(AND($D639=AJ$4,$D640&gt;AJ$4),$F639,AJ639))</f>
        <v/>
      </c>
      <c r="AK640" s="6" t="str">
        <f>IF($D640&lt;=AK$4,"",IF(AND($D639=AK$4,$D640&gt;AK$4),$F639,AK639))</f>
        <v/>
      </c>
      <c r="AL640" s="6" t="str">
        <f>IF($D640&lt;=AL$4,"",IF(AND($D639=AL$4,$D640&gt;AL$4),$F639,AL639))</f>
        <v/>
      </c>
      <c r="AM640" s="6" t="str">
        <f>IF($D640&lt;=AM$4,"",IF(AND($D639=AM$4,$D640&gt;AM$4),$F639,AM639))</f>
        <v/>
      </c>
      <c r="AN640" s="6" t="str">
        <f>IF($D640&lt;=AN$4,"",IF(AND($D639=AN$4,$D640&gt;AN$4),$F639,AN639))</f>
        <v/>
      </c>
      <c r="AO640" s="6" t="str">
        <f>CONCATENATE(AG640," | ",AH640," | ",AI640," | ",AJ640," | ",AK640," | ",AL640," | ",AM640," | ",AN640)</f>
        <v xml:space="preserve">90MB1BJ0-C1BAY0 | 59MB1BJB-MB0A02S |  |  |  |  |  | </v>
      </c>
      <c r="AP640" s="6">
        <f>IF(TRIM(H640)="",100,J640)</f>
        <v>0</v>
      </c>
      <c r="AQ640" s="4"/>
      <c r="AR640" s="6" t="b">
        <f>NOT(TRIM(W640)&lt;&gt;"F")</f>
        <v>1</v>
      </c>
      <c r="AS640" s="6" t="str">
        <f>$B640&amp;" | "&amp;$AO640&amp;" | "&amp;IF(TRIM(H640)="","uniq"&amp;ROW(),TRIM(H640))</f>
        <v>461E | 90MB1BJ0-C1BAY0 | 59MB1BJB-MB0A02S |  |  |  |  |  |  | L7</v>
      </c>
      <c r="AT640" s="63">
        <f>IF(NOT(AR640),IF(TRIM($H640)="","Assembly","Phantom Alt"),VLOOKUP(F640,ZPCS04!B:G,6,0))</f>
        <v>1041</v>
      </c>
      <c r="AU640" s="7"/>
      <c r="AV640" s="38">
        <f ca="1">IF(TRIM($W640)="F",OFFSET($A$5,MATCH($AS640,$AS$5:$AS640,0)-1,0),$A640)</f>
        <v>638</v>
      </c>
      <c r="AW640" s="38">
        <f ca="1">IFERROR(OFFSET(ZPCS04!$A$1,MATCH(F640,ZPCS04!B:B,0)-1,0),100)</f>
        <v>2</v>
      </c>
      <c r="AX640" s="7"/>
      <c r="AY640" s="6" t="b">
        <f>SUMIF(AS:AS,AS640,AP:AP)=100</f>
        <v>1</v>
      </c>
      <c r="AZ640" s="6" t="b">
        <f>SUMIF(AS:AS,AS640,AE:AE)/COUNTIF(AS:AS,AS640)=AE640</f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>C640&amp;" | "&amp;F640</f>
        <v>90MB1BJ0-C1BAY0 | 11G232022104150</v>
      </c>
      <c r="BE640" s="55" t="str">
        <f ca="1">C640&amp;" | "&amp;OFFSET($AF640,0,8-COUNTBLANK($AG640:$AN640))</f>
        <v>90MB1BJ0-C1BAY0 | 59MB1BJB-MB0A02S</v>
      </c>
      <c r="BF640" s="57">
        <f ca="1">IFERROR(VLOOKUP($BE640,$BD$5:$BF639,3,0)*$AE640,VLOOKUP($C640,Demanda!$A:$B,2,0)*$AE640)*IF(AT640="Phantom Alt",$BC640,TRUE)</f>
        <v>1000</v>
      </c>
      <c r="BG640" s="57">
        <f ca="1">BF640*(AP640/100)</f>
        <v>0</v>
      </c>
      <c r="BH640" s="57">
        <f>SUMIF(Invoice!A:A,F640,Invoice!B:B)</f>
        <v>0</v>
      </c>
      <c r="BI640" s="57">
        <f ca="1">SUMIF(AS:AS,AS640,BG:BG)</f>
        <v>1000</v>
      </c>
      <c r="BJ640" s="57">
        <f ca="1">MIN((BI640-SUMIF($AS$5:AS639,AS640,$BJ$5:BJ639)),MAX(0,BH640-SUMIF($F$5:F639,F640,$BJ$5:BJ639)))</f>
        <v>0</v>
      </c>
      <c r="BK640" s="57">
        <f ca="1">(-SUMIF(AS:AS,AS640,BG:BG)+SUMIF(AS:AS,AS640,BJ:BJ))*(AP640=100)*AR640</f>
        <v>0</v>
      </c>
      <c r="BL640" s="57">
        <f ca="1">MAX(0,SUMIF(Invoice!A:A,F640,Invoice!B:B)-SUMIF(F:F,F640,BJ:BJ))*(COUNTIF(F:F,F640)=COUNTIF($F$5:F640,F640))</f>
        <v>0</v>
      </c>
    </row>
    <row r="641" spans="1:64" hidden="1">
      <c r="A641" s="43">
        <v>641</v>
      </c>
      <c r="B641" s="13" t="s">
        <v>147</v>
      </c>
      <c r="C641" s="13" t="s">
        <v>146</v>
      </c>
      <c r="D641" s="13">
        <v>2</v>
      </c>
      <c r="E641" s="13">
        <v>2170</v>
      </c>
      <c r="F641" s="71" t="s">
        <v>1533</v>
      </c>
      <c r="G641" s="71" t="s">
        <v>1534</v>
      </c>
      <c r="H641" s="13" t="s">
        <v>1529</v>
      </c>
      <c r="I641" s="13" t="s">
        <v>55</v>
      </c>
      <c r="J641" s="28">
        <v>0</v>
      </c>
      <c r="K641" s="13" t="s">
        <v>1428</v>
      </c>
      <c r="L641" s="13" t="s">
        <v>53</v>
      </c>
      <c r="M641" s="13">
        <v>1</v>
      </c>
      <c r="O641" s="13">
        <v>1</v>
      </c>
      <c r="P641" s="13">
        <v>2</v>
      </c>
      <c r="Q641" s="13">
        <v>3</v>
      </c>
      <c r="R641" s="13" t="s">
        <v>122</v>
      </c>
      <c r="S641" s="13" t="s">
        <v>122</v>
      </c>
      <c r="T641" s="13">
        <v>44901</v>
      </c>
      <c r="U641" s="13">
        <v>2958465</v>
      </c>
      <c r="V641" s="13" t="s">
        <v>282</v>
      </c>
      <c r="W641" s="13" t="s">
        <v>145</v>
      </c>
      <c r="Y641" s="13" t="s">
        <v>143</v>
      </c>
      <c r="Z641" s="13">
        <v>7589154</v>
      </c>
      <c r="AA641" s="13">
        <v>1168</v>
      </c>
      <c r="AB641" s="13">
        <v>584</v>
      </c>
      <c r="AE641" s="51">
        <f>M641/O641</f>
        <v>1</v>
      </c>
      <c r="AG641" s="6" t="str">
        <f>C641</f>
        <v>90MB1BJ0-C1BAY0</v>
      </c>
      <c r="AH641" s="6" t="str">
        <f>IF($D641&lt;=AH$4,"",IF(AND($D640=AH$4,$D641&gt;AH$4),$F640,AH640))</f>
        <v>59MB1BJB-MB0A02S</v>
      </c>
      <c r="AI641" s="6" t="str">
        <f>IF($D641&lt;=AI$4,"",IF(AND($D640=AI$4,$D641&gt;AI$4),$F640,AI640))</f>
        <v/>
      </c>
      <c r="AJ641" s="6" t="str">
        <f>IF($D641&lt;=AJ$4,"",IF(AND($D640=AJ$4,$D641&gt;AJ$4),$F640,AJ640))</f>
        <v/>
      </c>
      <c r="AK641" s="6" t="str">
        <f>IF($D641&lt;=AK$4,"",IF(AND($D640=AK$4,$D641&gt;AK$4),$F640,AK640))</f>
        <v/>
      </c>
      <c r="AL641" s="6" t="str">
        <f>IF($D641&lt;=AL$4,"",IF(AND($D640=AL$4,$D641&gt;AL$4),$F640,AL640))</f>
        <v/>
      </c>
      <c r="AM641" s="6" t="str">
        <f>IF($D641&lt;=AM$4,"",IF(AND($D640=AM$4,$D641&gt;AM$4),$F640,AM640))</f>
        <v/>
      </c>
      <c r="AN641" s="6" t="str">
        <f>IF($D641&lt;=AN$4,"",IF(AND($D640=AN$4,$D641&gt;AN$4),$F640,AN640))</f>
        <v/>
      </c>
      <c r="AO641" s="6" t="str">
        <f>CONCATENATE(AG641," | ",AH641," | ",AI641," | ",AJ641," | ",AK641," | ",AL641," | ",AM641," | ",AN641)</f>
        <v xml:space="preserve">90MB1BJ0-C1BAY0 | 59MB1BJB-MB0A02S |  |  |  |  |  | </v>
      </c>
      <c r="AP641" s="6">
        <f>IF(TRIM(H641)="",100,J641)</f>
        <v>0</v>
      </c>
      <c r="AQ641" s="4"/>
      <c r="AR641" s="6" t="b">
        <f>NOT(TRIM(W641)&lt;&gt;"F")</f>
        <v>1</v>
      </c>
      <c r="AS641" s="6" t="str">
        <f>$B641&amp;" | "&amp;$AO641&amp;" | "&amp;IF(TRIM(H641)="","uniq"&amp;ROW(),TRIM(H641))</f>
        <v>461E | 90MB1BJ0-C1BAY0 | 59MB1BJB-MB0A02S |  |  |  |  |  |  | L7</v>
      </c>
      <c r="AT641" s="63">
        <f>IF(NOT(AR641),IF(TRIM($H641)="","Assembly","Phantom Alt"),VLOOKUP(F641,ZPCS04!B:G,6,0))</f>
        <v>1041</v>
      </c>
      <c r="AU641" s="7"/>
      <c r="AV641" s="38">
        <f ca="1">IF(TRIM($W641)="F",OFFSET($A$5,MATCH($AS641,$AS$5:$AS641,0)-1,0),$A641)</f>
        <v>638</v>
      </c>
      <c r="AW641" s="38">
        <f ca="1">IFERROR(OFFSET(ZPCS04!$A$1,MATCH(F641,ZPCS04!B:B,0)-1,0),100)</f>
        <v>2</v>
      </c>
      <c r="AX641" s="7"/>
      <c r="AY641" s="6" t="b">
        <f>SUMIF(AS:AS,AS641,AP:AP)=100</f>
        <v>1</v>
      </c>
      <c r="AZ641" s="6" t="b">
        <f>SUMIF(AS:AS,AS641,AE:AE)/COUNTIF(AS:AS,AS641)=AE641</f>
        <v>1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>C641&amp;" | "&amp;F641</f>
        <v>90MB1BJ0-C1BAY0 | 11G232022104320</v>
      </c>
      <c r="BE641" s="55" t="str">
        <f ca="1">C641&amp;" | "&amp;OFFSET($AF641,0,8-COUNTBLANK($AG641:$AN641))</f>
        <v>90MB1BJ0-C1BAY0 | 59MB1BJB-MB0A02S</v>
      </c>
      <c r="BF641" s="57">
        <f ca="1">IFERROR(VLOOKUP($BE641,$BD$5:$BF640,3,0)*$AE641,VLOOKUP($C641,Demanda!$A:$B,2,0)*$AE641)*IF(AT641="Phantom Alt",$BC641,TRUE)</f>
        <v>1000</v>
      </c>
      <c r="BG641" s="57">
        <f ca="1">BF641*(AP641/100)</f>
        <v>0</v>
      </c>
      <c r="BH641" s="57">
        <f>SUMIF(Invoice!A:A,F641,Invoice!B:B)</f>
        <v>0</v>
      </c>
      <c r="BI641" s="57">
        <f ca="1">SUMIF(AS:AS,AS641,BG:BG)</f>
        <v>1000</v>
      </c>
      <c r="BJ641" s="57">
        <f ca="1">MIN((BI641-SUMIF($AS$5:AS640,AS641,$BJ$5:BJ640)),MAX(0,BH641-SUMIF($F$5:F640,F641,$BJ$5:BJ640)))</f>
        <v>0</v>
      </c>
      <c r="BK641" s="57">
        <f ca="1">(-SUMIF(AS:AS,AS641,BG:BG)+SUMIF(AS:AS,AS641,BJ:BJ))*(AP641=100)*AR641</f>
        <v>0</v>
      </c>
      <c r="BL641" s="57">
        <f ca="1">MAX(0,SUMIF(Invoice!A:A,F641,Invoice!B:B)-SUMIF(F:F,F641,BJ:BJ))*(COUNTIF(F:F,F641)=COUNTIF($F$5:F641,F641))</f>
        <v>0</v>
      </c>
    </row>
    <row r="642" spans="1:64" hidden="1">
      <c r="A642" s="43">
        <v>642</v>
      </c>
      <c r="B642" s="13" t="s">
        <v>147</v>
      </c>
      <c r="C642" s="13" t="s">
        <v>146</v>
      </c>
      <c r="D642" s="13">
        <v>2</v>
      </c>
      <c r="E642" s="13">
        <v>2170</v>
      </c>
      <c r="F642" s="71" t="s">
        <v>1535</v>
      </c>
      <c r="G642" s="71" t="s">
        <v>1531</v>
      </c>
      <c r="H642" s="13" t="s">
        <v>1529</v>
      </c>
      <c r="I642" s="13" t="s">
        <v>55</v>
      </c>
      <c r="J642" s="28">
        <v>0</v>
      </c>
      <c r="K642" s="13" t="s">
        <v>1428</v>
      </c>
      <c r="L642" s="13" t="s">
        <v>53</v>
      </c>
      <c r="M642" s="13">
        <v>1</v>
      </c>
      <c r="O642" s="13">
        <v>1</v>
      </c>
      <c r="P642" s="13">
        <v>2</v>
      </c>
      <c r="Q642" s="13">
        <v>2</v>
      </c>
      <c r="R642" s="13" t="s">
        <v>122</v>
      </c>
      <c r="S642" s="13" t="s">
        <v>122</v>
      </c>
      <c r="T642" s="13">
        <v>44901</v>
      </c>
      <c r="U642" s="13">
        <v>2958465</v>
      </c>
      <c r="V642" s="13" t="s">
        <v>282</v>
      </c>
      <c r="W642" s="13" t="s">
        <v>145</v>
      </c>
      <c r="Y642" s="13" t="s">
        <v>143</v>
      </c>
      <c r="Z642" s="13">
        <v>7589154</v>
      </c>
      <c r="AA642" s="13">
        <v>1166</v>
      </c>
      <c r="AB642" s="13">
        <v>583</v>
      </c>
      <c r="AE642" s="51">
        <f>M642/O642</f>
        <v>1</v>
      </c>
      <c r="AG642" s="6" t="str">
        <f>C642</f>
        <v>90MB1BJ0-C1BAY0</v>
      </c>
      <c r="AH642" s="6" t="str">
        <f>IF($D642&lt;=AH$4,"",IF(AND($D641=AH$4,$D642&gt;AH$4),$F641,AH641))</f>
        <v>59MB1BJB-MB0A02S</v>
      </c>
      <c r="AI642" s="6" t="str">
        <f>IF($D642&lt;=AI$4,"",IF(AND($D641=AI$4,$D642&gt;AI$4),$F641,AI641))</f>
        <v/>
      </c>
      <c r="AJ642" s="6" t="str">
        <f>IF($D642&lt;=AJ$4,"",IF(AND($D641=AJ$4,$D642&gt;AJ$4),$F641,AJ641))</f>
        <v/>
      </c>
      <c r="AK642" s="6" t="str">
        <f>IF($D642&lt;=AK$4,"",IF(AND($D641=AK$4,$D642&gt;AK$4),$F641,AK641))</f>
        <v/>
      </c>
      <c r="AL642" s="6" t="str">
        <f>IF($D642&lt;=AL$4,"",IF(AND($D641=AL$4,$D642&gt;AL$4),$F641,AL641))</f>
        <v/>
      </c>
      <c r="AM642" s="6" t="str">
        <f>IF($D642&lt;=AM$4,"",IF(AND($D641=AM$4,$D642&gt;AM$4),$F641,AM641))</f>
        <v/>
      </c>
      <c r="AN642" s="6" t="str">
        <f>IF($D642&lt;=AN$4,"",IF(AND($D641=AN$4,$D642&gt;AN$4),$F641,AN641))</f>
        <v/>
      </c>
      <c r="AO642" s="6" t="str">
        <f>CONCATENATE(AG642," | ",AH642," | ",AI642," | ",AJ642," | ",AK642," | ",AL642," | ",AM642," | ",AN642)</f>
        <v xml:space="preserve">90MB1BJ0-C1BAY0 | 59MB1BJB-MB0A02S |  |  |  |  |  | </v>
      </c>
      <c r="AP642" s="6">
        <f>IF(TRIM(H642)="",100,J642)</f>
        <v>0</v>
      </c>
      <c r="AQ642" s="4"/>
      <c r="AR642" s="6" t="b">
        <f>NOT(TRIM(W642)&lt;&gt;"F")</f>
        <v>1</v>
      </c>
      <c r="AS642" s="6" t="str">
        <f>$B642&amp;" | "&amp;$AO642&amp;" | "&amp;IF(TRIM(H642)="","uniq"&amp;ROW(),TRIM(H642))</f>
        <v>461E | 90MB1BJ0-C1BAY0 | 59MB1BJB-MB0A02S |  |  |  |  |  |  | L7</v>
      </c>
      <c r="AT642" s="63">
        <f>IF(NOT(AR642),IF(TRIM($H642)="","Assembly","Phantom Alt"),VLOOKUP(F642,ZPCS04!B:G,6,0))</f>
        <v>1041</v>
      </c>
      <c r="AU642" s="7"/>
      <c r="AV642" s="38">
        <f ca="1">IF(TRIM($W642)="F",OFFSET($A$5,MATCH($AS642,$AS$5:$AS642,0)-1,0),$A642)</f>
        <v>638</v>
      </c>
      <c r="AW642" s="38">
        <f ca="1">IFERROR(OFFSET(ZPCS04!$A$1,MATCH(F642,ZPCS04!B:B,0)-1,0),100)</f>
        <v>2</v>
      </c>
      <c r="AX642" s="7"/>
      <c r="AY642" s="6" t="b">
        <f>SUMIF(AS:AS,AS642,AP:AP)=100</f>
        <v>1</v>
      </c>
      <c r="AZ642" s="6" t="b">
        <f>SUMIF(AS:AS,AS642,AE:AE)/COUNTIF(AS:AS,AS642)=AE642</f>
        <v>1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>C642&amp;" | "&amp;F642</f>
        <v>90MB1BJ0-C1BAY0 | 11G232022104390</v>
      </c>
      <c r="BE642" s="55" t="str">
        <f ca="1">C642&amp;" | "&amp;OFFSET($AF642,0,8-COUNTBLANK($AG642:$AN642))</f>
        <v>90MB1BJ0-C1BAY0 | 59MB1BJB-MB0A02S</v>
      </c>
      <c r="BF642" s="57">
        <f ca="1">IFERROR(VLOOKUP($BE642,$BD$5:$BF641,3,0)*$AE642,VLOOKUP($C642,Demanda!$A:$B,2,0)*$AE642)*IF(AT642="Phantom Alt",$BC642,TRUE)</f>
        <v>1000</v>
      </c>
      <c r="BG642" s="57">
        <f ca="1">BF642*(AP642/100)</f>
        <v>0</v>
      </c>
      <c r="BH642" s="57">
        <f>SUMIF(Invoice!A:A,F642,Invoice!B:B)</f>
        <v>0</v>
      </c>
      <c r="BI642" s="57">
        <f ca="1">SUMIF(AS:AS,AS642,BG:BG)</f>
        <v>1000</v>
      </c>
      <c r="BJ642" s="57">
        <f ca="1">MIN((BI642-SUMIF($AS$5:AS641,AS642,$BJ$5:BJ641)),MAX(0,BH642-SUMIF($F$5:F641,F642,$BJ$5:BJ641)))</f>
        <v>0</v>
      </c>
      <c r="BK642" s="57">
        <f ca="1">(-SUMIF(AS:AS,AS642,BG:BG)+SUMIF(AS:AS,AS642,BJ:BJ))*(AP642=100)*AR642</f>
        <v>0</v>
      </c>
      <c r="BL642" s="57">
        <f ca="1">MAX(0,SUMIF(Invoice!A:A,F642,Invoice!B:B)-SUMIF(F:F,F642,BJ:BJ))*(COUNTIF(F:F,F642)=COUNTIF($F$5:F642,F642))</f>
        <v>0</v>
      </c>
    </row>
    <row r="643" spans="1:64" hidden="1">
      <c r="A643" s="43">
        <v>644</v>
      </c>
      <c r="B643" s="13" t="s">
        <v>147</v>
      </c>
      <c r="C643" s="13" t="s">
        <v>146</v>
      </c>
      <c r="D643" s="13">
        <v>2</v>
      </c>
      <c r="E643" s="13">
        <v>2180</v>
      </c>
      <c r="F643" s="71" t="s">
        <v>1539</v>
      </c>
      <c r="G643" s="71" t="s">
        <v>1537</v>
      </c>
      <c r="H643" s="13" t="s">
        <v>1538</v>
      </c>
      <c r="I643" s="13" t="s">
        <v>54</v>
      </c>
      <c r="J643" s="28">
        <v>100</v>
      </c>
      <c r="K643" s="13" t="s">
        <v>1428</v>
      </c>
      <c r="L643" s="13" t="s">
        <v>53</v>
      </c>
      <c r="M643" s="13">
        <v>4</v>
      </c>
      <c r="N643" s="13">
        <v>4</v>
      </c>
      <c r="O643" s="13">
        <v>1</v>
      </c>
      <c r="P643" s="13">
        <v>2</v>
      </c>
      <c r="Q643" s="13">
        <v>1</v>
      </c>
      <c r="R643" s="13" t="s">
        <v>122</v>
      </c>
      <c r="S643" s="13" t="s">
        <v>122</v>
      </c>
      <c r="T643" s="13">
        <v>44901</v>
      </c>
      <c r="U643" s="13">
        <v>2958465</v>
      </c>
      <c r="V643" s="13" t="s">
        <v>282</v>
      </c>
      <c r="W643" s="13" t="s">
        <v>145</v>
      </c>
      <c r="Y643" s="13" t="s">
        <v>143</v>
      </c>
      <c r="Z643" s="13">
        <v>7589154</v>
      </c>
      <c r="AA643" s="13">
        <v>1174</v>
      </c>
      <c r="AB643" s="13">
        <v>587</v>
      </c>
      <c r="AE643" s="51">
        <f>M643/O643</f>
        <v>4</v>
      </c>
      <c r="AG643" s="6" t="str">
        <f>C643</f>
        <v>90MB1BJ0-C1BAY0</v>
      </c>
      <c r="AH643" s="6" t="str">
        <f>IF($D643&lt;=AH$4,"",IF(AND($D642=AH$4,$D643&gt;AH$4),$F642,AH642))</f>
        <v>59MB1BJB-MB0A02S</v>
      </c>
      <c r="AI643" s="6" t="str">
        <f>IF($D643&lt;=AI$4,"",IF(AND($D642=AI$4,$D643&gt;AI$4),$F642,AI642))</f>
        <v/>
      </c>
      <c r="AJ643" s="6" t="str">
        <f>IF($D643&lt;=AJ$4,"",IF(AND($D642=AJ$4,$D643&gt;AJ$4),$F642,AJ642))</f>
        <v/>
      </c>
      <c r="AK643" s="6" t="str">
        <f>IF($D643&lt;=AK$4,"",IF(AND($D642=AK$4,$D643&gt;AK$4),$F642,AK642))</f>
        <v/>
      </c>
      <c r="AL643" s="6" t="str">
        <f>IF($D643&lt;=AL$4,"",IF(AND($D642=AL$4,$D643&gt;AL$4),$F642,AL642))</f>
        <v/>
      </c>
      <c r="AM643" s="6" t="str">
        <f>IF($D643&lt;=AM$4,"",IF(AND($D642=AM$4,$D643&gt;AM$4),$F642,AM642))</f>
        <v/>
      </c>
      <c r="AN643" s="6" t="str">
        <f>IF($D643&lt;=AN$4,"",IF(AND($D642=AN$4,$D643&gt;AN$4),$F642,AN642))</f>
        <v/>
      </c>
      <c r="AO643" s="6" t="str">
        <f>CONCATENATE(AG643," | ",AH643," | ",AI643," | ",AJ643," | ",AK643," | ",AL643," | ",AM643," | ",AN643)</f>
        <v xml:space="preserve">90MB1BJ0-C1BAY0 | 59MB1BJB-MB0A02S |  |  |  |  |  | </v>
      </c>
      <c r="AP643" s="6">
        <f>IF(TRIM(H643)="",100,J643)</f>
        <v>100</v>
      </c>
      <c r="AQ643" s="4"/>
      <c r="AR643" s="6" t="b">
        <f>NOT(TRIM(W643)&lt;&gt;"F")</f>
        <v>1</v>
      </c>
      <c r="AS643" s="6" t="str">
        <f>$B643&amp;" | "&amp;$AO643&amp;" | "&amp;IF(TRIM(H643)="","uniq"&amp;ROW(),TRIM(H643))</f>
        <v>461E | 90MB1BJ0-C1BAY0 | 59MB1BJB-MB0A02S |  |  |  |  |  |  | L8</v>
      </c>
      <c r="AT643" s="63">
        <f>IF(NOT(AR643),IF(TRIM($H643)="","Assembly","Phantom Alt"),VLOOKUP(F643,ZPCS04!B:G,6,0))</f>
        <v>991</v>
      </c>
      <c r="AU643" s="7"/>
      <c r="AV643" s="38">
        <f ca="1">IF(TRIM($W643)="F",OFFSET($A$5,MATCH($AS643,$AS$5:$AS643,0)-1,0),$A643)</f>
        <v>644</v>
      </c>
      <c r="AW643" s="38">
        <f ca="1">IFERROR(OFFSET(ZPCS04!$A$1,MATCH(F643,ZPCS04!B:B,0)-1,0),100)</f>
        <v>1.9999999000000002</v>
      </c>
      <c r="AX643" s="7"/>
      <c r="AY643" s="6" t="b">
        <f>SUMIF(AS:AS,AS643,AP:AP)=100</f>
        <v>1</v>
      </c>
      <c r="AZ643" s="6" t="b">
        <f>SUMIF(AS:AS,AS643,AE:AE)/COUNTIF(AS:AS,AS643)=AE643</f>
        <v>1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>C643&amp;" | "&amp;F643</f>
        <v>90MB1BJ0-C1BAY0 | 11G232027004070</v>
      </c>
      <c r="BE643" s="55" t="str">
        <f ca="1">C643&amp;" | "&amp;OFFSET($AF643,0,8-COUNTBLANK($AG643:$AN643))</f>
        <v>90MB1BJ0-C1BAY0 | 59MB1BJB-MB0A02S</v>
      </c>
      <c r="BF643" s="57">
        <f ca="1">IFERROR(VLOOKUP($BE643,$BD$5:$BF642,3,0)*$AE643,VLOOKUP($C643,Demanda!$A:$B,2,0)*$AE643)*IF(AT643="Phantom Alt",$BC643,TRUE)</f>
        <v>4000</v>
      </c>
      <c r="BG643" s="57">
        <f ca="1">BF643*(AP643/100)</f>
        <v>4000</v>
      </c>
      <c r="BH643" s="57">
        <f>SUMIF(Invoice!A:A,F643,Invoice!B:B)</f>
        <v>10000</v>
      </c>
      <c r="BI643" s="57">
        <f ca="1">SUMIF(AS:AS,AS643,BG:BG)</f>
        <v>4000</v>
      </c>
      <c r="BJ643" s="57">
        <f ca="1">MIN((BI643-SUMIF($AS$5:AS642,AS643,$BJ$5:BJ642)),MAX(0,BH643-SUMIF($F$5:F642,F643,$BJ$5:BJ642)))</f>
        <v>4000</v>
      </c>
      <c r="BK643" s="57">
        <f ca="1">(-SUMIF(AS:AS,AS643,BG:BG)+SUMIF(AS:AS,AS643,BJ:BJ))*(AP643=100)*AR643</f>
        <v>0</v>
      </c>
      <c r="BL643" s="57">
        <f ca="1">MAX(0,SUMIF(Invoice!A:A,F643,Invoice!B:B)-SUMIF(F:F,F643,BJ:BJ))*(COUNTIF(F:F,F643)=COUNTIF($F$5:F643,F643))</f>
        <v>6000</v>
      </c>
    </row>
    <row r="644" spans="1:64" hidden="1">
      <c r="A644" s="43">
        <v>643</v>
      </c>
      <c r="B644" s="13" t="s">
        <v>147</v>
      </c>
      <c r="C644" s="13" t="s">
        <v>146</v>
      </c>
      <c r="D644" s="13">
        <v>2</v>
      </c>
      <c r="E644" s="13">
        <v>2180</v>
      </c>
      <c r="F644" s="71" t="s">
        <v>1536</v>
      </c>
      <c r="G644" s="71" t="s">
        <v>1537</v>
      </c>
      <c r="H644" s="13" t="s">
        <v>1538</v>
      </c>
      <c r="I644" s="13" t="s">
        <v>55</v>
      </c>
      <c r="J644" s="28">
        <v>0</v>
      </c>
      <c r="K644" s="13" t="s">
        <v>1428</v>
      </c>
      <c r="L644" s="13" t="s">
        <v>53</v>
      </c>
      <c r="M644" s="13">
        <v>4</v>
      </c>
      <c r="O644" s="13">
        <v>1</v>
      </c>
      <c r="P644" s="13">
        <v>2</v>
      </c>
      <c r="Q644" s="13">
        <v>2</v>
      </c>
      <c r="R644" s="13" t="s">
        <v>122</v>
      </c>
      <c r="S644" s="13" t="s">
        <v>122</v>
      </c>
      <c r="T644" s="13">
        <v>44901</v>
      </c>
      <c r="U644" s="13">
        <v>2958465</v>
      </c>
      <c r="V644" s="13" t="s">
        <v>282</v>
      </c>
      <c r="W644" s="13" t="s">
        <v>145</v>
      </c>
      <c r="Y644" s="13" t="s">
        <v>143</v>
      </c>
      <c r="Z644" s="13">
        <v>7589154</v>
      </c>
      <c r="AA644" s="13">
        <v>1176</v>
      </c>
      <c r="AB644" s="13">
        <v>588</v>
      </c>
      <c r="AE644" s="51">
        <f>M644/O644</f>
        <v>4</v>
      </c>
      <c r="AG644" s="6" t="str">
        <f>C644</f>
        <v>90MB1BJ0-C1BAY0</v>
      </c>
      <c r="AH644" s="6" t="str">
        <f>IF($D644&lt;=AH$4,"",IF(AND($D643=AH$4,$D644&gt;AH$4),$F643,AH643))</f>
        <v>59MB1BJB-MB0A02S</v>
      </c>
      <c r="AI644" s="6" t="str">
        <f>IF($D644&lt;=AI$4,"",IF(AND($D643=AI$4,$D644&gt;AI$4),$F643,AI643))</f>
        <v/>
      </c>
      <c r="AJ644" s="6" t="str">
        <f>IF($D644&lt;=AJ$4,"",IF(AND($D643=AJ$4,$D644&gt;AJ$4),$F643,AJ643))</f>
        <v/>
      </c>
      <c r="AK644" s="6" t="str">
        <f>IF($D644&lt;=AK$4,"",IF(AND($D643=AK$4,$D644&gt;AK$4),$F643,AK643))</f>
        <v/>
      </c>
      <c r="AL644" s="6" t="str">
        <f>IF($D644&lt;=AL$4,"",IF(AND($D643=AL$4,$D644&gt;AL$4),$F643,AL643))</f>
        <v/>
      </c>
      <c r="AM644" s="6" t="str">
        <f>IF($D644&lt;=AM$4,"",IF(AND($D643=AM$4,$D644&gt;AM$4),$F643,AM643))</f>
        <v/>
      </c>
      <c r="AN644" s="6" t="str">
        <f>IF($D644&lt;=AN$4,"",IF(AND($D643=AN$4,$D644&gt;AN$4),$F643,AN643))</f>
        <v/>
      </c>
      <c r="AO644" s="6" t="str">
        <f>CONCATENATE(AG644," | ",AH644," | ",AI644," | ",AJ644," | ",AK644," | ",AL644," | ",AM644," | ",AN644)</f>
        <v xml:space="preserve">90MB1BJ0-C1BAY0 | 59MB1BJB-MB0A02S |  |  |  |  |  | </v>
      </c>
      <c r="AP644" s="6">
        <f>IF(TRIM(H644)="",100,J644)</f>
        <v>0</v>
      </c>
      <c r="AQ644" s="4"/>
      <c r="AR644" s="6" t="b">
        <f>NOT(TRIM(W644)&lt;&gt;"F")</f>
        <v>1</v>
      </c>
      <c r="AS644" s="6" t="str">
        <f>$B644&amp;" | "&amp;$AO644&amp;" | "&amp;IF(TRIM(H644)="","uniq"&amp;ROW(),TRIM(H644))</f>
        <v>461E | 90MB1BJ0-C1BAY0 | 59MB1BJB-MB0A02S |  |  |  |  |  |  | L8</v>
      </c>
      <c r="AT644" s="63">
        <f>IF(NOT(AR644),IF(TRIM($H644)="","Assembly","Phantom Alt"),VLOOKUP(F644,ZPCS04!B:G,6,0))</f>
        <v>991</v>
      </c>
      <c r="AU644" s="7"/>
      <c r="AV644" s="38">
        <f ca="1">IF(TRIM($W644)="F",OFFSET($A$5,MATCH($AS644,$AS$5:$AS644,0)-1,0),$A644)</f>
        <v>644</v>
      </c>
      <c r="AW644" s="38">
        <f ca="1">IFERROR(OFFSET(ZPCS04!$A$1,MATCH(F644,ZPCS04!B:B,0)-1,0),100)</f>
        <v>2</v>
      </c>
      <c r="AX644" s="7"/>
      <c r="AY644" s="6" t="b">
        <f>SUMIF(AS:AS,AS644,AP:AP)=100</f>
        <v>1</v>
      </c>
      <c r="AZ644" s="6" t="b">
        <f>SUMIF(AS:AS,AS644,AE:AE)/COUNTIF(AS:AS,AS644)=AE644</f>
        <v>1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>C644&amp;" | "&amp;F644</f>
        <v>90MB1BJ0-C1BAY0 | 11G232027004030</v>
      </c>
      <c r="BE644" s="55" t="str">
        <f ca="1">C644&amp;" | "&amp;OFFSET($AF644,0,8-COUNTBLANK($AG644:$AN644))</f>
        <v>90MB1BJ0-C1BAY0 | 59MB1BJB-MB0A02S</v>
      </c>
      <c r="BF644" s="57">
        <f ca="1">IFERROR(VLOOKUP($BE644,$BD$5:$BF643,3,0)*$AE644,VLOOKUP($C644,Demanda!$A:$B,2,0)*$AE644)*IF(AT644="Phantom Alt",$BC644,TRUE)</f>
        <v>4000</v>
      </c>
      <c r="BG644" s="57">
        <f ca="1">BF644*(AP644/100)</f>
        <v>0</v>
      </c>
      <c r="BH644" s="57">
        <f>SUMIF(Invoice!A:A,F644,Invoice!B:B)</f>
        <v>0</v>
      </c>
      <c r="BI644" s="57">
        <f ca="1">SUMIF(AS:AS,AS644,BG:BG)</f>
        <v>4000</v>
      </c>
      <c r="BJ644" s="57">
        <f ca="1">MIN((BI644-SUMIF($AS$5:AS643,AS644,$BJ$5:BJ643)),MAX(0,BH644-SUMIF($F$5:F643,F644,$BJ$5:BJ643)))</f>
        <v>0</v>
      </c>
      <c r="BK644" s="57">
        <f ca="1">(-SUMIF(AS:AS,AS644,BG:BG)+SUMIF(AS:AS,AS644,BJ:BJ))*(AP644=100)*AR644</f>
        <v>0</v>
      </c>
      <c r="BL644" s="57">
        <f ca="1">MAX(0,SUMIF(Invoice!A:A,F644,Invoice!B:B)-SUMIF(F:F,F644,BJ:BJ))*(COUNTIF(F:F,F644)=COUNTIF($F$5:F644,F644))</f>
        <v>0</v>
      </c>
    </row>
    <row r="645" spans="1:64" hidden="1">
      <c r="A645" s="43">
        <v>645</v>
      </c>
      <c r="B645" s="13" t="s">
        <v>147</v>
      </c>
      <c r="C645" s="13" t="s">
        <v>146</v>
      </c>
      <c r="D645" s="13">
        <v>2</v>
      </c>
      <c r="E645" s="13">
        <v>2180</v>
      </c>
      <c r="F645" s="71" t="s">
        <v>1540</v>
      </c>
      <c r="G645" s="71" t="s">
        <v>1537</v>
      </c>
      <c r="H645" s="13" t="s">
        <v>1538</v>
      </c>
      <c r="I645" s="13" t="s">
        <v>55</v>
      </c>
      <c r="J645" s="28">
        <v>0</v>
      </c>
      <c r="K645" s="13" t="s">
        <v>1428</v>
      </c>
      <c r="L645" s="13" t="s">
        <v>53</v>
      </c>
      <c r="M645" s="13">
        <v>4</v>
      </c>
      <c r="O645" s="13">
        <v>1</v>
      </c>
      <c r="P645" s="13">
        <v>2</v>
      </c>
      <c r="Q645" s="13">
        <v>3</v>
      </c>
      <c r="R645" s="13" t="s">
        <v>122</v>
      </c>
      <c r="S645" s="13" t="s">
        <v>122</v>
      </c>
      <c r="T645" s="13">
        <v>44901</v>
      </c>
      <c r="U645" s="13">
        <v>2958465</v>
      </c>
      <c r="V645" s="13" t="s">
        <v>282</v>
      </c>
      <c r="W645" s="13" t="s">
        <v>145</v>
      </c>
      <c r="Y645" s="13" t="s">
        <v>143</v>
      </c>
      <c r="Z645" s="13">
        <v>7589154</v>
      </c>
      <c r="AA645" s="13">
        <v>1178</v>
      </c>
      <c r="AB645" s="13">
        <v>589</v>
      </c>
      <c r="AE645" s="51">
        <f>M645/O645</f>
        <v>4</v>
      </c>
      <c r="AG645" s="6" t="str">
        <f>C645</f>
        <v>90MB1BJ0-C1BAY0</v>
      </c>
      <c r="AH645" s="6" t="str">
        <f>IF($D645&lt;=AH$4,"",IF(AND($D644=AH$4,$D645&gt;AH$4),$F644,AH644))</f>
        <v>59MB1BJB-MB0A02S</v>
      </c>
      <c r="AI645" s="6" t="str">
        <f>IF($D645&lt;=AI$4,"",IF(AND($D644=AI$4,$D645&gt;AI$4),$F644,AI644))</f>
        <v/>
      </c>
      <c r="AJ645" s="6" t="str">
        <f>IF($D645&lt;=AJ$4,"",IF(AND($D644=AJ$4,$D645&gt;AJ$4),$F644,AJ644))</f>
        <v/>
      </c>
      <c r="AK645" s="6" t="str">
        <f>IF($D645&lt;=AK$4,"",IF(AND($D644=AK$4,$D645&gt;AK$4),$F644,AK644))</f>
        <v/>
      </c>
      <c r="AL645" s="6" t="str">
        <f>IF($D645&lt;=AL$4,"",IF(AND($D644=AL$4,$D645&gt;AL$4),$F644,AL644))</f>
        <v/>
      </c>
      <c r="AM645" s="6" t="str">
        <f>IF($D645&lt;=AM$4,"",IF(AND($D644=AM$4,$D645&gt;AM$4),$F644,AM644))</f>
        <v/>
      </c>
      <c r="AN645" s="6" t="str">
        <f>IF($D645&lt;=AN$4,"",IF(AND($D644=AN$4,$D645&gt;AN$4),$F644,AN644))</f>
        <v/>
      </c>
      <c r="AO645" s="6" t="str">
        <f>CONCATENATE(AG645," | ",AH645," | ",AI645," | ",AJ645," | ",AK645," | ",AL645," | ",AM645," | ",AN645)</f>
        <v xml:space="preserve">90MB1BJ0-C1BAY0 | 59MB1BJB-MB0A02S |  |  |  |  |  | </v>
      </c>
      <c r="AP645" s="6">
        <f>IF(TRIM(H645)="",100,J645)</f>
        <v>0</v>
      </c>
      <c r="AQ645" s="4"/>
      <c r="AR645" s="6" t="b">
        <f>NOT(TRIM(W645)&lt;&gt;"F")</f>
        <v>1</v>
      </c>
      <c r="AS645" s="6" t="str">
        <f>$B645&amp;" | "&amp;$AO645&amp;" | "&amp;IF(TRIM(H645)="","uniq"&amp;ROW(),TRIM(H645))</f>
        <v>461E | 90MB1BJ0-C1BAY0 | 59MB1BJB-MB0A02S |  |  |  |  |  |  | L8</v>
      </c>
      <c r="AT645" s="63">
        <f>IF(NOT(AR645),IF(TRIM($H645)="","Assembly","Phantom Alt"),VLOOKUP(F645,ZPCS04!B:G,6,0))</f>
        <v>991</v>
      </c>
      <c r="AU645" s="7"/>
      <c r="AV645" s="38">
        <f ca="1">IF(TRIM($W645)="F",OFFSET($A$5,MATCH($AS645,$AS$5:$AS645,0)-1,0),$A645)</f>
        <v>644</v>
      </c>
      <c r="AW645" s="38">
        <f ca="1">IFERROR(OFFSET(ZPCS04!$A$1,MATCH(F645,ZPCS04!B:B,0)-1,0),100)</f>
        <v>2</v>
      </c>
      <c r="AX645" s="7"/>
      <c r="AY645" s="6" t="b">
        <f>SUMIF(AS:AS,AS645,AP:AP)=100</f>
        <v>1</v>
      </c>
      <c r="AZ645" s="6" t="b">
        <f>SUMIF(AS:AS,AS645,AE:AE)/COUNTIF(AS:AS,AS645)=AE645</f>
        <v>1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>C645&amp;" | "&amp;F645</f>
        <v>90MB1BJ0-C1BAY0 | 11G232027004150</v>
      </c>
      <c r="BE645" s="55" t="str">
        <f ca="1">C645&amp;" | "&amp;OFFSET($AF645,0,8-COUNTBLANK($AG645:$AN645))</f>
        <v>90MB1BJ0-C1BAY0 | 59MB1BJB-MB0A02S</v>
      </c>
      <c r="BF645" s="57">
        <f ca="1">IFERROR(VLOOKUP($BE645,$BD$5:$BF644,3,0)*$AE645,VLOOKUP($C645,Demanda!$A:$B,2,0)*$AE645)*IF(AT645="Phantom Alt",$BC645,TRUE)</f>
        <v>4000</v>
      </c>
      <c r="BG645" s="57">
        <f ca="1">BF645*(AP645/100)</f>
        <v>0</v>
      </c>
      <c r="BH645" s="57">
        <f>SUMIF(Invoice!A:A,F645,Invoice!B:B)</f>
        <v>0</v>
      </c>
      <c r="BI645" s="57">
        <f ca="1">SUMIF(AS:AS,AS645,BG:BG)</f>
        <v>4000</v>
      </c>
      <c r="BJ645" s="57">
        <f ca="1">MIN((BI645-SUMIF($AS$5:AS644,AS645,$BJ$5:BJ644)),MAX(0,BH645-SUMIF($F$5:F644,F645,$BJ$5:BJ644)))</f>
        <v>0</v>
      </c>
      <c r="BK645" s="57">
        <f ca="1">(-SUMIF(AS:AS,AS645,BG:BG)+SUMIF(AS:AS,AS645,BJ:BJ))*(AP645=100)*AR645</f>
        <v>0</v>
      </c>
      <c r="BL645" s="57">
        <f ca="1">MAX(0,SUMIF(Invoice!A:A,F645,Invoice!B:B)-SUMIF(F:F,F645,BJ:BJ))*(COUNTIF(F:F,F645)=COUNTIF($F$5:F645,F645))</f>
        <v>0</v>
      </c>
    </row>
    <row r="646" spans="1:64" hidden="1">
      <c r="A646" s="43">
        <v>646</v>
      </c>
      <c r="B646" s="13" t="s">
        <v>147</v>
      </c>
      <c r="C646" s="13" t="s">
        <v>146</v>
      </c>
      <c r="D646" s="13">
        <v>2</v>
      </c>
      <c r="E646" s="13">
        <v>2180</v>
      </c>
      <c r="F646" s="71" t="s">
        <v>1541</v>
      </c>
      <c r="G646" s="71" t="s">
        <v>1542</v>
      </c>
      <c r="H646" s="13" t="s">
        <v>1538</v>
      </c>
      <c r="I646" s="13" t="s">
        <v>55</v>
      </c>
      <c r="J646" s="28">
        <v>0</v>
      </c>
      <c r="K646" s="13" t="s">
        <v>150</v>
      </c>
      <c r="L646" s="13" t="s">
        <v>53</v>
      </c>
      <c r="M646" s="13">
        <v>4</v>
      </c>
      <c r="O646" s="13">
        <v>1</v>
      </c>
      <c r="P646" s="13">
        <v>2</v>
      </c>
      <c r="Q646" s="13">
        <v>4</v>
      </c>
      <c r="R646" s="13" t="s">
        <v>73</v>
      </c>
      <c r="S646" s="13" t="s">
        <v>73</v>
      </c>
      <c r="T646" s="13">
        <v>44901</v>
      </c>
      <c r="U646" s="13">
        <v>2958465</v>
      </c>
      <c r="V646" s="13" t="s">
        <v>282</v>
      </c>
      <c r="W646" s="13" t="s">
        <v>145</v>
      </c>
      <c r="Y646" s="13" t="s">
        <v>143</v>
      </c>
      <c r="Z646" s="13">
        <v>7589154</v>
      </c>
      <c r="AA646" s="13">
        <v>1180</v>
      </c>
      <c r="AB646" s="13">
        <v>590</v>
      </c>
      <c r="AE646" s="51">
        <f>M646/O646</f>
        <v>4</v>
      </c>
      <c r="AG646" s="6" t="str">
        <f>C646</f>
        <v>90MB1BJ0-C1BAY0</v>
      </c>
      <c r="AH646" s="6" t="str">
        <f>IF($D646&lt;=AH$4,"",IF(AND($D645=AH$4,$D646&gt;AH$4),$F645,AH645))</f>
        <v>59MB1BJB-MB0A02S</v>
      </c>
      <c r="AI646" s="6" t="str">
        <f>IF($D646&lt;=AI$4,"",IF(AND($D645=AI$4,$D646&gt;AI$4),$F645,AI645))</f>
        <v/>
      </c>
      <c r="AJ646" s="6" t="str">
        <f>IF($D646&lt;=AJ$4,"",IF(AND($D645=AJ$4,$D646&gt;AJ$4),$F645,AJ645))</f>
        <v/>
      </c>
      <c r="AK646" s="6" t="str">
        <f>IF($D646&lt;=AK$4,"",IF(AND($D645=AK$4,$D646&gt;AK$4),$F645,AK645))</f>
        <v/>
      </c>
      <c r="AL646" s="6" t="str">
        <f>IF($D646&lt;=AL$4,"",IF(AND($D645=AL$4,$D646&gt;AL$4),$F645,AL645))</f>
        <v/>
      </c>
      <c r="AM646" s="6" t="str">
        <f>IF($D646&lt;=AM$4,"",IF(AND($D645=AM$4,$D646&gt;AM$4),$F645,AM645))</f>
        <v/>
      </c>
      <c r="AN646" s="6" t="str">
        <f>IF($D646&lt;=AN$4,"",IF(AND($D645=AN$4,$D646&gt;AN$4),$F645,AN645))</f>
        <v/>
      </c>
      <c r="AO646" s="6" t="str">
        <f>CONCATENATE(AG646," | ",AH646," | ",AI646," | ",AJ646," | ",AK646," | ",AL646," | ",AM646," | ",AN646)</f>
        <v xml:space="preserve">90MB1BJ0-C1BAY0 | 59MB1BJB-MB0A02S |  |  |  |  |  | </v>
      </c>
      <c r="AP646" s="6">
        <f>IF(TRIM(H646)="",100,J646)</f>
        <v>0</v>
      </c>
      <c r="AQ646" s="4"/>
      <c r="AR646" s="6" t="b">
        <f>NOT(TRIM(W646)&lt;&gt;"F")</f>
        <v>1</v>
      </c>
      <c r="AS646" s="6" t="str">
        <f>$B646&amp;" | "&amp;$AO646&amp;" | "&amp;IF(TRIM(H646)="","uniq"&amp;ROW(),TRIM(H646))</f>
        <v>461E | 90MB1BJ0-C1BAY0 | 59MB1BJB-MB0A02S |  |  |  |  |  |  | L8</v>
      </c>
      <c r="AT646" s="63">
        <f>IF(NOT(AR646),IF(TRIM($H646)="","Assembly","Phantom Alt"),VLOOKUP(F646,ZPCS04!B:G,6,0))</f>
        <v>991</v>
      </c>
      <c r="AU646" s="7"/>
      <c r="AV646" s="38">
        <f ca="1">IF(TRIM($W646)="F",OFFSET($A$5,MATCH($AS646,$AS$5:$AS646,0)-1,0),$A646)</f>
        <v>644</v>
      </c>
      <c r="AW646" s="38">
        <f ca="1">IFERROR(OFFSET(ZPCS04!$A$1,MATCH(F646,ZPCS04!B:B,0)-1,0),100)</f>
        <v>2</v>
      </c>
      <c r="AX646" s="7"/>
      <c r="AY646" s="6" t="b">
        <f>SUMIF(AS:AS,AS646,AP:AP)=100</f>
        <v>1</v>
      </c>
      <c r="AZ646" s="6" t="b">
        <f>SUMIF(AS:AS,AS646,AE:AE)/COUNTIF(AS:AS,AS646)=AE646</f>
        <v>1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>C646&amp;" | "&amp;F646</f>
        <v>90MB1BJ0-C1BAY0 | 11G232027004360</v>
      </c>
      <c r="BE646" s="55" t="str">
        <f ca="1">C646&amp;" | "&amp;OFFSET($AF646,0,8-COUNTBLANK($AG646:$AN646))</f>
        <v>90MB1BJ0-C1BAY0 | 59MB1BJB-MB0A02S</v>
      </c>
      <c r="BF646" s="57">
        <f ca="1">IFERROR(VLOOKUP($BE646,$BD$5:$BF645,3,0)*$AE646,VLOOKUP($C646,Demanda!$A:$B,2,0)*$AE646)*IF(AT646="Phantom Alt",$BC646,TRUE)</f>
        <v>4000</v>
      </c>
      <c r="BG646" s="57">
        <f ca="1">BF646*(AP646/100)</f>
        <v>0</v>
      </c>
      <c r="BH646" s="57">
        <f>SUMIF(Invoice!A:A,F646,Invoice!B:B)</f>
        <v>0</v>
      </c>
      <c r="BI646" s="57">
        <f ca="1">SUMIF(AS:AS,AS646,BG:BG)</f>
        <v>4000</v>
      </c>
      <c r="BJ646" s="57">
        <f ca="1">MIN((BI646-SUMIF($AS$5:AS645,AS646,$BJ$5:BJ645)),MAX(0,BH646-SUMIF($F$5:F645,F646,$BJ$5:BJ645)))</f>
        <v>0</v>
      </c>
      <c r="BK646" s="57">
        <f ca="1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4" hidden="1">
      <c r="A647" s="43">
        <v>647</v>
      </c>
      <c r="B647" s="13" t="s">
        <v>147</v>
      </c>
      <c r="C647" s="13" t="s">
        <v>146</v>
      </c>
      <c r="D647" s="13">
        <v>2</v>
      </c>
      <c r="E647" s="13">
        <v>2180</v>
      </c>
      <c r="F647" s="71" t="s">
        <v>1543</v>
      </c>
      <c r="G647" s="71" t="s">
        <v>1544</v>
      </c>
      <c r="H647" s="13" t="s">
        <v>1538</v>
      </c>
      <c r="I647" s="13" t="s">
        <v>55</v>
      </c>
      <c r="J647" s="28">
        <v>0</v>
      </c>
      <c r="K647" s="13" t="s">
        <v>1428</v>
      </c>
      <c r="L647" s="13" t="s">
        <v>53</v>
      </c>
      <c r="M647" s="13">
        <v>4</v>
      </c>
      <c r="O647" s="13">
        <v>1</v>
      </c>
      <c r="P647" s="13">
        <v>2</v>
      </c>
      <c r="Q647" s="13">
        <v>5</v>
      </c>
      <c r="R647" s="13" t="s">
        <v>122</v>
      </c>
      <c r="S647" s="13" t="s">
        <v>122</v>
      </c>
      <c r="T647" s="13">
        <v>44901</v>
      </c>
      <c r="U647" s="13">
        <v>2958465</v>
      </c>
      <c r="V647" s="13" t="s">
        <v>282</v>
      </c>
      <c r="W647" s="13" t="s">
        <v>145</v>
      </c>
      <c r="Y647" s="13" t="s">
        <v>143</v>
      </c>
      <c r="Z647" s="13">
        <v>7589154</v>
      </c>
      <c r="AA647" s="13">
        <v>1182</v>
      </c>
      <c r="AB647" s="13">
        <v>591</v>
      </c>
      <c r="AE647" s="51">
        <f>M647/O647</f>
        <v>4</v>
      </c>
      <c r="AG647" s="6" t="str">
        <f>C647</f>
        <v>90MB1BJ0-C1BAY0</v>
      </c>
      <c r="AH647" s="6" t="str">
        <f>IF($D647&lt;=AH$4,"",IF(AND($D646=AH$4,$D647&gt;AH$4),$F646,AH646))</f>
        <v>59MB1BJB-MB0A02S</v>
      </c>
      <c r="AI647" s="6" t="str">
        <f>IF($D647&lt;=AI$4,"",IF(AND($D646=AI$4,$D647&gt;AI$4),$F646,AI646))</f>
        <v/>
      </c>
      <c r="AJ647" s="6" t="str">
        <f>IF($D647&lt;=AJ$4,"",IF(AND($D646=AJ$4,$D647&gt;AJ$4),$F646,AJ646))</f>
        <v/>
      </c>
      <c r="AK647" s="6" t="str">
        <f>IF($D647&lt;=AK$4,"",IF(AND($D646=AK$4,$D647&gt;AK$4),$F646,AK646))</f>
        <v/>
      </c>
      <c r="AL647" s="6" t="str">
        <f>IF($D647&lt;=AL$4,"",IF(AND($D646=AL$4,$D647&gt;AL$4),$F646,AL646))</f>
        <v/>
      </c>
      <c r="AM647" s="6" t="str">
        <f>IF($D647&lt;=AM$4,"",IF(AND($D646=AM$4,$D647&gt;AM$4),$F646,AM646))</f>
        <v/>
      </c>
      <c r="AN647" s="6" t="str">
        <f>IF($D647&lt;=AN$4,"",IF(AND($D646=AN$4,$D647&gt;AN$4),$F646,AN646))</f>
        <v/>
      </c>
      <c r="AO647" s="6" t="str">
        <f>CONCATENATE(AG647," | ",AH647," | ",AI647," | ",AJ647," | ",AK647," | ",AL647," | ",AM647," | ",AN647)</f>
        <v xml:space="preserve">90MB1BJ0-C1BAY0 | 59MB1BJB-MB0A02S |  |  |  |  |  | </v>
      </c>
      <c r="AP647" s="6">
        <f>IF(TRIM(H647)="",100,J647)</f>
        <v>0</v>
      </c>
      <c r="AQ647" s="4"/>
      <c r="AR647" s="6" t="b">
        <f>NOT(TRIM(W647)&lt;&gt;"F")</f>
        <v>1</v>
      </c>
      <c r="AS647" s="6" t="str">
        <f>$B647&amp;" | "&amp;$AO647&amp;" | "&amp;IF(TRIM(H647)="","uniq"&amp;ROW(),TRIM(H647))</f>
        <v>461E | 90MB1BJ0-C1BAY0 | 59MB1BJB-MB0A02S |  |  |  |  |  |  | L8</v>
      </c>
      <c r="AT647" s="63">
        <f>IF(NOT(AR647),IF(TRIM($H647)="","Assembly","Phantom Alt"),VLOOKUP(F647,ZPCS04!B:G,6,0))</f>
        <v>991</v>
      </c>
      <c r="AU647" s="7"/>
      <c r="AV647" s="38">
        <f ca="1">IF(TRIM($W647)="F",OFFSET($A$5,MATCH($AS647,$AS$5:$AS647,0)-1,0),$A647)</f>
        <v>644</v>
      </c>
      <c r="AW647" s="38">
        <f ca="1">IFERROR(OFFSET(ZPCS04!$A$1,MATCH(F647,ZPCS04!B:B,0)-1,0),100)</f>
        <v>2</v>
      </c>
      <c r="AX647" s="7"/>
      <c r="AY647" s="6" t="b">
        <f>SUMIF(AS:AS,AS647,AP:AP)=100</f>
        <v>1</v>
      </c>
      <c r="AZ647" s="6" t="b">
        <f>SUMIF(AS:AS,AS647,AE:AE)/COUNTIF(AS:AS,AS647)=AE647</f>
        <v>1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>C647&amp;" | "&amp;F647</f>
        <v>90MB1BJ0-C1BAY0 | 11G232027004390</v>
      </c>
      <c r="BE647" s="55" t="str">
        <f ca="1">C647&amp;" | "&amp;OFFSET($AF647,0,8-COUNTBLANK($AG647:$AN647))</f>
        <v>90MB1BJ0-C1BAY0 | 59MB1BJB-MB0A02S</v>
      </c>
      <c r="BF647" s="57">
        <f ca="1">IFERROR(VLOOKUP($BE647,$BD$5:$BF646,3,0)*$AE647,VLOOKUP($C647,Demanda!$A:$B,2,0)*$AE647)*IF(AT647="Phantom Alt",$BC647,TRUE)</f>
        <v>4000</v>
      </c>
      <c r="BG647" s="57">
        <f ca="1">BF647*(AP647/100)</f>
        <v>0</v>
      </c>
      <c r="BH647" s="57">
        <f>SUMIF(Invoice!A:A,F647,Invoice!B:B)</f>
        <v>0</v>
      </c>
      <c r="BI647" s="57">
        <f ca="1">SUMIF(AS:AS,AS647,BG:BG)</f>
        <v>4000</v>
      </c>
      <c r="BJ647" s="57">
        <f ca="1">MIN((BI647-SUMIF($AS$5:AS646,AS647,$BJ$5:BJ646)),MAX(0,BH647-SUMIF($F$5:F646,F647,$BJ$5:BJ646)))</f>
        <v>0</v>
      </c>
      <c r="BK647" s="57">
        <f ca="1">(-SUMIF(AS:AS,AS647,BG:BG)+SUMIF(AS:AS,AS647,BJ:BJ))*(AP647=100)*AR647</f>
        <v>0</v>
      </c>
      <c r="BL647" s="57">
        <f ca="1">MAX(0,SUMIF(Invoice!A:A,F647,Invoice!B:B)-SUMIF(F:F,F647,BJ:BJ))*(COUNTIF(F:F,F647)=COUNTIF($F$5:F647,F647))</f>
        <v>0</v>
      </c>
    </row>
    <row r="648" spans="1:64" hidden="1">
      <c r="A648" s="43">
        <v>652</v>
      </c>
      <c r="B648" s="13" t="s">
        <v>147</v>
      </c>
      <c r="C648" s="13" t="s">
        <v>146</v>
      </c>
      <c r="D648" s="13">
        <v>2</v>
      </c>
      <c r="E648" s="13">
        <v>2190</v>
      </c>
      <c r="F648" s="71" t="s">
        <v>1552</v>
      </c>
      <c r="G648" s="71" t="s">
        <v>1550</v>
      </c>
      <c r="H648" s="13" t="s">
        <v>1547</v>
      </c>
      <c r="I648" s="13" t="s">
        <v>54</v>
      </c>
      <c r="J648" s="28">
        <v>100</v>
      </c>
      <c r="K648" s="13" t="s">
        <v>150</v>
      </c>
      <c r="L648" s="13" t="s">
        <v>53</v>
      </c>
      <c r="M648" s="13">
        <v>2</v>
      </c>
      <c r="N648" s="13">
        <v>2</v>
      </c>
      <c r="O648" s="13">
        <v>1</v>
      </c>
      <c r="P648" s="13">
        <v>2</v>
      </c>
      <c r="Q648" s="13">
        <v>1</v>
      </c>
      <c r="R648" s="13" t="s">
        <v>73</v>
      </c>
      <c r="S648" s="13" t="s">
        <v>73</v>
      </c>
      <c r="T648" s="13">
        <v>44901</v>
      </c>
      <c r="U648" s="13">
        <v>2958465</v>
      </c>
      <c r="V648" s="13" t="s">
        <v>282</v>
      </c>
      <c r="W648" s="13" t="s">
        <v>145</v>
      </c>
      <c r="Y648" s="13" t="s">
        <v>143</v>
      </c>
      <c r="Z648" s="13">
        <v>7589154</v>
      </c>
      <c r="AA648" s="13">
        <v>1184</v>
      </c>
      <c r="AB648" s="13">
        <v>592</v>
      </c>
      <c r="AE648" s="51">
        <f>M648/O648</f>
        <v>2</v>
      </c>
      <c r="AG648" s="6" t="str">
        <f>C648</f>
        <v>90MB1BJ0-C1BAY0</v>
      </c>
      <c r="AH648" s="6" t="str">
        <f>IF($D648&lt;=AH$4,"",IF(AND($D647=AH$4,$D648&gt;AH$4),$F647,AH647))</f>
        <v>59MB1BJB-MB0A02S</v>
      </c>
      <c r="AI648" s="6" t="str">
        <f>IF($D648&lt;=AI$4,"",IF(AND($D647=AI$4,$D648&gt;AI$4),$F647,AI647))</f>
        <v/>
      </c>
      <c r="AJ648" s="6" t="str">
        <f>IF($D648&lt;=AJ$4,"",IF(AND($D647=AJ$4,$D648&gt;AJ$4),$F647,AJ647))</f>
        <v/>
      </c>
      <c r="AK648" s="6" t="str">
        <f>IF($D648&lt;=AK$4,"",IF(AND($D647=AK$4,$D648&gt;AK$4),$F647,AK647))</f>
        <v/>
      </c>
      <c r="AL648" s="6" t="str">
        <f>IF($D648&lt;=AL$4,"",IF(AND($D647=AL$4,$D648&gt;AL$4),$F647,AL647))</f>
        <v/>
      </c>
      <c r="AM648" s="6" t="str">
        <f>IF($D648&lt;=AM$4,"",IF(AND($D647=AM$4,$D648&gt;AM$4),$F647,AM647))</f>
        <v/>
      </c>
      <c r="AN648" s="6" t="str">
        <f>IF($D648&lt;=AN$4,"",IF(AND($D647=AN$4,$D648&gt;AN$4),$F647,AN647))</f>
        <v/>
      </c>
      <c r="AO648" s="6" t="str">
        <f>CONCATENATE(AG648," | ",AH648," | ",AI648," | ",AJ648," | ",AK648," | ",AL648," | ",AM648," | ",AN648)</f>
        <v xml:space="preserve">90MB1BJ0-C1BAY0 | 59MB1BJB-MB0A02S |  |  |  |  |  | </v>
      </c>
      <c r="AP648" s="6">
        <f>IF(TRIM(H648)="",100,J648)</f>
        <v>100</v>
      </c>
      <c r="AQ648" s="4"/>
      <c r="AR648" s="6" t="b">
        <f>NOT(TRIM(W648)&lt;&gt;"F")</f>
        <v>1</v>
      </c>
      <c r="AS648" s="6" t="str">
        <f>$B648&amp;" | "&amp;$AO648&amp;" | "&amp;IF(TRIM(H648)="","uniq"&amp;ROW(),TRIM(H648))</f>
        <v>461E | 90MB1BJ0-C1BAY0 | 59MB1BJB-MB0A02S |  |  |  |  |  |  | L9</v>
      </c>
      <c r="AT648" s="63">
        <f>IF(NOT(AR648),IF(TRIM($H648)="","Assembly","Phantom Alt"),VLOOKUP(F648,ZPCS04!B:G,6,0))</f>
        <v>746</v>
      </c>
      <c r="AU648" s="7"/>
      <c r="AV648" s="38">
        <f ca="1">IF(TRIM($W648)="F",OFFSET($A$5,MATCH($AS648,$AS$5:$AS648,0)-1,0),$A648)</f>
        <v>652</v>
      </c>
      <c r="AW648" s="38">
        <f ca="1">IFERROR(OFFSET(ZPCS04!$A$1,MATCH(F648,ZPCS04!B:B,0)-1,0),100)</f>
        <v>1.9999999000000002</v>
      </c>
      <c r="AX648" s="7"/>
      <c r="AY648" s="6" t="b">
        <f>SUMIF(AS:AS,AS648,AP:AP)=100</f>
        <v>1</v>
      </c>
      <c r="AZ648" s="6" t="b">
        <f>SUMIF(AS:AS,AS648,AE:AE)/COUNTIF(AS:AS,AS648)=AE648</f>
        <v>1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>C648&amp;" | "&amp;F648</f>
        <v>90MB1BJ0-C1BAY0 | 11G232033104390</v>
      </c>
      <c r="BE648" s="55" t="str">
        <f ca="1">C648&amp;" | "&amp;OFFSET($AF648,0,8-COUNTBLANK($AG648:$AN648))</f>
        <v>90MB1BJ0-C1BAY0 | 59MB1BJB-MB0A02S</v>
      </c>
      <c r="BF648" s="57">
        <f ca="1">IFERROR(VLOOKUP($BE648,$BD$5:$BF647,3,0)*$AE648,VLOOKUP($C648,Demanda!$A:$B,2,0)*$AE648)*IF(AT648="Phantom Alt",$BC648,TRUE)</f>
        <v>2000</v>
      </c>
      <c r="BG648" s="57">
        <f ca="1">BF648*(AP648/100)</f>
        <v>2000</v>
      </c>
      <c r="BH648" s="57">
        <f>SUMIF(Invoice!A:A,F648,Invoice!B:B)</f>
        <v>10000</v>
      </c>
      <c r="BI648" s="57">
        <f ca="1">SUMIF(AS:AS,AS648,BG:BG)</f>
        <v>2000</v>
      </c>
      <c r="BJ648" s="57">
        <f ca="1">MIN((BI648-SUMIF($AS$5:AS647,AS648,$BJ$5:BJ647)),MAX(0,BH648-SUMIF($F$5:F647,F648,$BJ$5:BJ647)))</f>
        <v>2000</v>
      </c>
      <c r="BK648" s="57">
        <f ca="1">(-SUMIF(AS:AS,AS648,BG:BG)+SUMIF(AS:AS,AS648,BJ:BJ))*(AP648=100)*AR648</f>
        <v>0</v>
      </c>
      <c r="BL648" s="57">
        <f ca="1">MAX(0,SUMIF(Invoice!A:A,F648,Invoice!B:B)-SUMIF(F:F,F648,BJ:BJ))*(COUNTIF(F:F,F648)=COUNTIF($F$5:F648,F648))</f>
        <v>8000</v>
      </c>
    </row>
    <row r="649" spans="1:64" hidden="1">
      <c r="A649" s="43">
        <v>648</v>
      </c>
      <c r="B649" s="13" t="s">
        <v>147</v>
      </c>
      <c r="C649" s="13" t="s">
        <v>146</v>
      </c>
      <c r="D649" s="13">
        <v>2</v>
      </c>
      <c r="E649" s="13">
        <v>2190</v>
      </c>
      <c r="F649" s="71" t="s">
        <v>1545</v>
      </c>
      <c r="G649" s="71" t="s">
        <v>1546</v>
      </c>
      <c r="H649" s="13" t="s">
        <v>1547</v>
      </c>
      <c r="I649" s="13" t="s">
        <v>55</v>
      </c>
      <c r="J649" s="28">
        <v>0</v>
      </c>
      <c r="K649" s="13" t="s">
        <v>150</v>
      </c>
      <c r="L649" s="13" t="s">
        <v>53</v>
      </c>
      <c r="M649" s="13">
        <v>2</v>
      </c>
      <c r="O649" s="13">
        <v>1</v>
      </c>
      <c r="P649" s="13">
        <v>2</v>
      </c>
      <c r="Q649" s="13">
        <v>3</v>
      </c>
      <c r="R649" s="13" t="s">
        <v>73</v>
      </c>
      <c r="S649" s="13" t="s">
        <v>73</v>
      </c>
      <c r="T649" s="13">
        <v>44901</v>
      </c>
      <c r="U649" s="13">
        <v>2958465</v>
      </c>
      <c r="V649" s="13" t="s">
        <v>282</v>
      </c>
      <c r="W649" s="13" t="s">
        <v>145</v>
      </c>
      <c r="Y649" s="13" t="s">
        <v>143</v>
      </c>
      <c r="Z649" s="13">
        <v>7589154</v>
      </c>
      <c r="AA649" s="13">
        <v>1188</v>
      </c>
      <c r="AB649" s="13">
        <v>594</v>
      </c>
      <c r="AE649" s="51">
        <f>M649/O649</f>
        <v>2</v>
      </c>
      <c r="AG649" s="6" t="str">
        <f>C649</f>
        <v>90MB1BJ0-C1BAY0</v>
      </c>
      <c r="AH649" s="6" t="str">
        <f>IF($D649&lt;=AH$4,"",IF(AND($D648=AH$4,$D649&gt;AH$4),$F648,AH648))</f>
        <v>59MB1BJB-MB0A02S</v>
      </c>
      <c r="AI649" s="6" t="str">
        <f>IF($D649&lt;=AI$4,"",IF(AND($D648=AI$4,$D649&gt;AI$4),$F648,AI648))</f>
        <v/>
      </c>
      <c r="AJ649" s="6" t="str">
        <f>IF($D649&lt;=AJ$4,"",IF(AND($D648=AJ$4,$D649&gt;AJ$4),$F648,AJ648))</f>
        <v/>
      </c>
      <c r="AK649" s="6" t="str">
        <f>IF($D649&lt;=AK$4,"",IF(AND($D648=AK$4,$D649&gt;AK$4),$F648,AK648))</f>
        <v/>
      </c>
      <c r="AL649" s="6" t="str">
        <f>IF($D649&lt;=AL$4,"",IF(AND($D648=AL$4,$D649&gt;AL$4),$F648,AL648))</f>
        <v/>
      </c>
      <c r="AM649" s="6" t="str">
        <f>IF($D649&lt;=AM$4,"",IF(AND($D648=AM$4,$D649&gt;AM$4),$F648,AM648))</f>
        <v/>
      </c>
      <c r="AN649" s="6" t="str">
        <f>IF($D649&lt;=AN$4,"",IF(AND($D648=AN$4,$D649&gt;AN$4),$F648,AN648))</f>
        <v/>
      </c>
      <c r="AO649" s="6" t="str">
        <f>CONCATENATE(AG649," | ",AH649," | ",AI649," | ",AJ649," | ",AK649," | ",AL649," | ",AM649," | ",AN649)</f>
        <v xml:space="preserve">90MB1BJ0-C1BAY0 | 59MB1BJB-MB0A02S |  |  |  |  |  | </v>
      </c>
      <c r="AP649" s="6">
        <f>IF(TRIM(H649)="",100,J649)</f>
        <v>0</v>
      </c>
      <c r="AQ649" s="4"/>
      <c r="AR649" s="6" t="b">
        <f>NOT(TRIM(W649)&lt;&gt;"F")</f>
        <v>1</v>
      </c>
      <c r="AS649" s="6" t="str">
        <f>$B649&amp;" | "&amp;$AO649&amp;" | "&amp;IF(TRIM(H649)="","uniq"&amp;ROW(),TRIM(H649))</f>
        <v>461E | 90MB1BJ0-C1BAY0 | 59MB1BJB-MB0A02S |  |  |  |  |  |  | L9</v>
      </c>
      <c r="AT649" s="63">
        <f>IF(NOT(AR649),IF(TRIM($H649)="","Assembly","Phantom Alt"),VLOOKUP(F649,ZPCS04!B:G,6,0))</f>
        <v>746</v>
      </c>
      <c r="AU649" s="7"/>
      <c r="AV649" s="38">
        <f ca="1">IF(TRIM($W649)="F",OFFSET($A$5,MATCH($AS649,$AS$5:$AS649,0)-1,0),$A649)</f>
        <v>652</v>
      </c>
      <c r="AW649" s="38">
        <f ca="1">IFERROR(OFFSET(ZPCS04!$A$1,MATCH(F649,ZPCS04!B:B,0)-1,0),100)</f>
        <v>2</v>
      </c>
      <c r="AX649" s="7"/>
      <c r="AY649" s="6" t="b">
        <f>SUMIF(AS:AS,AS649,AP:AP)=100</f>
        <v>1</v>
      </c>
      <c r="AZ649" s="6" t="b">
        <f>SUMIF(AS:AS,AS649,AE:AE)/COUNTIF(AS:AS,AS649)=AE649</f>
        <v>1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>C649&amp;" | "&amp;F649</f>
        <v>90MB1BJ0-C1BAY0 | 11G232033104070</v>
      </c>
      <c r="BE649" s="55" t="str">
        <f ca="1">C649&amp;" | "&amp;OFFSET($AF649,0,8-COUNTBLANK($AG649:$AN649))</f>
        <v>90MB1BJ0-C1BAY0 | 59MB1BJB-MB0A02S</v>
      </c>
      <c r="BF649" s="57">
        <f ca="1">IFERROR(VLOOKUP($BE649,$BD$5:$BF648,3,0)*$AE649,VLOOKUP($C649,Demanda!$A:$B,2,0)*$AE649)*IF(AT649="Phantom Alt",$BC649,TRUE)</f>
        <v>2000</v>
      </c>
      <c r="BG649" s="57">
        <f ca="1">BF649*(AP649/100)</f>
        <v>0</v>
      </c>
      <c r="BH649" s="57">
        <f>SUMIF(Invoice!A:A,F649,Invoice!B:B)</f>
        <v>0</v>
      </c>
      <c r="BI649" s="57">
        <f ca="1">SUMIF(AS:AS,AS649,BG:BG)</f>
        <v>2000</v>
      </c>
      <c r="BJ649" s="57">
        <f ca="1">MIN((BI649-SUMIF($AS$5:AS648,AS649,$BJ$5:BJ648)),MAX(0,BH649-SUMIF($F$5:F648,F649,$BJ$5:BJ648)))</f>
        <v>0</v>
      </c>
      <c r="BK649" s="57">
        <f ca="1">(-SUMIF(AS:AS,AS649,BG:BG)+SUMIF(AS:AS,AS649,BJ:BJ))*(AP649=100)*AR649</f>
        <v>0</v>
      </c>
      <c r="BL649" s="57">
        <f ca="1">MAX(0,SUMIF(Invoice!A:A,F649,Invoice!B:B)-SUMIF(F:F,F649,BJ:BJ))*(COUNTIF(F:F,F649)=COUNTIF($F$5:F649,F649))</f>
        <v>0</v>
      </c>
    </row>
    <row r="650" spans="1:64" hidden="1">
      <c r="A650" s="43">
        <v>649</v>
      </c>
      <c r="B650" s="13" t="s">
        <v>147</v>
      </c>
      <c r="C650" s="13" t="s">
        <v>146</v>
      </c>
      <c r="D650" s="13">
        <v>2</v>
      </c>
      <c r="E650" s="13">
        <v>2190</v>
      </c>
      <c r="F650" s="71" t="s">
        <v>1548</v>
      </c>
      <c r="G650" s="71" t="s">
        <v>1546</v>
      </c>
      <c r="H650" s="13" t="s">
        <v>1547</v>
      </c>
      <c r="I650" s="13" t="s">
        <v>55</v>
      </c>
      <c r="J650" s="28">
        <v>0</v>
      </c>
      <c r="K650" s="13" t="s">
        <v>150</v>
      </c>
      <c r="L650" s="13" t="s">
        <v>53</v>
      </c>
      <c r="M650" s="13">
        <v>2</v>
      </c>
      <c r="O650" s="13">
        <v>1</v>
      </c>
      <c r="P650" s="13">
        <v>2</v>
      </c>
      <c r="Q650" s="13">
        <v>2</v>
      </c>
      <c r="R650" s="13" t="s">
        <v>73</v>
      </c>
      <c r="S650" s="13" t="s">
        <v>73</v>
      </c>
      <c r="T650" s="13">
        <v>44901</v>
      </c>
      <c r="U650" s="13">
        <v>2958465</v>
      </c>
      <c r="V650" s="13" t="s">
        <v>282</v>
      </c>
      <c r="W650" s="13" t="s">
        <v>145</v>
      </c>
      <c r="Y650" s="13" t="s">
        <v>143</v>
      </c>
      <c r="Z650" s="13">
        <v>7589154</v>
      </c>
      <c r="AA650" s="13">
        <v>1186</v>
      </c>
      <c r="AB650" s="13">
        <v>593</v>
      </c>
      <c r="AE650" s="51">
        <f>M650/O650</f>
        <v>2</v>
      </c>
      <c r="AG650" s="6" t="str">
        <f>C650</f>
        <v>90MB1BJ0-C1BAY0</v>
      </c>
      <c r="AH650" s="6" t="str">
        <f>IF($D650&lt;=AH$4,"",IF(AND($D649=AH$4,$D650&gt;AH$4),$F649,AH649))</f>
        <v>59MB1BJB-MB0A02S</v>
      </c>
      <c r="AI650" s="6" t="str">
        <f>IF($D650&lt;=AI$4,"",IF(AND($D649=AI$4,$D650&gt;AI$4),$F649,AI649))</f>
        <v/>
      </c>
      <c r="AJ650" s="6" t="str">
        <f>IF($D650&lt;=AJ$4,"",IF(AND($D649=AJ$4,$D650&gt;AJ$4),$F649,AJ649))</f>
        <v/>
      </c>
      <c r="AK650" s="6" t="str">
        <f>IF($D650&lt;=AK$4,"",IF(AND($D649=AK$4,$D650&gt;AK$4),$F649,AK649))</f>
        <v/>
      </c>
      <c r="AL650" s="6" t="str">
        <f>IF($D650&lt;=AL$4,"",IF(AND($D649=AL$4,$D650&gt;AL$4),$F649,AL649))</f>
        <v/>
      </c>
      <c r="AM650" s="6" t="str">
        <f>IF($D650&lt;=AM$4,"",IF(AND($D649=AM$4,$D650&gt;AM$4),$F649,AM649))</f>
        <v/>
      </c>
      <c r="AN650" s="6" t="str">
        <f>IF($D650&lt;=AN$4,"",IF(AND($D649=AN$4,$D650&gt;AN$4),$F649,AN649))</f>
        <v/>
      </c>
      <c r="AO650" s="6" t="str">
        <f>CONCATENATE(AG650," | ",AH650," | ",AI650," | ",AJ650," | ",AK650," | ",AL650," | ",AM650," | ",AN650)</f>
        <v xml:space="preserve">90MB1BJ0-C1BAY0 | 59MB1BJB-MB0A02S |  |  |  |  |  | </v>
      </c>
      <c r="AP650" s="6">
        <f>IF(TRIM(H650)="",100,J650)</f>
        <v>0</v>
      </c>
      <c r="AQ650" s="4"/>
      <c r="AR650" s="6" t="b">
        <f>NOT(TRIM(W650)&lt;&gt;"F")</f>
        <v>1</v>
      </c>
      <c r="AS650" s="6" t="str">
        <f>$B650&amp;" | "&amp;$AO650&amp;" | "&amp;IF(TRIM(H650)="","uniq"&amp;ROW(),TRIM(H650))</f>
        <v>461E | 90MB1BJ0-C1BAY0 | 59MB1BJB-MB0A02S |  |  |  |  |  |  | L9</v>
      </c>
      <c r="AT650" s="63">
        <f>IF(NOT(AR650),IF(TRIM($H650)="","Assembly","Phantom Alt"),VLOOKUP(F650,ZPCS04!B:G,6,0))</f>
        <v>746</v>
      </c>
      <c r="AU650" s="7"/>
      <c r="AV650" s="38">
        <f ca="1">IF(TRIM($W650)="F",OFFSET($A$5,MATCH($AS650,$AS$5:$AS650,0)-1,0),$A650)</f>
        <v>652</v>
      </c>
      <c r="AW650" s="38">
        <f ca="1">IFERROR(OFFSET(ZPCS04!$A$1,MATCH(F650,ZPCS04!B:B,0)-1,0),100)</f>
        <v>2</v>
      </c>
      <c r="AX650" s="7"/>
      <c r="AY650" s="6" t="b">
        <f>SUMIF(AS:AS,AS650,AP:AP)=100</f>
        <v>1</v>
      </c>
      <c r="AZ650" s="6" t="b">
        <f>SUMIF(AS:AS,AS650,AE:AE)/COUNTIF(AS:AS,AS650)=AE650</f>
        <v>1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>C650&amp;" | "&amp;F650</f>
        <v>90MB1BJ0-C1BAY0 | 11G232033104150</v>
      </c>
      <c r="BE650" s="55" t="str">
        <f ca="1">C650&amp;" | "&amp;OFFSET($AF650,0,8-COUNTBLANK($AG650:$AN650))</f>
        <v>90MB1BJ0-C1BAY0 | 59MB1BJB-MB0A02S</v>
      </c>
      <c r="BF650" s="57">
        <f ca="1">IFERROR(VLOOKUP($BE650,$BD$5:$BF649,3,0)*$AE650,VLOOKUP($C650,Demanda!$A:$B,2,0)*$AE650)*IF(AT650="Phantom Alt",$BC650,TRUE)</f>
        <v>2000</v>
      </c>
      <c r="BG650" s="57">
        <f ca="1">BF650*(AP650/100)</f>
        <v>0</v>
      </c>
      <c r="BH650" s="57">
        <f>SUMIF(Invoice!A:A,F650,Invoice!B:B)</f>
        <v>0</v>
      </c>
      <c r="BI650" s="57">
        <f ca="1">SUMIF(AS:AS,AS650,BG:BG)</f>
        <v>2000</v>
      </c>
      <c r="BJ650" s="57">
        <f ca="1">MIN((BI650-SUMIF($AS$5:AS649,AS650,$BJ$5:BJ649)),MAX(0,BH650-SUMIF($F$5:F649,F650,$BJ$5:BJ649)))</f>
        <v>0</v>
      </c>
      <c r="BK650" s="57">
        <f ca="1">(-SUMIF(AS:AS,AS650,BG:BG)+SUMIF(AS:AS,AS650,BJ:BJ))*(AP650=100)*AR650</f>
        <v>0</v>
      </c>
      <c r="BL650" s="57">
        <f ca="1">MAX(0,SUMIF(Invoice!A:A,F650,Invoice!B:B)-SUMIF(F:F,F650,BJ:BJ))*(COUNTIF(F:F,F650)=COUNTIF($F$5:F650,F650))</f>
        <v>0</v>
      </c>
    </row>
    <row r="651" spans="1:64" hidden="1">
      <c r="A651" s="43">
        <v>650</v>
      </c>
      <c r="B651" s="13" t="s">
        <v>147</v>
      </c>
      <c r="C651" s="13" t="s">
        <v>146</v>
      </c>
      <c r="D651" s="13">
        <v>2</v>
      </c>
      <c r="E651" s="13">
        <v>2190</v>
      </c>
      <c r="F651" s="71" t="s">
        <v>1549</v>
      </c>
      <c r="G651" s="71" t="s">
        <v>1550</v>
      </c>
      <c r="H651" s="13" t="s">
        <v>1547</v>
      </c>
      <c r="I651" s="13" t="s">
        <v>55</v>
      </c>
      <c r="J651" s="28">
        <v>0</v>
      </c>
      <c r="K651" s="13" t="s">
        <v>150</v>
      </c>
      <c r="L651" s="13" t="s">
        <v>53</v>
      </c>
      <c r="M651" s="13">
        <v>2</v>
      </c>
      <c r="O651" s="13">
        <v>1</v>
      </c>
      <c r="P651" s="13">
        <v>2</v>
      </c>
      <c r="Q651" s="13">
        <v>4</v>
      </c>
      <c r="R651" s="13" t="s">
        <v>73</v>
      </c>
      <c r="S651" s="13" t="s">
        <v>73</v>
      </c>
      <c r="T651" s="13">
        <v>44901</v>
      </c>
      <c r="U651" s="13">
        <v>2958465</v>
      </c>
      <c r="V651" s="13" t="s">
        <v>282</v>
      </c>
      <c r="W651" s="13" t="s">
        <v>145</v>
      </c>
      <c r="Y651" s="13" t="s">
        <v>143</v>
      </c>
      <c r="Z651" s="13">
        <v>7589154</v>
      </c>
      <c r="AA651" s="13">
        <v>1190</v>
      </c>
      <c r="AB651" s="13">
        <v>595</v>
      </c>
      <c r="AE651" s="51">
        <f>M651/O651</f>
        <v>2</v>
      </c>
      <c r="AG651" s="6" t="str">
        <f>C651</f>
        <v>90MB1BJ0-C1BAY0</v>
      </c>
      <c r="AH651" s="6" t="str">
        <f>IF($D651&lt;=AH$4,"",IF(AND($D650=AH$4,$D651&gt;AH$4),$F650,AH650))</f>
        <v>59MB1BJB-MB0A02S</v>
      </c>
      <c r="AI651" s="6" t="str">
        <f>IF($D651&lt;=AI$4,"",IF(AND($D650=AI$4,$D651&gt;AI$4),$F650,AI650))</f>
        <v/>
      </c>
      <c r="AJ651" s="6" t="str">
        <f>IF($D651&lt;=AJ$4,"",IF(AND($D650=AJ$4,$D651&gt;AJ$4),$F650,AJ650))</f>
        <v/>
      </c>
      <c r="AK651" s="6" t="str">
        <f>IF($D651&lt;=AK$4,"",IF(AND($D650=AK$4,$D651&gt;AK$4),$F650,AK650))</f>
        <v/>
      </c>
      <c r="AL651" s="6" t="str">
        <f>IF($D651&lt;=AL$4,"",IF(AND($D650=AL$4,$D651&gt;AL$4),$F650,AL650))</f>
        <v/>
      </c>
      <c r="AM651" s="6" t="str">
        <f>IF($D651&lt;=AM$4,"",IF(AND($D650=AM$4,$D651&gt;AM$4),$F650,AM650))</f>
        <v/>
      </c>
      <c r="AN651" s="6" t="str">
        <f>IF($D651&lt;=AN$4,"",IF(AND($D650=AN$4,$D651&gt;AN$4),$F650,AN650))</f>
        <v/>
      </c>
      <c r="AO651" s="6" t="str">
        <f>CONCATENATE(AG651," | ",AH651," | ",AI651," | ",AJ651," | ",AK651," | ",AL651," | ",AM651," | ",AN651)</f>
        <v xml:space="preserve">90MB1BJ0-C1BAY0 | 59MB1BJB-MB0A02S |  |  |  |  |  | </v>
      </c>
      <c r="AP651" s="6">
        <f>IF(TRIM(H651)="",100,J651)</f>
        <v>0</v>
      </c>
      <c r="AQ651" s="4"/>
      <c r="AR651" s="6" t="b">
        <f>NOT(TRIM(W651)&lt;&gt;"F")</f>
        <v>1</v>
      </c>
      <c r="AS651" s="6" t="str">
        <f>$B651&amp;" | "&amp;$AO651&amp;" | "&amp;IF(TRIM(H651)="","uniq"&amp;ROW(),TRIM(H651))</f>
        <v>461E | 90MB1BJ0-C1BAY0 | 59MB1BJB-MB0A02S |  |  |  |  |  |  | L9</v>
      </c>
      <c r="AT651" s="63">
        <f>IF(NOT(AR651),IF(TRIM($H651)="","Assembly","Phantom Alt"),VLOOKUP(F651,ZPCS04!B:G,6,0))</f>
        <v>746</v>
      </c>
      <c r="AU651" s="7"/>
      <c r="AV651" s="38">
        <f ca="1">IF(TRIM($W651)="F",OFFSET($A$5,MATCH($AS651,$AS$5:$AS651,0)-1,0),$A651)</f>
        <v>652</v>
      </c>
      <c r="AW651" s="38">
        <f ca="1">IFERROR(OFFSET(ZPCS04!$A$1,MATCH(F651,ZPCS04!B:B,0)-1,0),100)</f>
        <v>2</v>
      </c>
      <c r="AX651" s="7"/>
      <c r="AY651" s="6" t="b">
        <f>SUMIF(AS:AS,AS651,AP:AP)=100</f>
        <v>1</v>
      </c>
      <c r="AZ651" s="6" t="b">
        <f>SUMIF(AS:AS,AS651,AE:AE)/COUNTIF(AS:AS,AS651)=AE651</f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>C651&amp;" | "&amp;F651</f>
        <v>90MB1BJ0-C1BAY0 | 11G232033104320</v>
      </c>
      <c r="BE651" s="55" t="str">
        <f ca="1">C651&amp;" | "&amp;OFFSET($AF651,0,8-COUNTBLANK($AG651:$AN651))</f>
        <v>90MB1BJ0-C1BAY0 | 59MB1BJB-MB0A02S</v>
      </c>
      <c r="BF651" s="57">
        <f ca="1">IFERROR(VLOOKUP($BE651,$BD$5:$BF650,3,0)*$AE651,VLOOKUP($C651,Demanda!$A:$B,2,0)*$AE651)*IF(AT651="Phantom Alt",$BC651,TRUE)</f>
        <v>2000</v>
      </c>
      <c r="BG651" s="57">
        <f ca="1">BF651*(AP651/100)</f>
        <v>0</v>
      </c>
      <c r="BH651" s="57">
        <f>SUMIF(Invoice!A:A,F651,Invoice!B:B)</f>
        <v>0</v>
      </c>
      <c r="BI651" s="57">
        <f ca="1">SUMIF(AS:AS,AS651,BG:BG)</f>
        <v>2000</v>
      </c>
      <c r="BJ651" s="57">
        <f ca="1">MIN((BI651-SUMIF($AS$5:AS650,AS651,$BJ$5:BJ650)),MAX(0,BH651-SUMIF($F$5:F650,F651,$BJ$5:BJ650)))</f>
        <v>0</v>
      </c>
      <c r="BK651" s="57">
        <f ca="1">(-SUMIF(AS:AS,AS651,BG:BG)+SUMIF(AS:AS,AS651,BJ:BJ))*(AP651=100)*AR651</f>
        <v>0</v>
      </c>
      <c r="BL651" s="57">
        <f ca="1">MAX(0,SUMIF(Invoice!A:A,F651,Invoice!B:B)-SUMIF(F:F,F651,BJ:BJ))*(COUNTIF(F:F,F651)=COUNTIF($F$5:F651,F651))</f>
        <v>0</v>
      </c>
    </row>
    <row r="652" spans="1:64" hidden="1">
      <c r="A652" s="43">
        <v>651</v>
      </c>
      <c r="B652" s="13" t="s">
        <v>147</v>
      </c>
      <c r="C652" s="13" t="s">
        <v>146</v>
      </c>
      <c r="D652" s="13">
        <v>2</v>
      </c>
      <c r="E652" s="13">
        <v>2190</v>
      </c>
      <c r="F652" s="71" t="s">
        <v>1551</v>
      </c>
      <c r="G652" s="71" t="s">
        <v>1550</v>
      </c>
      <c r="H652" s="13" t="s">
        <v>1547</v>
      </c>
      <c r="I652" s="13" t="s">
        <v>55</v>
      </c>
      <c r="J652" s="28">
        <v>0</v>
      </c>
      <c r="K652" s="13" t="s">
        <v>150</v>
      </c>
      <c r="L652" s="13" t="s">
        <v>53</v>
      </c>
      <c r="M652" s="13">
        <v>2</v>
      </c>
      <c r="O652" s="13">
        <v>1</v>
      </c>
      <c r="P652" s="13">
        <v>2</v>
      </c>
      <c r="Q652" s="13">
        <v>5</v>
      </c>
      <c r="R652" s="13" t="s">
        <v>73</v>
      </c>
      <c r="S652" s="13" t="s">
        <v>73</v>
      </c>
      <c r="T652" s="13">
        <v>44901</v>
      </c>
      <c r="U652" s="13">
        <v>2958465</v>
      </c>
      <c r="V652" s="13" t="s">
        <v>282</v>
      </c>
      <c r="W652" s="13" t="s">
        <v>145</v>
      </c>
      <c r="Y652" s="13" t="s">
        <v>143</v>
      </c>
      <c r="Z652" s="13">
        <v>7589154</v>
      </c>
      <c r="AA652" s="13">
        <v>1192</v>
      </c>
      <c r="AB652" s="13">
        <v>596</v>
      </c>
      <c r="AE652" s="51">
        <f>M652/O652</f>
        <v>2</v>
      </c>
      <c r="AG652" s="6" t="str">
        <f>C652</f>
        <v>90MB1BJ0-C1BAY0</v>
      </c>
      <c r="AH652" s="6" t="str">
        <f>IF($D652&lt;=AH$4,"",IF(AND($D651=AH$4,$D652&gt;AH$4),$F651,AH651))</f>
        <v>59MB1BJB-MB0A02S</v>
      </c>
      <c r="AI652" s="6" t="str">
        <f>IF($D652&lt;=AI$4,"",IF(AND($D651=AI$4,$D652&gt;AI$4),$F651,AI651))</f>
        <v/>
      </c>
      <c r="AJ652" s="6" t="str">
        <f>IF($D652&lt;=AJ$4,"",IF(AND($D651=AJ$4,$D652&gt;AJ$4),$F651,AJ651))</f>
        <v/>
      </c>
      <c r="AK652" s="6" t="str">
        <f>IF($D652&lt;=AK$4,"",IF(AND($D651=AK$4,$D652&gt;AK$4),$F651,AK651))</f>
        <v/>
      </c>
      <c r="AL652" s="6" t="str">
        <f>IF($D652&lt;=AL$4,"",IF(AND($D651=AL$4,$D652&gt;AL$4),$F651,AL651))</f>
        <v/>
      </c>
      <c r="AM652" s="6" t="str">
        <f>IF($D652&lt;=AM$4,"",IF(AND($D651=AM$4,$D652&gt;AM$4),$F651,AM651))</f>
        <v/>
      </c>
      <c r="AN652" s="6" t="str">
        <f>IF($D652&lt;=AN$4,"",IF(AND($D651=AN$4,$D652&gt;AN$4),$F651,AN651))</f>
        <v/>
      </c>
      <c r="AO652" s="6" t="str">
        <f>CONCATENATE(AG652," | ",AH652," | ",AI652," | ",AJ652," | ",AK652," | ",AL652," | ",AM652," | ",AN652)</f>
        <v xml:space="preserve">90MB1BJ0-C1BAY0 | 59MB1BJB-MB0A02S |  |  |  |  |  | </v>
      </c>
      <c r="AP652" s="6">
        <f>IF(TRIM(H652)="",100,J652)</f>
        <v>0</v>
      </c>
      <c r="AQ652" s="4"/>
      <c r="AR652" s="6" t="b">
        <f>NOT(TRIM(W652)&lt;&gt;"F")</f>
        <v>1</v>
      </c>
      <c r="AS652" s="6" t="str">
        <f>$B652&amp;" | "&amp;$AO652&amp;" | "&amp;IF(TRIM(H652)="","uniq"&amp;ROW(),TRIM(H652))</f>
        <v>461E | 90MB1BJ0-C1BAY0 | 59MB1BJB-MB0A02S |  |  |  |  |  |  | L9</v>
      </c>
      <c r="AT652" s="63">
        <f>IF(NOT(AR652),IF(TRIM($H652)="","Assembly","Phantom Alt"),VLOOKUP(F652,ZPCS04!B:G,6,0))</f>
        <v>746</v>
      </c>
      <c r="AU652" s="7"/>
      <c r="AV652" s="38">
        <f ca="1">IF(TRIM($W652)="F",OFFSET($A$5,MATCH($AS652,$AS$5:$AS652,0)-1,0),$A652)</f>
        <v>652</v>
      </c>
      <c r="AW652" s="38">
        <f ca="1">IFERROR(OFFSET(ZPCS04!$A$1,MATCH(F652,ZPCS04!B:B,0)-1,0),100)</f>
        <v>2</v>
      </c>
      <c r="AX652" s="7"/>
      <c r="AY652" s="6" t="b">
        <f>SUMIF(AS:AS,AS652,AP:AP)=100</f>
        <v>1</v>
      </c>
      <c r="AZ652" s="6" t="b">
        <f>SUMIF(AS:AS,AS652,AE:AE)/COUNTIF(AS:AS,AS652)=AE652</f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>C652&amp;" | "&amp;F652</f>
        <v>90MB1BJ0-C1BAY0 | 11G232033104360</v>
      </c>
      <c r="BE652" s="55" t="str">
        <f ca="1">C652&amp;" | "&amp;OFFSET($AF652,0,8-COUNTBLANK($AG652:$AN652))</f>
        <v>90MB1BJ0-C1BAY0 | 59MB1BJB-MB0A02S</v>
      </c>
      <c r="BF652" s="57">
        <f ca="1">IFERROR(VLOOKUP($BE652,$BD$5:$BF651,3,0)*$AE652,VLOOKUP($C652,Demanda!$A:$B,2,0)*$AE652)*IF(AT652="Phantom Alt",$BC652,TRUE)</f>
        <v>2000</v>
      </c>
      <c r="BG652" s="57">
        <f ca="1">BF652*(AP652/100)</f>
        <v>0</v>
      </c>
      <c r="BH652" s="57">
        <f>SUMIF(Invoice!A:A,F652,Invoice!B:B)</f>
        <v>0</v>
      </c>
      <c r="BI652" s="57">
        <f ca="1">SUMIF(AS:AS,AS652,BG:BG)</f>
        <v>2000</v>
      </c>
      <c r="BJ652" s="57">
        <f ca="1">MIN((BI652-SUMIF($AS$5:AS651,AS652,$BJ$5:BJ651)),MAX(0,BH652-SUMIF($F$5:F651,F652,$BJ$5:BJ651)))</f>
        <v>0</v>
      </c>
      <c r="BK652" s="57">
        <f ca="1">(-SUMIF(AS:AS,AS652,BG:BG)+SUMIF(AS:AS,AS652,BJ:BJ))*(AP652=100)*AR652</f>
        <v>0</v>
      </c>
      <c r="BL652" s="57">
        <f ca="1">MAX(0,SUMIF(Invoice!A:A,F652,Invoice!B:B)-SUMIF(F:F,F652,BJ:BJ))*(COUNTIF(F:F,F652)=COUNTIF($F$5:F652,F652))</f>
        <v>0</v>
      </c>
    </row>
    <row r="653" spans="1:64" hidden="1">
      <c r="A653" s="43">
        <v>655</v>
      </c>
      <c r="B653" s="13" t="s">
        <v>147</v>
      </c>
      <c r="C653" s="13" t="s">
        <v>146</v>
      </c>
      <c r="D653" s="13">
        <v>2</v>
      </c>
      <c r="E653" s="13">
        <v>2200</v>
      </c>
      <c r="F653" s="71" t="s">
        <v>1558</v>
      </c>
      <c r="G653" s="71" t="s">
        <v>1559</v>
      </c>
      <c r="H653" s="13" t="s">
        <v>1555</v>
      </c>
      <c r="I653" s="13" t="s">
        <v>54</v>
      </c>
      <c r="J653" s="28">
        <v>100</v>
      </c>
      <c r="K653" s="13" t="s">
        <v>1428</v>
      </c>
      <c r="L653" s="13" t="s">
        <v>53</v>
      </c>
      <c r="M653" s="13">
        <v>2</v>
      </c>
      <c r="N653" s="13">
        <v>2</v>
      </c>
      <c r="O653" s="13">
        <v>1</v>
      </c>
      <c r="P653" s="13">
        <v>2</v>
      </c>
      <c r="Q653" s="13">
        <v>1</v>
      </c>
      <c r="R653" s="13" t="s">
        <v>73</v>
      </c>
      <c r="S653" s="13" t="s">
        <v>73</v>
      </c>
      <c r="T653" s="13">
        <v>44901</v>
      </c>
      <c r="U653" s="13">
        <v>2958465</v>
      </c>
      <c r="V653" s="13" t="s">
        <v>282</v>
      </c>
      <c r="W653" s="13" t="s">
        <v>145</v>
      </c>
      <c r="Y653" s="13" t="s">
        <v>143</v>
      </c>
      <c r="Z653" s="13">
        <v>7589154</v>
      </c>
      <c r="AA653" s="13">
        <v>1194</v>
      </c>
      <c r="AB653" s="13">
        <v>597</v>
      </c>
      <c r="AE653" s="51">
        <f>M653/O653</f>
        <v>2</v>
      </c>
      <c r="AG653" s="6" t="str">
        <f>C653</f>
        <v>90MB1BJ0-C1BAY0</v>
      </c>
      <c r="AH653" s="6" t="str">
        <f>IF($D653&lt;=AH$4,"",IF(AND($D652=AH$4,$D653&gt;AH$4),$F652,AH652))</f>
        <v>59MB1BJB-MB0A02S</v>
      </c>
      <c r="AI653" s="6" t="str">
        <f>IF($D653&lt;=AI$4,"",IF(AND($D652=AI$4,$D653&gt;AI$4),$F652,AI652))</f>
        <v/>
      </c>
      <c r="AJ653" s="6" t="str">
        <f>IF($D653&lt;=AJ$4,"",IF(AND($D652=AJ$4,$D653&gt;AJ$4),$F652,AJ652))</f>
        <v/>
      </c>
      <c r="AK653" s="6" t="str">
        <f>IF($D653&lt;=AK$4,"",IF(AND($D652=AK$4,$D653&gt;AK$4),$F652,AK652))</f>
        <v/>
      </c>
      <c r="AL653" s="6" t="str">
        <f>IF($D653&lt;=AL$4,"",IF(AND($D652=AL$4,$D653&gt;AL$4),$F652,AL652))</f>
        <v/>
      </c>
      <c r="AM653" s="6" t="str">
        <f>IF($D653&lt;=AM$4,"",IF(AND($D652=AM$4,$D653&gt;AM$4),$F652,AM652))</f>
        <v/>
      </c>
      <c r="AN653" s="6" t="str">
        <f>IF($D653&lt;=AN$4,"",IF(AND($D652=AN$4,$D653&gt;AN$4),$F652,AN652))</f>
        <v/>
      </c>
      <c r="AO653" s="6" t="str">
        <f>CONCATENATE(AG653," | ",AH653," | ",AI653," | ",AJ653," | ",AK653," | ",AL653," | ",AM653," | ",AN653)</f>
        <v xml:space="preserve">90MB1BJ0-C1BAY0 | 59MB1BJB-MB0A02S |  |  |  |  |  | </v>
      </c>
      <c r="AP653" s="6">
        <f>IF(TRIM(H653)="",100,J653)</f>
        <v>100</v>
      </c>
      <c r="AQ653" s="4"/>
      <c r="AR653" s="6" t="b">
        <f>NOT(TRIM(W653)&lt;&gt;"F")</f>
        <v>1</v>
      </c>
      <c r="AS653" s="6" t="str">
        <f>$B653&amp;" | "&amp;$AO653&amp;" | "&amp;IF(TRIM(H653)="","uniq"&amp;ROW(),TRIM(H653))</f>
        <v>461E | 90MB1BJ0-C1BAY0 | 59MB1BJB-MB0A02S |  |  |  |  |  |  | M0</v>
      </c>
      <c r="AT653" s="63">
        <f>IF(NOT(AR653),IF(TRIM($H653)="","Assembly","Phantom Alt"),VLOOKUP(F653,ZPCS04!B:G,6,0))</f>
        <v>1281</v>
      </c>
      <c r="AU653" s="7"/>
      <c r="AV653" s="38">
        <f ca="1">IF(TRIM($W653)="F",OFFSET($A$5,MATCH($AS653,$AS$5:$AS653,0)-1,0),$A653)</f>
        <v>655</v>
      </c>
      <c r="AW653" s="38">
        <f ca="1">IFERROR(OFFSET(ZPCS04!$A$1,MATCH(F653,ZPCS04!B:B,0)-1,0),100)</f>
        <v>1.9999999000000002</v>
      </c>
      <c r="AX653" s="7"/>
      <c r="AY653" s="6" t="b">
        <f>SUMIF(AS:AS,AS653,AP:AP)=100</f>
        <v>1</v>
      </c>
      <c r="AZ653" s="6" t="b">
        <f>SUMIF(AS:AS,AS653,AE:AE)/COUNTIF(AS:AS,AS653)=AE653</f>
        <v>1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>C653&amp;" | "&amp;F653</f>
        <v>90MB1BJ0-C1BAY0 | 11G23205R664070</v>
      </c>
      <c r="BE653" s="55" t="str">
        <f ca="1">C653&amp;" | "&amp;OFFSET($AF653,0,8-COUNTBLANK($AG653:$AN653))</f>
        <v>90MB1BJ0-C1BAY0 | 59MB1BJB-MB0A02S</v>
      </c>
      <c r="BF653" s="57">
        <f ca="1">IFERROR(VLOOKUP($BE653,$BD$5:$BF652,3,0)*$AE653,VLOOKUP($C653,Demanda!$A:$B,2,0)*$AE653)*IF(AT653="Phantom Alt",$BC653,TRUE)</f>
        <v>2000</v>
      </c>
      <c r="BG653" s="57">
        <f ca="1">BF653*(AP653/100)</f>
        <v>2000</v>
      </c>
      <c r="BH653" s="57">
        <f>SUMIF(Invoice!A:A,F653,Invoice!B:B)</f>
        <v>10000</v>
      </c>
      <c r="BI653" s="57">
        <f ca="1">SUMIF(AS:AS,AS653,BG:BG)</f>
        <v>2000</v>
      </c>
      <c r="BJ653" s="57">
        <f ca="1">MIN((BI653-SUMIF($AS$5:AS652,AS653,$BJ$5:BJ652)),MAX(0,BH653-SUMIF($F$5:F652,F653,$BJ$5:BJ652)))</f>
        <v>2000</v>
      </c>
      <c r="BK653" s="57">
        <f ca="1">(-SUMIF(AS:AS,AS653,BG:BG)+SUMIF(AS:AS,AS653,BJ:BJ))*(AP653=100)*AR653</f>
        <v>0</v>
      </c>
      <c r="BL653" s="57">
        <f ca="1">MAX(0,SUMIF(Invoice!A:A,F653,Invoice!B:B)-SUMIF(F:F,F653,BJ:BJ))*(COUNTIF(F:F,F653)=COUNTIF($F$5:F653,F653))</f>
        <v>8000</v>
      </c>
    </row>
    <row r="654" spans="1:64" hidden="1">
      <c r="A654" s="43">
        <v>653</v>
      </c>
      <c r="B654" s="13" t="s">
        <v>147</v>
      </c>
      <c r="C654" s="13" t="s">
        <v>146</v>
      </c>
      <c r="D654" s="13">
        <v>2</v>
      </c>
      <c r="E654" s="13">
        <v>2200</v>
      </c>
      <c r="F654" s="71" t="s">
        <v>1553</v>
      </c>
      <c r="G654" s="71" t="s">
        <v>1554</v>
      </c>
      <c r="H654" s="13" t="s">
        <v>1555</v>
      </c>
      <c r="I654" s="13" t="s">
        <v>55</v>
      </c>
      <c r="J654" s="28">
        <v>0</v>
      </c>
      <c r="K654" s="13" t="s">
        <v>150</v>
      </c>
      <c r="L654" s="13" t="s">
        <v>53</v>
      </c>
      <c r="M654" s="13">
        <v>2</v>
      </c>
      <c r="O654" s="13">
        <v>1</v>
      </c>
      <c r="P654" s="13">
        <v>2</v>
      </c>
      <c r="Q654" s="13">
        <v>3</v>
      </c>
      <c r="R654" s="13" t="s">
        <v>73</v>
      </c>
      <c r="S654" s="13" t="s">
        <v>73</v>
      </c>
      <c r="T654" s="13">
        <v>44901</v>
      </c>
      <c r="U654" s="13">
        <v>2958465</v>
      </c>
      <c r="V654" s="13" t="s">
        <v>282</v>
      </c>
      <c r="W654" s="13" t="s">
        <v>145</v>
      </c>
      <c r="Y654" s="13" t="s">
        <v>143</v>
      </c>
      <c r="Z654" s="13">
        <v>7589154</v>
      </c>
      <c r="AA654" s="13">
        <v>1198</v>
      </c>
      <c r="AB654" s="13">
        <v>599</v>
      </c>
      <c r="AE654" s="51">
        <f>M654/O654</f>
        <v>2</v>
      </c>
      <c r="AG654" s="6" t="str">
        <f>C654</f>
        <v>90MB1BJ0-C1BAY0</v>
      </c>
      <c r="AH654" s="6" t="str">
        <f>IF($D654&lt;=AH$4,"",IF(AND($D653=AH$4,$D654&gt;AH$4),$F653,AH653))</f>
        <v>59MB1BJB-MB0A02S</v>
      </c>
      <c r="AI654" s="6" t="str">
        <f>IF($D654&lt;=AI$4,"",IF(AND($D653=AI$4,$D654&gt;AI$4),$F653,AI653))</f>
        <v/>
      </c>
      <c r="AJ654" s="6" t="str">
        <f>IF($D654&lt;=AJ$4,"",IF(AND($D653=AJ$4,$D654&gt;AJ$4),$F653,AJ653))</f>
        <v/>
      </c>
      <c r="AK654" s="6" t="str">
        <f>IF($D654&lt;=AK$4,"",IF(AND($D653=AK$4,$D654&gt;AK$4),$F653,AK653))</f>
        <v/>
      </c>
      <c r="AL654" s="6" t="str">
        <f>IF($D654&lt;=AL$4,"",IF(AND($D653=AL$4,$D654&gt;AL$4),$F653,AL653))</f>
        <v/>
      </c>
      <c r="AM654" s="6" t="str">
        <f>IF($D654&lt;=AM$4,"",IF(AND($D653=AM$4,$D654&gt;AM$4),$F653,AM653))</f>
        <v/>
      </c>
      <c r="AN654" s="6" t="str">
        <f>IF($D654&lt;=AN$4,"",IF(AND($D653=AN$4,$D654&gt;AN$4),$F653,AN653))</f>
        <v/>
      </c>
      <c r="AO654" s="6" t="str">
        <f>CONCATENATE(AG654," | ",AH654," | ",AI654," | ",AJ654," | ",AK654," | ",AL654," | ",AM654," | ",AN654)</f>
        <v xml:space="preserve">90MB1BJ0-C1BAY0 | 59MB1BJB-MB0A02S |  |  |  |  |  | </v>
      </c>
      <c r="AP654" s="6">
        <f>IF(TRIM(H654)="",100,J654)</f>
        <v>0</v>
      </c>
      <c r="AQ654" s="4"/>
      <c r="AR654" s="6" t="b">
        <f>NOT(TRIM(W654)&lt;&gt;"F")</f>
        <v>1</v>
      </c>
      <c r="AS654" s="6" t="str">
        <f>$B654&amp;" | "&amp;$AO654&amp;" | "&amp;IF(TRIM(H654)="","uniq"&amp;ROW(),TRIM(H654))</f>
        <v>461E | 90MB1BJ0-C1BAY0 | 59MB1BJB-MB0A02S |  |  |  |  |  |  | M0</v>
      </c>
      <c r="AT654" s="63">
        <f>IF(NOT(AR654),IF(TRIM($H654)="","Assembly","Phantom Alt"),VLOOKUP(F654,ZPCS04!B:G,6,0))</f>
        <v>1281</v>
      </c>
      <c r="AU654" s="7"/>
      <c r="AV654" s="38">
        <f ca="1">IF(TRIM($W654)="F",OFFSET($A$5,MATCH($AS654,$AS$5:$AS654,0)-1,0),$A654)</f>
        <v>655</v>
      </c>
      <c r="AW654" s="38">
        <f ca="1">IFERROR(OFFSET(ZPCS04!$A$1,MATCH(F654,ZPCS04!B:B,0)-1,0),100)</f>
        <v>2</v>
      </c>
      <c r="AX654" s="7"/>
      <c r="AY654" s="6" t="b">
        <f>SUMIF(AS:AS,AS654,AP:AP)=100</f>
        <v>1</v>
      </c>
      <c r="AZ654" s="6" t="b">
        <f>SUMIF(AS:AS,AS654,AE:AE)/COUNTIF(AS:AS,AS654)=AE654</f>
        <v>1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>C654&amp;" | "&amp;F654</f>
        <v>90MB1BJ0-C1BAY0 | 11203-0124Q000</v>
      </c>
      <c r="BE654" s="55" t="str">
        <f ca="1">C654&amp;" | "&amp;OFFSET($AF654,0,8-COUNTBLANK($AG654:$AN654))</f>
        <v>90MB1BJ0-C1BAY0 | 59MB1BJB-MB0A02S</v>
      </c>
      <c r="BF654" s="57">
        <f ca="1">IFERROR(VLOOKUP($BE654,$BD$5:$BF653,3,0)*$AE654,VLOOKUP($C654,Demanda!$A:$B,2,0)*$AE654)*IF(AT654="Phantom Alt",$BC654,TRUE)</f>
        <v>2000</v>
      </c>
      <c r="BG654" s="57">
        <f ca="1">BF654*(AP654/100)</f>
        <v>0</v>
      </c>
      <c r="BH654" s="57">
        <f>SUMIF(Invoice!A:A,F654,Invoice!B:B)</f>
        <v>0</v>
      </c>
      <c r="BI654" s="57">
        <f ca="1">SUMIF(AS:AS,AS654,BG:BG)</f>
        <v>2000</v>
      </c>
      <c r="BJ654" s="57">
        <f ca="1">MIN((BI654-SUMIF($AS$5:AS653,AS654,$BJ$5:BJ653)),MAX(0,BH654-SUMIF($F$5:F653,F654,$BJ$5:BJ653)))</f>
        <v>0</v>
      </c>
      <c r="BK654" s="57">
        <f ca="1">(-SUMIF(AS:AS,AS654,BG:BG)+SUMIF(AS:AS,AS654,BJ:BJ))*(AP654=100)*AR654</f>
        <v>0</v>
      </c>
      <c r="BL654" s="57">
        <f ca="1">MAX(0,SUMIF(Invoice!A:A,F654,Invoice!B:B)-SUMIF(F:F,F654,BJ:BJ))*(COUNTIF(F:F,F654)=COUNTIF($F$5:F654,F654))</f>
        <v>0</v>
      </c>
    </row>
    <row r="655" spans="1:64" hidden="1">
      <c r="A655" s="43">
        <v>654</v>
      </c>
      <c r="B655" s="13" t="s">
        <v>147</v>
      </c>
      <c r="C655" s="13" t="s">
        <v>146</v>
      </c>
      <c r="D655" s="13">
        <v>2</v>
      </c>
      <c r="E655" s="13">
        <v>2200</v>
      </c>
      <c r="F655" s="71" t="s">
        <v>1556</v>
      </c>
      <c r="G655" s="71" t="s">
        <v>1557</v>
      </c>
      <c r="H655" s="13" t="s">
        <v>1555</v>
      </c>
      <c r="I655" s="13" t="s">
        <v>55</v>
      </c>
      <c r="J655" s="28">
        <v>0</v>
      </c>
      <c r="K655" s="13" t="s">
        <v>1428</v>
      </c>
      <c r="L655" s="13" t="s">
        <v>53</v>
      </c>
      <c r="M655" s="13">
        <v>2</v>
      </c>
      <c r="O655" s="13">
        <v>1</v>
      </c>
      <c r="P655" s="13">
        <v>2</v>
      </c>
      <c r="Q655" s="13">
        <v>4</v>
      </c>
      <c r="R655" s="13" t="s">
        <v>122</v>
      </c>
      <c r="S655" s="13" t="s">
        <v>122</v>
      </c>
      <c r="T655" s="13">
        <v>44901</v>
      </c>
      <c r="U655" s="13">
        <v>2958465</v>
      </c>
      <c r="V655" s="13" t="s">
        <v>282</v>
      </c>
      <c r="W655" s="13" t="s">
        <v>145</v>
      </c>
      <c r="Y655" s="13" t="s">
        <v>143</v>
      </c>
      <c r="Z655" s="13">
        <v>7589154</v>
      </c>
      <c r="AA655" s="13">
        <v>1200</v>
      </c>
      <c r="AB655" s="13">
        <v>600</v>
      </c>
      <c r="AE655" s="51">
        <f>M655/O655</f>
        <v>2</v>
      </c>
      <c r="AG655" s="6" t="str">
        <f>C655</f>
        <v>90MB1BJ0-C1BAY0</v>
      </c>
      <c r="AH655" s="6" t="str">
        <f>IF($D655&lt;=AH$4,"",IF(AND($D654=AH$4,$D655&gt;AH$4),$F654,AH654))</f>
        <v>59MB1BJB-MB0A02S</v>
      </c>
      <c r="AI655" s="6" t="str">
        <f>IF($D655&lt;=AI$4,"",IF(AND($D654=AI$4,$D655&gt;AI$4),$F654,AI654))</f>
        <v/>
      </c>
      <c r="AJ655" s="6" t="str">
        <f>IF($D655&lt;=AJ$4,"",IF(AND($D654=AJ$4,$D655&gt;AJ$4),$F654,AJ654))</f>
        <v/>
      </c>
      <c r="AK655" s="6" t="str">
        <f>IF($D655&lt;=AK$4,"",IF(AND($D654=AK$4,$D655&gt;AK$4),$F654,AK654))</f>
        <v/>
      </c>
      <c r="AL655" s="6" t="str">
        <f>IF($D655&lt;=AL$4,"",IF(AND($D654=AL$4,$D655&gt;AL$4),$F654,AL654))</f>
        <v/>
      </c>
      <c r="AM655" s="6" t="str">
        <f>IF($D655&lt;=AM$4,"",IF(AND($D654=AM$4,$D655&gt;AM$4),$F654,AM654))</f>
        <v/>
      </c>
      <c r="AN655" s="6" t="str">
        <f>IF($D655&lt;=AN$4,"",IF(AND($D654=AN$4,$D655&gt;AN$4),$F654,AN654))</f>
        <v/>
      </c>
      <c r="AO655" s="6" t="str">
        <f>CONCATENATE(AG655," | ",AH655," | ",AI655," | ",AJ655," | ",AK655," | ",AL655," | ",AM655," | ",AN655)</f>
        <v xml:space="preserve">90MB1BJ0-C1BAY0 | 59MB1BJB-MB0A02S |  |  |  |  |  | </v>
      </c>
      <c r="AP655" s="6">
        <f>IF(TRIM(H655)="",100,J655)</f>
        <v>0</v>
      </c>
      <c r="AQ655" s="4"/>
      <c r="AR655" s="6" t="b">
        <f>NOT(TRIM(W655)&lt;&gt;"F")</f>
        <v>1</v>
      </c>
      <c r="AS655" s="6" t="str">
        <f>$B655&amp;" | "&amp;$AO655&amp;" | "&amp;IF(TRIM(H655)="","uniq"&amp;ROW(),TRIM(H655))</f>
        <v>461E | 90MB1BJ0-C1BAY0 | 59MB1BJB-MB0A02S |  |  |  |  |  |  | M0</v>
      </c>
      <c r="AT655" s="63">
        <f>IF(NOT(AR655),IF(TRIM($H655)="","Assembly","Phantom Alt"),VLOOKUP(F655,ZPCS04!B:G,6,0))</f>
        <v>1281</v>
      </c>
      <c r="AU655" s="7"/>
      <c r="AV655" s="38">
        <f ca="1">IF(TRIM($W655)="F",OFFSET($A$5,MATCH($AS655,$AS$5:$AS655,0)-1,0),$A655)</f>
        <v>655</v>
      </c>
      <c r="AW655" s="38">
        <f ca="1">IFERROR(OFFSET(ZPCS04!$A$1,MATCH(F655,ZPCS04!B:B,0)-1,0),100)</f>
        <v>2</v>
      </c>
      <c r="AX655" s="7"/>
      <c r="AY655" s="6" t="b">
        <f>SUMIF(AS:AS,AS655,AP:AP)=100</f>
        <v>1</v>
      </c>
      <c r="AZ655" s="6" t="b">
        <f>SUMIF(AS:AS,AS655,AE:AE)/COUNTIF(AS:AS,AS655)=AE655</f>
        <v>1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>C655&amp;" | "&amp;F655</f>
        <v>90MB1BJ0-C1BAY0 | 11G23205R664030</v>
      </c>
      <c r="BE655" s="55" t="str">
        <f ca="1">C655&amp;" | "&amp;OFFSET($AF655,0,8-COUNTBLANK($AG655:$AN655))</f>
        <v>90MB1BJ0-C1BAY0 | 59MB1BJB-MB0A02S</v>
      </c>
      <c r="BF655" s="57">
        <f ca="1">IFERROR(VLOOKUP($BE655,$BD$5:$BF654,3,0)*$AE655,VLOOKUP($C655,Demanda!$A:$B,2,0)*$AE655)*IF(AT655="Phantom Alt",$BC655,TRUE)</f>
        <v>2000</v>
      </c>
      <c r="BG655" s="57">
        <f ca="1">BF655*(AP655/100)</f>
        <v>0</v>
      </c>
      <c r="BH655" s="57">
        <f>SUMIF(Invoice!A:A,F655,Invoice!B:B)</f>
        <v>0</v>
      </c>
      <c r="BI655" s="57">
        <f ca="1">SUMIF(AS:AS,AS655,BG:BG)</f>
        <v>2000</v>
      </c>
      <c r="BJ655" s="57">
        <f ca="1">MIN((BI655-SUMIF($AS$5:AS654,AS655,$BJ$5:BJ654)),MAX(0,BH655-SUMIF($F$5:F654,F655,$BJ$5:BJ654)))</f>
        <v>0</v>
      </c>
      <c r="BK655" s="57">
        <f ca="1">(-SUMIF(AS:AS,AS655,BG:BG)+SUMIF(AS:AS,AS655,BJ:BJ))*(AP655=100)*AR655</f>
        <v>0</v>
      </c>
      <c r="BL655" s="57">
        <f ca="1">MAX(0,SUMIF(Invoice!A:A,F655,Invoice!B:B)-SUMIF(F:F,F655,BJ:BJ))*(COUNTIF(F:F,F655)=COUNTIF($F$5:F655,F655))</f>
        <v>0</v>
      </c>
    </row>
    <row r="656" spans="1:64" hidden="1">
      <c r="A656" s="43">
        <v>656</v>
      </c>
      <c r="B656" s="13" t="s">
        <v>147</v>
      </c>
      <c r="C656" s="13" t="s">
        <v>146</v>
      </c>
      <c r="D656" s="13">
        <v>2</v>
      </c>
      <c r="E656" s="13">
        <v>2200</v>
      </c>
      <c r="F656" s="71" t="s">
        <v>1560</v>
      </c>
      <c r="G656" s="71" t="s">
        <v>1561</v>
      </c>
      <c r="H656" s="13" t="s">
        <v>1555</v>
      </c>
      <c r="I656" s="13" t="s">
        <v>55</v>
      </c>
      <c r="J656" s="28">
        <v>0</v>
      </c>
      <c r="K656" s="13" t="s">
        <v>1428</v>
      </c>
      <c r="L656" s="13" t="s">
        <v>53</v>
      </c>
      <c r="M656" s="13">
        <v>2</v>
      </c>
      <c r="O656" s="13">
        <v>1</v>
      </c>
      <c r="P656" s="13">
        <v>2</v>
      </c>
      <c r="Q656" s="13">
        <v>2</v>
      </c>
      <c r="R656" s="13" t="s">
        <v>122</v>
      </c>
      <c r="S656" s="13" t="s">
        <v>122</v>
      </c>
      <c r="T656" s="13">
        <v>44901</v>
      </c>
      <c r="U656" s="13">
        <v>2958465</v>
      </c>
      <c r="V656" s="13" t="s">
        <v>282</v>
      </c>
      <c r="W656" s="13" t="s">
        <v>145</v>
      </c>
      <c r="Y656" s="13" t="s">
        <v>143</v>
      </c>
      <c r="Z656" s="13">
        <v>7589154</v>
      </c>
      <c r="AA656" s="13">
        <v>1196</v>
      </c>
      <c r="AB656" s="13">
        <v>598</v>
      </c>
      <c r="AE656" s="51">
        <f>M656/O656</f>
        <v>2</v>
      </c>
      <c r="AG656" s="6" t="str">
        <f>C656</f>
        <v>90MB1BJ0-C1BAY0</v>
      </c>
      <c r="AH656" s="6" t="str">
        <f>IF($D656&lt;=AH$4,"",IF(AND($D655=AH$4,$D656&gt;AH$4),$F655,AH655))</f>
        <v>59MB1BJB-MB0A02S</v>
      </c>
      <c r="AI656" s="6" t="str">
        <f>IF($D656&lt;=AI$4,"",IF(AND($D655=AI$4,$D656&gt;AI$4),$F655,AI655))</f>
        <v/>
      </c>
      <c r="AJ656" s="6" t="str">
        <f>IF($D656&lt;=AJ$4,"",IF(AND($D655=AJ$4,$D656&gt;AJ$4),$F655,AJ655))</f>
        <v/>
      </c>
      <c r="AK656" s="6" t="str">
        <f>IF($D656&lt;=AK$4,"",IF(AND($D655=AK$4,$D656&gt;AK$4),$F655,AK655))</f>
        <v/>
      </c>
      <c r="AL656" s="6" t="str">
        <f>IF($D656&lt;=AL$4,"",IF(AND($D655=AL$4,$D656&gt;AL$4),$F655,AL655))</f>
        <v/>
      </c>
      <c r="AM656" s="6" t="str">
        <f>IF($D656&lt;=AM$4,"",IF(AND($D655=AM$4,$D656&gt;AM$4),$F655,AM655))</f>
        <v/>
      </c>
      <c r="AN656" s="6" t="str">
        <f>IF($D656&lt;=AN$4,"",IF(AND($D655=AN$4,$D656&gt;AN$4),$F655,AN655))</f>
        <v/>
      </c>
      <c r="AO656" s="6" t="str">
        <f>CONCATENATE(AG656," | ",AH656," | ",AI656," | ",AJ656," | ",AK656," | ",AL656," | ",AM656," | ",AN656)</f>
        <v xml:space="preserve">90MB1BJ0-C1BAY0 | 59MB1BJB-MB0A02S |  |  |  |  |  | </v>
      </c>
      <c r="AP656" s="6">
        <f>IF(TRIM(H656)="",100,J656)</f>
        <v>0</v>
      </c>
      <c r="AQ656" s="4"/>
      <c r="AR656" s="6" t="b">
        <f>NOT(TRIM(W656)&lt;&gt;"F")</f>
        <v>1</v>
      </c>
      <c r="AS656" s="6" t="str">
        <f>$B656&amp;" | "&amp;$AO656&amp;" | "&amp;IF(TRIM(H656)="","uniq"&amp;ROW(),TRIM(H656))</f>
        <v>461E | 90MB1BJ0-C1BAY0 | 59MB1BJB-MB0A02S |  |  |  |  |  |  | M0</v>
      </c>
      <c r="AT656" s="63">
        <f>IF(NOT(AR656),IF(TRIM($H656)="","Assembly","Phantom Alt"),VLOOKUP(F656,ZPCS04!B:G,6,0))</f>
        <v>1281</v>
      </c>
      <c r="AU656" s="7"/>
      <c r="AV656" s="38">
        <f ca="1">IF(TRIM($W656)="F",OFFSET($A$5,MATCH($AS656,$AS$5:$AS656,0)-1,0),$A656)</f>
        <v>655</v>
      </c>
      <c r="AW656" s="38">
        <f ca="1">IFERROR(OFFSET(ZPCS04!$A$1,MATCH(F656,ZPCS04!B:B,0)-1,0),100)</f>
        <v>2</v>
      </c>
      <c r="AX656" s="7"/>
      <c r="AY656" s="6" t="b">
        <f>SUMIF(AS:AS,AS656,AP:AP)=100</f>
        <v>1</v>
      </c>
      <c r="AZ656" s="6" t="b">
        <f>SUMIF(AS:AS,AS656,AE:AE)/COUNTIF(AS:AS,AS656)=AE656</f>
        <v>1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>C656&amp;" | "&amp;F656</f>
        <v>90MB1BJ0-C1BAY0 | 11G23205R664390</v>
      </c>
      <c r="BE656" s="55" t="str">
        <f ca="1">C656&amp;" | "&amp;OFFSET($AF656,0,8-COUNTBLANK($AG656:$AN656))</f>
        <v>90MB1BJ0-C1BAY0 | 59MB1BJB-MB0A02S</v>
      </c>
      <c r="BF656" s="57">
        <f ca="1">IFERROR(VLOOKUP($BE656,$BD$5:$BF655,3,0)*$AE656,VLOOKUP($C656,Demanda!$A:$B,2,0)*$AE656)*IF(AT656="Phantom Alt",$BC656,TRUE)</f>
        <v>2000</v>
      </c>
      <c r="BG656" s="57">
        <f ca="1">BF656*(AP656/100)</f>
        <v>0</v>
      </c>
      <c r="BH656" s="57">
        <f>SUMIF(Invoice!A:A,F656,Invoice!B:B)</f>
        <v>0</v>
      </c>
      <c r="BI656" s="57">
        <f ca="1">SUMIF(AS:AS,AS656,BG:BG)</f>
        <v>2000</v>
      </c>
      <c r="BJ656" s="57">
        <f ca="1">MIN((BI656-SUMIF($AS$5:AS655,AS656,$BJ$5:BJ655)),MAX(0,BH656-SUMIF($F$5:F655,F656,$BJ$5:BJ655)))</f>
        <v>0</v>
      </c>
      <c r="BK656" s="57">
        <f ca="1">(-SUMIF(AS:AS,AS656,BG:BG)+SUMIF(AS:AS,AS656,BJ:BJ))*(AP656=100)*AR656</f>
        <v>0</v>
      </c>
      <c r="BL656" s="57">
        <f ca="1">MAX(0,SUMIF(Invoice!A:A,F656,Invoice!B:B)-SUMIF(F:F,F656,BJ:BJ))*(COUNTIF(F:F,F656)=COUNTIF($F$5:F656,F656))</f>
        <v>0</v>
      </c>
    </row>
    <row r="657" spans="1:64" hidden="1">
      <c r="A657" s="43">
        <v>661</v>
      </c>
      <c r="B657" s="13" t="s">
        <v>147</v>
      </c>
      <c r="C657" s="13" t="s">
        <v>146</v>
      </c>
      <c r="D657" s="13">
        <v>2</v>
      </c>
      <c r="E657" s="13">
        <v>2210</v>
      </c>
      <c r="F657" s="71" t="s">
        <v>1569</v>
      </c>
      <c r="G657" s="71" t="s">
        <v>1566</v>
      </c>
      <c r="H657" s="13" t="s">
        <v>1564</v>
      </c>
      <c r="I657" s="13" t="s">
        <v>54</v>
      </c>
      <c r="J657" s="28">
        <v>100</v>
      </c>
      <c r="K657" s="13" t="s">
        <v>1428</v>
      </c>
      <c r="L657" s="13" t="s">
        <v>53</v>
      </c>
      <c r="M657" s="13">
        <v>5</v>
      </c>
      <c r="N657" s="13">
        <v>5</v>
      </c>
      <c r="O657" s="13">
        <v>1</v>
      </c>
      <c r="P657" s="13">
        <v>2</v>
      </c>
      <c r="Q657" s="13">
        <v>1</v>
      </c>
      <c r="R657" s="13" t="s">
        <v>122</v>
      </c>
      <c r="S657" s="13" t="s">
        <v>122</v>
      </c>
      <c r="T657" s="13">
        <v>44901</v>
      </c>
      <c r="U657" s="13">
        <v>2958465</v>
      </c>
      <c r="V657" s="13" t="s">
        <v>282</v>
      </c>
      <c r="W657" s="13" t="s">
        <v>145</v>
      </c>
      <c r="Y657" s="13" t="s">
        <v>143</v>
      </c>
      <c r="Z657" s="13">
        <v>7589154</v>
      </c>
      <c r="AA657" s="13">
        <v>1202</v>
      </c>
      <c r="AB657" s="13">
        <v>601</v>
      </c>
      <c r="AE657" s="51">
        <f>M657/O657</f>
        <v>5</v>
      </c>
      <c r="AG657" s="6" t="str">
        <f>C657</f>
        <v>90MB1BJ0-C1BAY0</v>
      </c>
      <c r="AH657" s="6" t="str">
        <f>IF($D657&lt;=AH$4,"",IF(AND($D656=AH$4,$D657&gt;AH$4),$F656,AH656))</f>
        <v>59MB1BJB-MB0A02S</v>
      </c>
      <c r="AI657" s="6" t="str">
        <f>IF($D657&lt;=AI$4,"",IF(AND($D656=AI$4,$D657&gt;AI$4),$F656,AI656))</f>
        <v/>
      </c>
      <c r="AJ657" s="6" t="str">
        <f>IF($D657&lt;=AJ$4,"",IF(AND($D656=AJ$4,$D657&gt;AJ$4),$F656,AJ656))</f>
        <v/>
      </c>
      <c r="AK657" s="6" t="str">
        <f>IF($D657&lt;=AK$4,"",IF(AND($D656=AK$4,$D657&gt;AK$4),$F656,AK656))</f>
        <v/>
      </c>
      <c r="AL657" s="6" t="str">
        <f>IF($D657&lt;=AL$4,"",IF(AND($D656=AL$4,$D657&gt;AL$4),$F656,AL656))</f>
        <v/>
      </c>
      <c r="AM657" s="6" t="str">
        <f>IF($D657&lt;=AM$4,"",IF(AND($D656=AM$4,$D657&gt;AM$4),$F656,AM656))</f>
        <v/>
      </c>
      <c r="AN657" s="6" t="str">
        <f>IF($D657&lt;=AN$4,"",IF(AND($D656=AN$4,$D657&gt;AN$4),$F656,AN656))</f>
        <v/>
      </c>
      <c r="AO657" s="6" t="str">
        <f>CONCATENATE(AG657," | ",AH657," | ",AI657," | ",AJ657," | ",AK657," | ",AL657," | ",AM657," | ",AN657)</f>
        <v xml:space="preserve">90MB1BJ0-C1BAY0 | 59MB1BJB-MB0A02S |  |  |  |  |  | </v>
      </c>
      <c r="AP657" s="6">
        <f>IF(TRIM(H657)="",100,J657)</f>
        <v>100</v>
      </c>
      <c r="AQ657" s="4"/>
      <c r="AR657" s="6" t="b">
        <f>NOT(TRIM(W657)&lt;&gt;"F")</f>
        <v>1</v>
      </c>
      <c r="AS657" s="6" t="str">
        <f>$B657&amp;" | "&amp;$AO657&amp;" | "&amp;IF(TRIM(H657)="","uniq"&amp;ROW(),TRIM(H657))</f>
        <v>461E | 90MB1BJ0-C1BAY0 | 59MB1BJB-MB0A02S |  |  |  |  |  |  | M1</v>
      </c>
      <c r="AT657" s="63">
        <f>IF(NOT(AR657),IF(TRIM($H657)="","Assembly","Phantom Alt"),VLOOKUP(F657,ZPCS04!B:G,6,0))</f>
        <v>993</v>
      </c>
      <c r="AU657" s="7"/>
      <c r="AV657" s="38">
        <f ca="1">IF(TRIM($W657)="F",OFFSET($A$5,MATCH($AS657,$AS$5:$AS657,0)-1,0),$A657)</f>
        <v>661</v>
      </c>
      <c r="AW657" s="38">
        <f ca="1">IFERROR(OFFSET(ZPCS04!$A$1,MATCH(F657,ZPCS04!B:B,0)-1,0),100)</f>
        <v>1.9999999000000002</v>
      </c>
      <c r="AX657" s="7"/>
      <c r="AY657" s="6" t="b">
        <f>SUMIF(AS:AS,AS657,AP:AP)=100</f>
        <v>1</v>
      </c>
      <c r="AZ657" s="6" t="b">
        <f>SUMIF(AS:AS,AS657,AE:AE)/COUNTIF(AS:AS,AS657)=AE657</f>
        <v>1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>C657&amp;" | "&amp;F657</f>
        <v>90MB1BJ0-C1BAY0 | 11G232110214390</v>
      </c>
      <c r="BE657" s="55" t="str">
        <f ca="1">C657&amp;" | "&amp;OFFSET($AF657,0,8-COUNTBLANK($AG657:$AN657))</f>
        <v>90MB1BJ0-C1BAY0 | 59MB1BJB-MB0A02S</v>
      </c>
      <c r="BF657" s="57">
        <f ca="1">IFERROR(VLOOKUP($BE657,$BD$5:$BF656,3,0)*$AE657,VLOOKUP($C657,Demanda!$A:$B,2,0)*$AE657)*IF(AT657="Phantom Alt",$BC657,TRUE)</f>
        <v>5000</v>
      </c>
      <c r="BG657" s="57">
        <f ca="1">BF657*(AP657/100)</f>
        <v>5000</v>
      </c>
      <c r="BH657" s="57">
        <f>SUMIF(Invoice!A:A,F657,Invoice!B:B)</f>
        <v>10000</v>
      </c>
      <c r="BI657" s="57">
        <f ca="1">SUMIF(AS:AS,AS657,BG:BG)</f>
        <v>5000</v>
      </c>
      <c r="BJ657" s="57">
        <f ca="1">MIN((BI657-SUMIF($AS$5:AS656,AS657,$BJ$5:BJ656)),MAX(0,BH657-SUMIF($F$5:F656,F657,$BJ$5:BJ656)))</f>
        <v>5000</v>
      </c>
      <c r="BK657" s="57">
        <f ca="1">(-SUMIF(AS:AS,AS657,BG:BG)+SUMIF(AS:AS,AS657,BJ:BJ))*(AP657=100)*AR657</f>
        <v>0</v>
      </c>
      <c r="BL657" s="57">
        <f ca="1">MAX(0,SUMIF(Invoice!A:A,F657,Invoice!B:B)-SUMIF(F:F,F657,BJ:BJ))*(COUNTIF(F:F,F657)=COUNTIF($F$5:F657,F657))</f>
        <v>5000</v>
      </c>
    </row>
    <row r="658" spans="1:64" hidden="1">
      <c r="A658" s="43">
        <v>657</v>
      </c>
      <c r="B658" s="13" t="s">
        <v>147</v>
      </c>
      <c r="C658" s="13" t="s">
        <v>146</v>
      </c>
      <c r="D658" s="13">
        <v>2</v>
      </c>
      <c r="E658" s="13">
        <v>2210</v>
      </c>
      <c r="F658" s="71" t="s">
        <v>1562</v>
      </c>
      <c r="G658" s="71" t="s">
        <v>1563</v>
      </c>
      <c r="H658" s="13" t="s">
        <v>1564</v>
      </c>
      <c r="I658" s="13" t="s">
        <v>55</v>
      </c>
      <c r="J658" s="28">
        <v>0</v>
      </c>
      <c r="K658" s="13" t="s">
        <v>150</v>
      </c>
      <c r="L658" s="13" t="s">
        <v>53</v>
      </c>
      <c r="M658" s="13">
        <v>5</v>
      </c>
      <c r="O658" s="13">
        <v>1</v>
      </c>
      <c r="P658" s="13">
        <v>2</v>
      </c>
      <c r="Q658" s="13">
        <v>5</v>
      </c>
      <c r="R658" s="13" t="s">
        <v>73</v>
      </c>
      <c r="S658" s="13" t="s">
        <v>73</v>
      </c>
      <c r="T658" s="13">
        <v>44901</v>
      </c>
      <c r="U658" s="13">
        <v>2958465</v>
      </c>
      <c r="V658" s="13" t="s">
        <v>282</v>
      </c>
      <c r="W658" s="13" t="s">
        <v>145</v>
      </c>
      <c r="Y658" s="13" t="s">
        <v>143</v>
      </c>
      <c r="Z658" s="13">
        <v>7589154</v>
      </c>
      <c r="AA658" s="13">
        <v>1210</v>
      </c>
      <c r="AB658" s="13">
        <v>605</v>
      </c>
      <c r="AE658" s="51">
        <f>M658/O658</f>
        <v>5</v>
      </c>
      <c r="AG658" s="6" t="str">
        <f>C658</f>
        <v>90MB1BJ0-C1BAY0</v>
      </c>
      <c r="AH658" s="6" t="str">
        <f>IF($D658&lt;=AH$4,"",IF(AND($D657=AH$4,$D658&gt;AH$4),$F657,AH657))</f>
        <v>59MB1BJB-MB0A02S</v>
      </c>
      <c r="AI658" s="6" t="str">
        <f>IF($D658&lt;=AI$4,"",IF(AND($D657=AI$4,$D658&gt;AI$4),$F657,AI657))</f>
        <v/>
      </c>
      <c r="AJ658" s="6" t="str">
        <f>IF($D658&lt;=AJ$4,"",IF(AND($D657=AJ$4,$D658&gt;AJ$4),$F657,AJ657))</f>
        <v/>
      </c>
      <c r="AK658" s="6" t="str">
        <f>IF($D658&lt;=AK$4,"",IF(AND($D657=AK$4,$D658&gt;AK$4),$F657,AK657))</f>
        <v/>
      </c>
      <c r="AL658" s="6" t="str">
        <f>IF($D658&lt;=AL$4,"",IF(AND($D657=AL$4,$D658&gt;AL$4),$F657,AL657))</f>
        <v/>
      </c>
      <c r="AM658" s="6" t="str">
        <f>IF($D658&lt;=AM$4,"",IF(AND($D657=AM$4,$D658&gt;AM$4),$F657,AM657))</f>
        <v/>
      </c>
      <c r="AN658" s="6" t="str">
        <f>IF($D658&lt;=AN$4,"",IF(AND($D657=AN$4,$D658&gt;AN$4),$F657,AN657))</f>
        <v/>
      </c>
      <c r="AO658" s="6" t="str">
        <f>CONCATENATE(AG658," | ",AH658," | ",AI658," | ",AJ658," | ",AK658," | ",AL658," | ",AM658," | ",AN658)</f>
        <v xml:space="preserve">90MB1BJ0-C1BAY0 | 59MB1BJB-MB0A02S |  |  |  |  |  | </v>
      </c>
      <c r="AP658" s="6">
        <f>IF(TRIM(H658)="",100,J658)</f>
        <v>0</v>
      </c>
      <c r="AQ658" s="4"/>
      <c r="AR658" s="6" t="b">
        <f>NOT(TRIM(W658)&lt;&gt;"F")</f>
        <v>1</v>
      </c>
      <c r="AS658" s="6" t="str">
        <f>$B658&amp;" | "&amp;$AO658&amp;" | "&amp;IF(TRIM(H658)="","uniq"&amp;ROW(),TRIM(H658))</f>
        <v>461E | 90MB1BJ0-C1BAY0 | 59MB1BJB-MB0A02S |  |  |  |  |  |  | M1</v>
      </c>
      <c r="AT658" s="63">
        <f>IF(NOT(AR658),IF(TRIM($H658)="","Assembly","Phantom Alt"),VLOOKUP(F658,ZPCS04!B:G,6,0))</f>
        <v>993</v>
      </c>
      <c r="AU658" s="7"/>
      <c r="AV658" s="38">
        <f ca="1">IF(TRIM($W658)="F",OFFSET($A$5,MATCH($AS658,$AS$5:$AS658,0)-1,0),$A658)</f>
        <v>661</v>
      </c>
      <c r="AW658" s="38">
        <f ca="1">IFERROR(OFFSET(ZPCS04!$A$1,MATCH(F658,ZPCS04!B:B,0)-1,0),100)</f>
        <v>2</v>
      </c>
      <c r="AX658" s="7"/>
      <c r="AY658" s="6" t="b">
        <f>SUMIF(AS:AS,AS658,AP:AP)=100</f>
        <v>1</v>
      </c>
      <c r="AZ658" s="6" t="b">
        <f>SUMIF(AS:AS,AS658,AE:AE)/COUNTIF(AS:AS,AS658)=AE658</f>
        <v>1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>C658&amp;" | "&amp;F658</f>
        <v>90MB1BJ0-C1BAY0 | 11203-0186Q000</v>
      </c>
      <c r="BE658" s="55" t="str">
        <f ca="1">C658&amp;" | "&amp;OFFSET($AF658,0,8-COUNTBLANK($AG658:$AN658))</f>
        <v>90MB1BJ0-C1BAY0 | 59MB1BJB-MB0A02S</v>
      </c>
      <c r="BF658" s="57">
        <f ca="1">IFERROR(VLOOKUP($BE658,$BD$5:$BF657,3,0)*$AE658,VLOOKUP($C658,Demanda!$A:$B,2,0)*$AE658)*IF(AT658="Phantom Alt",$BC658,TRUE)</f>
        <v>5000</v>
      </c>
      <c r="BG658" s="57">
        <f ca="1">BF658*(AP658/100)</f>
        <v>0</v>
      </c>
      <c r="BH658" s="57">
        <f>SUMIF(Invoice!A:A,F658,Invoice!B:B)</f>
        <v>0</v>
      </c>
      <c r="BI658" s="57">
        <f ca="1">SUMIF(AS:AS,AS658,BG:BG)</f>
        <v>5000</v>
      </c>
      <c r="BJ658" s="57">
        <f ca="1">MIN((BI658-SUMIF($AS$5:AS657,AS658,$BJ$5:BJ657)),MAX(0,BH658-SUMIF($F$5:F657,F658,$BJ$5:BJ657)))</f>
        <v>0</v>
      </c>
      <c r="BK658" s="57">
        <f ca="1">(-SUMIF(AS:AS,AS658,BG:BG)+SUMIF(AS:AS,AS658,BJ:BJ))*(AP658=100)*AR658</f>
        <v>0</v>
      </c>
      <c r="BL658" s="57">
        <f ca="1">MAX(0,SUMIF(Invoice!A:A,F658,Invoice!B:B)-SUMIF(F:F,F658,BJ:BJ))*(COUNTIF(F:F,F658)=COUNTIF($F$5:F658,F658))</f>
        <v>0</v>
      </c>
    </row>
    <row r="659" spans="1:64" hidden="1">
      <c r="A659" s="43">
        <v>658</v>
      </c>
      <c r="B659" s="13" t="s">
        <v>147</v>
      </c>
      <c r="C659" s="13" t="s">
        <v>146</v>
      </c>
      <c r="D659" s="13">
        <v>2</v>
      </c>
      <c r="E659" s="13">
        <v>2210</v>
      </c>
      <c r="F659" s="71" t="s">
        <v>1565</v>
      </c>
      <c r="G659" s="71" t="s">
        <v>1566</v>
      </c>
      <c r="H659" s="13" t="s">
        <v>1564</v>
      </c>
      <c r="I659" s="13" t="s">
        <v>55</v>
      </c>
      <c r="J659" s="28">
        <v>0</v>
      </c>
      <c r="K659" s="13" t="s">
        <v>1428</v>
      </c>
      <c r="L659" s="13" t="s">
        <v>53</v>
      </c>
      <c r="M659" s="13">
        <v>5</v>
      </c>
      <c r="O659" s="13">
        <v>1</v>
      </c>
      <c r="P659" s="13">
        <v>2</v>
      </c>
      <c r="Q659" s="13">
        <v>4</v>
      </c>
      <c r="R659" s="13" t="s">
        <v>122</v>
      </c>
      <c r="S659" s="13" t="s">
        <v>122</v>
      </c>
      <c r="T659" s="13">
        <v>44901</v>
      </c>
      <c r="U659" s="13">
        <v>2958465</v>
      </c>
      <c r="V659" s="13" t="s">
        <v>282</v>
      </c>
      <c r="W659" s="13" t="s">
        <v>145</v>
      </c>
      <c r="Y659" s="13" t="s">
        <v>143</v>
      </c>
      <c r="Z659" s="13">
        <v>7589154</v>
      </c>
      <c r="AA659" s="13">
        <v>1208</v>
      </c>
      <c r="AB659" s="13">
        <v>604</v>
      </c>
      <c r="AE659" s="51">
        <f>M659/O659</f>
        <v>5</v>
      </c>
      <c r="AG659" s="6" t="str">
        <f>C659</f>
        <v>90MB1BJ0-C1BAY0</v>
      </c>
      <c r="AH659" s="6" t="str">
        <f>IF($D659&lt;=AH$4,"",IF(AND($D658=AH$4,$D659&gt;AH$4),$F658,AH658))</f>
        <v>59MB1BJB-MB0A02S</v>
      </c>
      <c r="AI659" s="6" t="str">
        <f>IF($D659&lt;=AI$4,"",IF(AND($D658=AI$4,$D659&gt;AI$4),$F658,AI658))</f>
        <v/>
      </c>
      <c r="AJ659" s="6" t="str">
        <f>IF($D659&lt;=AJ$4,"",IF(AND($D658=AJ$4,$D659&gt;AJ$4),$F658,AJ658))</f>
        <v/>
      </c>
      <c r="AK659" s="6" t="str">
        <f>IF($D659&lt;=AK$4,"",IF(AND($D658=AK$4,$D659&gt;AK$4),$F658,AK658))</f>
        <v/>
      </c>
      <c r="AL659" s="6" t="str">
        <f>IF($D659&lt;=AL$4,"",IF(AND($D658=AL$4,$D659&gt;AL$4),$F658,AL658))</f>
        <v/>
      </c>
      <c r="AM659" s="6" t="str">
        <f>IF($D659&lt;=AM$4,"",IF(AND($D658=AM$4,$D659&gt;AM$4),$F658,AM658))</f>
        <v/>
      </c>
      <c r="AN659" s="6" t="str">
        <f>IF($D659&lt;=AN$4,"",IF(AND($D658=AN$4,$D659&gt;AN$4),$F658,AN658))</f>
        <v/>
      </c>
      <c r="AO659" s="6" t="str">
        <f>CONCATENATE(AG659," | ",AH659," | ",AI659," | ",AJ659," | ",AK659," | ",AL659," | ",AM659," | ",AN659)</f>
        <v xml:space="preserve">90MB1BJ0-C1BAY0 | 59MB1BJB-MB0A02S |  |  |  |  |  | </v>
      </c>
      <c r="AP659" s="6">
        <f>IF(TRIM(H659)="",100,J659)</f>
        <v>0</v>
      </c>
      <c r="AQ659" s="4"/>
      <c r="AR659" s="6" t="b">
        <f>NOT(TRIM(W659)&lt;&gt;"F")</f>
        <v>1</v>
      </c>
      <c r="AS659" s="6" t="str">
        <f>$B659&amp;" | "&amp;$AO659&amp;" | "&amp;IF(TRIM(H659)="","uniq"&amp;ROW(),TRIM(H659))</f>
        <v>461E | 90MB1BJ0-C1BAY0 | 59MB1BJB-MB0A02S |  |  |  |  |  |  | M1</v>
      </c>
      <c r="AT659" s="63">
        <f>IF(NOT(AR659),IF(TRIM($H659)="","Assembly","Phantom Alt"),VLOOKUP(F659,ZPCS04!B:G,6,0))</f>
        <v>993</v>
      </c>
      <c r="AU659" s="7"/>
      <c r="AV659" s="38">
        <f ca="1">IF(TRIM($W659)="F",OFFSET($A$5,MATCH($AS659,$AS$5:$AS659,0)-1,0),$A659)</f>
        <v>661</v>
      </c>
      <c r="AW659" s="38">
        <f ca="1">IFERROR(OFFSET(ZPCS04!$A$1,MATCH(F659,ZPCS04!B:B,0)-1,0),100)</f>
        <v>2</v>
      </c>
      <c r="AX659" s="7"/>
      <c r="AY659" s="6" t="b">
        <f>SUMIF(AS:AS,AS659,AP:AP)=100</f>
        <v>1</v>
      </c>
      <c r="AZ659" s="6" t="b">
        <f>SUMIF(AS:AS,AS659,AE:AE)/COUNTIF(AS:AS,AS659)=AE659</f>
        <v>1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>C659&amp;" | "&amp;F659</f>
        <v>90MB1BJ0-C1BAY0 | 11G232110214070</v>
      </c>
      <c r="BE659" s="55" t="str">
        <f ca="1">C659&amp;" | "&amp;OFFSET($AF659,0,8-COUNTBLANK($AG659:$AN659))</f>
        <v>90MB1BJ0-C1BAY0 | 59MB1BJB-MB0A02S</v>
      </c>
      <c r="BF659" s="57">
        <f ca="1">IFERROR(VLOOKUP($BE659,$BD$5:$BF658,3,0)*$AE659,VLOOKUP($C659,Demanda!$A:$B,2,0)*$AE659)*IF(AT659="Phantom Alt",$BC659,TRUE)</f>
        <v>5000</v>
      </c>
      <c r="BG659" s="57">
        <f ca="1">BF659*(AP659/100)</f>
        <v>0</v>
      </c>
      <c r="BH659" s="57">
        <f>SUMIF(Invoice!A:A,F659,Invoice!B:B)</f>
        <v>0</v>
      </c>
      <c r="BI659" s="57">
        <f ca="1">SUMIF(AS:AS,AS659,BG:BG)</f>
        <v>5000</v>
      </c>
      <c r="BJ659" s="57">
        <f ca="1">MIN((BI659-SUMIF($AS$5:AS658,AS659,$BJ$5:BJ658)),MAX(0,BH659-SUMIF($F$5:F658,F659,$BJ$5:BJ658)))</f>
        <v>0</v>
      </c>
      <c r="BK659" s="57">
        <f ca="1">(-SUMIF(AS:AS,AS659,BG:BG)+SUMIF(AS:AS,AS659,BJ:BJ))*(AP659=100)*AR659</f>
        <v>0</v>
      </c>
      <c r="BL659" s="57">
        <f ca="1">MAX(0,SUMIF(Invoice!A:A,F659,Invoice!B:B)-SUMIF(F:F,F659,BJ:BJ))*(COUNTIF(F:F,F659)=COUNTIF($F$5:F659,F659))</f>
        <v>0</v>
      </c>
    </row>
    <row r="660" spans="1:64" hidden="1">
      <c r="A660" s="43">
        <v>659</v>
      </c>
      <c r="B660" s="13" t="s">
        <v>147</v>
      </c>
      <c r="C660" s="13" t="s">
        <v>146</v>
      </c>
      <c r="D660" s="13">
        <v>2</v>
      </c>
      <c r="E660" s="13">
        <v>2210</v>
      </c>
      <c r="F660" s="71" t="s">
        <v>1567</v>
      </c>
      <c r="G660" s="71" t="s">
        <v>1566</v>
      </c>
      <c r="H660" s="13" t="s">
        <v>1564</v>
      </c>
      <c r="I660" s="13" t="s">
        <v>55</v>
      </c>
      <c r="J660" s="28">
        <v>0</v>
      </c>
      <c r="K660" s="13" t="s">
        <v>1428</v>
      </c>
      <c r="L660" s="13" t="s">
        <v>53</v>
      </c>
      <c r="M660" s="13">
        <v>5</v>
      </c>
      <c r="O660" s="13">
        <v>1</v>
      </c>
      <c r="P660" s="13">
        <v>2</v>
      </c>
      <c r="Q660" s="13">
        <v>2</v>
      </c>
      <c r="R660" s="13" t="s">
        <v>122</v>
      </c>
      <c r="S660" s="13" t="s">
        <v>122</v>
      </c>
      <c r="T660" s="13">
        <v>44901</v>
      </c>
      <c r="U660" s="13">
        <v>2958465</v>
      </c>
      <c r="V660" s="13" t="s">
        <v>282</v>
      </c>
      <c r="W660" s="13" t="s">
        <v>145</v>
      </c>
      <c r="Y660" s="13" t="s">
        <v>143</v>
      </c>
      <c r="Z660" s="13">
        <v>7589154</v>
      </c>
      <c r="AA660" s="13">
        <v>1204</v>
      </c>
      <c r="AB660" s="13">
        <v>602</v>
      </c>
      <c r="AE660" s="51">
        <f>M660/O660</f>
        <v>5</v>
      </c>
      <c r="AG660" s="6" t="str">
        <f>C660</f>
        <v>90MB1BJ0-C1BAY0</v>
      </c>
      <c r="AH660" s="6" t="str">
        <f>IF($D660&lt;=AH$4,"",IF(AND($D659=AH$4,$D660&gt;AH$4),$F659,AH659))</f>
        <v>59MB1BJB-MB0A02S</v>
      </c>
      <c r="AI660" s="6" t="str">
        <f>IF($D660&lt;=AI$4,"",IF(AND($D659=AI$4,$D660&gt;AI$4),$F659,AI659))</f>
        <v/>
      </c>
      <c r="AJ660" s="6" t="str">
        <f>IF($D660&lt;=AJ$4,"",IF(AND($D659=AJ$4,$D660&gt;AJ$4),$F659,AJ659))</f>
        <v/>
      </c>
      <c r="AK660" s="6" t="str">
        <f>IF($D660&lt;=AK$4,"",IF(AND($D659=AK$4,$D660&gt;AK$4),$F659,AK659))</f>
        <v/>
      </c>
      <c r="AL660" s="6" t="str">
        <f>IF($D660&lt;=AL$4,"",IF(AND($D659=AL$4,$D660&gt;AL$4),$F659,AL659))</f>
        <v/>
      </c>
      <c r="AM660" s="6" t="str">
        <f>IF($D660&lt;=AM$4,"",IF(AND($D659=AM$4,$D660&gt;AM$4),$F659,AM659))</f>
        <v/>
      </c>
      <c r="AN660" s="6" t="str">
        <f>IF($D660&lt;=AN$4,"",IF(AND($D659=AN$4,$D660&gt;AN$4),$F659,AN659))</f>
        <v/>
      </c>
      <c r="AO660" s="6" t="str">
        <f>CONCATENATE(AG660," | ",AH660," | ",AI660," | ",AJ660," | ",AK660," | ",AL660," | ",AM660," | ",AN660)</f>
        <v xml:space="preserve">90MB1BJ0-C1BAY0 | 59MB1BJB-MB0A02S |  |  |  |  |  | </v>
      </c>
      <c r="AP660" s="6">
        <f>IF(TRIM(H660)="",100,J660)</f>
        <v>0</v>
      </c>
      <c r="AQ660" s="4"/>
      <c r="AR660" s="6" t="b">
        <f>NOT(TRIM(W660)&lt;&gt;"F")</f>
        <v>1</v>
      </c>
      <c r="AS660" s="6" t="str">
        <f>$B660&amp;" | "&amp;$AO660&amp;" | "&amp;IF(TRIM(H660)="","uniq"&amp;ROW(),TRIM(H660))</f>
        <v>461E | 90MB1BJ0-C1BAY0 | 59MB1BJB-MB0A02S |  |  |  |  |  |  | M1</v>
      </c>
      <c r="AT660" s="63">
        <f>IF(NOT(AR660),IF(TRIM($H660)="","Assembly","Phantom Alt"),VLOOKUP(F660,ZPCS04!B:G,6,0))</f>
        <v>993</v>
      </c>
      <c r="AU660" s="7"/>
      <c r="AV660" s="38">
        <f ca="1">IF(TRIM($W660)="F",OFFSET($A$5,MATCH($AS660,$AS$5:$AS660,0)-1,0),$A660)</f>
        <v>661</v>
      </c>
      <c r="AW660" s="38">
        <f ca="1">IFERROR(OFFSET(ZPCS04!$A$1,MATCH(F660,ZPCS04!B:B,0)-1,0),100)</f>
        <v>2</v>
      </c>
      <c r="AX660" s="7"/>
      <c r="AY660" s="6" t="b">
        <f>SUMIF(AS:AS,AS660,AP:AP)=100</f>
        <v>1</v>
      </c>
      <c r="AZ660" s="6" t="b">
        <f>SUMIF(AS:AS,AS660,AE:AE)/COUNTIF(AS:AS,AS660)=AE660</f>
        <v>1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>C660&amp;" | "&amp;F660</f>
        <v>90MB1BJ0-C1BAY0 | 11G232110214150</v>
      </c>
      <c r="BE660" s="55" t="str">
        <f ca="1">C660&amp;" | "&amp;OFFSET($AF660,0,8-COUNTBLANK($AG660:$AN660))</f>
        <v>90MB1BJ0-C1BAY0 | 59MB1BJB-MB0A02S</v>
      </c>
      <c r="BF660" s="57">
        <f ca="1">IFERROR(VLOOKUP($BE660,$BD$5:$BF659,3,0)*$AE660,VLOOKUP($C660,Demanda!$A:$B,2,0)*$AE660)*IF(AT660="Phantom Alt",$BC660,TRUE)</f>
        <v>5000</v>
      </c>
      <c r="BG660" s="57">
        <f ca="1">BF660*(AP660/100)</f>
        <v>0</v>
      </c>
      <c r="BH660" s="57">
        <f>SUMIF(Invoice!A:A,F660,Invoice!B:B)</f>
        <v>0</v>
      </c>
      <c r="BI660" s="57">
        <f ca="1">SUMIF(AS:AS,AS660,BG:BG)</f>
        <v>5000</v>
      </c>
      <c r="BJ660" s="57">
        <f ca="1">MIN((BI660-SUMIF($AS$5:AS659,AS660,$BJ$5:BJ659)),MAX(0,BH660-SUMIF($F$5:F659,F660,$BJ$5:BJ659)))</f>
        <v>0</v>
      </c>
      <c r="BK660" s="57">
        <f ca="1">(-SUMIF(AS:AS,AS660,BG:BG)+SUMIF(AS:AS,AS660,BJ:BJ))*(AP660=100)*AR660</f>
        <v>0</v>
      </c>
      <c r="BL660" s="57">
        <f ca="1">MAX(0,SUMIF(Invoice!A:A,F660,Invoice!B:B)-SUMIF(F:F,F660,BJ:BJ))*(COUNTIF(F:F,F660)=COUNTIF($F$5:F660,F660))</f>
        <v>0</v>
      </c>
    </row>
    <row r="661" spans="1:64" hidden="1">
      <c r="A661" s="43">
        <v>660</v>
      </c>
      <c r="B661" s="13" t="s">
        <v>147</v>
      </c>
      <c r="C661" s="13" t="s">
        <v>146</v>
      </c>
      <c r="D661" s="13">
        <v>2</v>
      </c>
      <c r="E661" s="13">
        <v>2210</v>
      </c>
      <c r="F661" s="71" t="s">
        <v>1568</v>
      </c>
      <c r="G661" s="71" t="s">
        <v>1566</v>
      </c>
      <c r="H661" s="13" t="s">
        <v>1564</v>
      </c>
      <c r="I661" s="13" t="s">
        <v>55</v>
      </c>
      <c r="J661" s="28">
        <v>0</v>
      </c>
      <c r="K661" s="13" t="s">
        <v>1428</v>
      </c>
      <c r="L661" s="13" t="s">
        <v>53</v>
      </c>
      <c r="M661" s="13">
        <v>5</v>
      </c>
      <c r="O661" s="13">
        <v>1</v>
      </c>
      <c r="P661" s="13">
        <v>2</v>
      </c>
      <c r="Q661" s="13">
        <v>3</v>
      </c>
      <c r="R661" s="13" t="s">
        <v>122</v>
      </c>
      <c r="S661" s="13" t="s">
        <v>122</v>
      </c>
      <c r="T661" s="13">
        <v>44901</v>
      </c>
      <c r="U661" s="13">
        <v>2958465</v>
      </c>
      <c r="V661" s="13" t="s">
        <v>282</v>
      </c>
      <c r="W661" s="13" t="s">
        <v>145</v>
      </c>
      <c r="Y661" s="13" t="s">
        <v>143</v>
      </c>
      <c r="Z661" s="13">
        <v>7589154</v>
      </c>
      <c r="AA661" s="13">
        <v>1206</v>
      </c>
      <c r="AB661" s="13">
        <v>603</v>
      </c>
      <c r="AE661" s="51">
        <f>M661/O661</f>
        <v>5</v>
      </c>
      <c r="AG661" s="6" t="str">
        <f>C661</f>
        <v>90MB1BJ0-C1BAY0</v>
      </c>
      <c r="AH661" s="6" t="str">
        <f>IF($D661&lt;=AH$4,"",IF(AND($D660=AH$4,$D661&gt;AH$4),$F660,AH660))</f>
        <v>59MB1BJB-MB0A02S</v>
      </c>
      <c r="AI661" s="6" t="str">
        <f>IF($D661&lt;=AI$4,"",IF(AND($D660=AI$4,$D661&gt;AI$4),$F660,AI660))</f>
        <v/>
      </c>
      <c r="AJ661" s="6" t="str">
        <f>IF($D661&lt;=AJ$4,"",IF(AND($D660=AJ$4,$D661&gt;AJ$4),$F660,AJ660))</f>
        <v/>
      </c>
      <c r="AK661" s="6" t="str">
        <f>IF($D661&lt;=AK$4,"",IF(AND($D660=AK$4,$D661&gt;AK$4),$F660,AK660))</f>
        <v/>
      </c>
      <c r="AL661" s="6" t="str">
        <f>IF($D661&lt;=AL$4,"",IF(AND($D660=AL$4,$D661&gt;AL$4),$F660,AL660))</f>
        <v/>
      </c>
      <c r="AM661" s="6" t="str">
        <f>IF($D661&lt;=AM$4,"",IF(AND($D660=AM$4,$D661&gt;AM$4),$F660,AM660))</f>
        <v/>
      </c>
      <c r="AN661" s="6" t="str">
        <f>IF($D661&lt;=AN$4,"",IF(AND($D660=AN$4,$D661&gt;AN$4),$F660,AN660))</f>
        <v/>
      </c>
      <c r="AO661" s="6" t="str">
        <f>CONCATENATE(AG661," | ",AH661," | ",AI661," | ",AJ661," | ",AK661," | ",AL661," | ",AM661," | ",AN661)</f>
        <v xml:space="preserve">90MB1BJ0-C1BAY0 | 59MB1BJB-MB0A02S |  |  |  |  |  | </v>
      </c>
      <c r="AP661" s="6">
        <f>IF(TRIM(H661)="",100,J661)</f>
        <v>0</v>
      </c>
      <c r="AQ661" s="4"/>
      <c r="AR661" s="6" t="b">
        <f>NOT(TRIM(W661)&lt;&gt;"F")</f>
        <v>1</v>
      </c>
      <c r="AS661" s="6" t="str">
        <f>$B661&amp;" | "&amp;$AO661&amp;" | "&amp;IF(TRIM(H661)="","uniq"&amp;ROW(),TRIM(H661))</f>
        <v>461E | 90MB1BJ0-C1BAY0 | 59MB1BJB-MB0A02S |  |  |  |  |  |  | M1</v>
      </c>
      <c r="AT661" s="63">
        <f>IF(NOT(AR661),IF(TRIM($H661)="","Assembly","Phantom Alt"),VLOOKUP(F661,ZPCS04!B:G,6,0))</f>
        <v>993</v>
      </c>
      <c r="AU661" s="7"/>
      <c r="AV661" s="38">
        <f ca="1">IF(TRIM($W661)="F",OFFSET($A$5,MATCH($AS661,$AS$5:$AS661,0)-1,0),$A661)</f>
        <v>661</v>
      </c>
      <c r="AW661" s="38">
        <f ca="1">IFERROR(OFFSET(ZPCS04!$A$1,MATCH(F661,ZPCS04!B:B,0)-1,0),100)</f>
        <v>2</v>
      </c>
      <c r="AX661" s="7"/>
      <c r="AY661" s="6" t="b">
        <f>SUMIF(AS:AS,AS661,AP:AP)=100</f>
        <v>1</v>
      </c>
      <c r="AZ661" s="6" t="b">
        <f>SUMIF(AS:AS,AS661,AE:AE)/COUNTIF(AS:AS,AS661)=AE661</f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>C661&amp;" | "&amp;F661</f>
        <v>90MB1BJ0-C1BAY0 | 11G232110214320</v>
      </c>
      <c r="BE661" s="55" t="str">
        <f ca="1">C661&amp;" | "&amp;OFFSET($AF661,0,8-COUNTBLANK($AG661:$AN661))</f>
        <v>90MB1BJ0-C1BAY0 | 59MB1BJB-MB0A02S</v>
      </c>
      <c r="BF661" s="57">
        <f ca="1">IFERROR(VLOOKUP($BE661,$BD$5:$BF660,3,0)*$AE661,VLOOKUP($C661,Demanda!$A:$B,2,0)*$AE661)*IF(AT661="Phantom Alt",$BC661,TRUE)</f>
        <v>5000</v>
      </c>
      <c r="BG661" s="57">
        <f ca="1">BF661*(AP661/100)</f>
        <v>0</v>
      </c>
      <c r="BH661" s="57">
        <f>SUMIF(Invoice!A:A,F661,Invoice!B:B)</f>
        <v>0</v>
      </c>
      <c r="BI661" s="57">
        <f ca="1">SUMIF(AS:AS,AS661,BG:BG)</f>
        <v>5000</v>
      </c>
      <c r="BJ661" s="57">
        <f ca="1">MIN((BI661-SUMIF($AS$5:AS660,AS661,$BJ$5:BJ660)),MAX(0,BH661-SUMIF($F$5:F660,F661,$BJ$5:BJ660)))</f>
        <v>0</v>
      </c>
      <c r="BK661" s="57">
        <f ca="1">(-SUMIF(AS:AS,AS661,BG:BG)+SUMIF(AS:AS,AS661,BJ:BJ))*(AP661=100)*AR661</f>
        <v>0</v>
      </c>
      <c r="BL661" s="57">
        <f ca="1">MAX(0,SUMIF(Invoice!A:A,F661,Invoice!B:B)-SUMIF(F:F,F661,BJ:BJ))*(COUNTIF(F:F,F661)=COUNTIF($F$5:F661,F661))</f>
        <v>0</v>
      </c>
    </row>
    <row r="662" spans="1:64" hidden="1">
      <c r="A662" s="43">
        <v>666</v>
      </c>
      <c r="B662" s="13" t="s">
        <v>147</v>
      </c>
      <c r="C662" s="13" t="s">
        <v>146</v>
      </c>
      <c r="D662" s="13">
        <v>2</v>
      </c>
      <c r="E662" s="13">
        <v>2220</v>
      </c>
      <c r="F662" s="71" t="s">
        <v>1579</v>
      </c>
      <c r="G662" s="71" t="s">
        <v>1580</v>
      </c>
      <c r="H662" s="13" t="s">
        <v>1572</v>
      </c>
      <c r="I662" s="13" t="s">
        <v>54</v>
      </c>
      <c r="J662" s="28">
        <v>100</v>
      </c>
      <c r="K662" s="13" t="s">
        <v>1428</v>
      </c>
      <c r="L662" s="13" t="s">
        <v>53</v>
      </c>
      <c r="M662" s="13">
        <v>2</v>
      </c>
      <c r="N662" s="13">
        <v>2</v>
      </c>
      <c r="O662" s="13">
        <v>1</v>
      </c>
      <c r="P662" s="13">
        <v>2</v>
      </c>
      <c r="Q662" s="13">
        <v>1</v>
      </c>
      <c r="R662" s="13" t="s">
        <v>122</v>
      </c>
      <c r="S662" s="13" t="s">
        <v>122</v>
      </c>
      <c r="T662" s="13">
        <v>44901</v>
      </c>
      <c r="U662" s="13">
        <v>2958465</v>
      </c>
      <c r="V662" s="13" t="s">
        <v>282</v>
      </c>
      <c r="W662" s="13" t="s">
        <v>145</v>
      </c>
      <c r="Y662" s="13" t="s">
        <v>143</v>
      </c>
      <c r="Z662" s="13">
        <v>7589154</v>
      </c>
      <c r="AA662" s="13">
        <v>1212</v>
      </c>
      <c r="AB662" s="13">
        <v>606</v>
      </c>
      <c r="AE662" s="51">
        <f>M662/O662</f>
        <v>2</v>
      </c>
      <c r="AG662" s="6" t="str">
        <f>C662</f>
        <v>90MB1BJ0-C1BAY0</v>
      </c>
      <c r="AH662" s="6" t="str">
        <f>IF($D662&lt;=AH$4,"",IF(AND($D661=AH$4,$D662&gt;AH$4),$F661,AH661))</f>
        <v>59MB1BJB-MB0A02S</v>
      </c>
      <c r="AI662" s="6" t="str">
        <f>IF($D662&lt;=AI$4,"",IF(AND($D661=AI$4,$D662&gt;AI$4),$F661,AI661))</f>
        <v/>
      </c>
      <c r="AJ662" s="6" t="str">
        <f>IF($D662&lt;=AJ$4,"",IF(AND($D661=AJ$4,$D662&gt;AJ$4),$F661,AJ661))</f>
        <v/>
      </c>
      <c r="AK662" s="6" t="str">
        <f>IF($D662&lt;=AK$4,"",IF(AND($D661=AK$4,$D662&gt;AK$4),$F661,AK661))</f>
        <v/>
      </c>
      <c r="AL662" s="6" t="str">
        <f>IF($D662&lt;=AL$4,"",IF(AND($D661=AL$4,$D662&gt;AL$4),$F661,AL661))</f>
        <v/>
      </c>
      <c r="AM662" s="6" t="str">
        <f>IF($D662&lt;=AM$4,"",IF(AND($D661=AM$4,$D662&gt;AM$4),$F661,AM661))</f>
        <v/>
      </c>
      <c r="AN662" s="6" t="str">
        <f>IF($D662&lt;=AN$4,"",IF(AND($D661=AN$4,$D662&gt;AN$4),$F661,AN661))</f>
        <v/>
      </c>
      <c r="AO662" s="6" t="str">
        <f>CONCATENATE(AG662," | ",AH662," | ",AI662," | ",AJ662," | ",AK662," | ",AL662," | ",AM662," | ",AN662)</f>
        <v xml:space="preserve">90MB1BJ0-C1BAY0 | 59MB1BJB-MB0A02S |  |  |  |  |  | </v>
      </c>
      <c r="AP662" s="6">
        <f>IF(TRIM(H662)="",100,J662)</f>
        <v>100</v>
      </c>
      <c r="AQ662" s="4"/>
      <c r="AR662" s="6" t="b">
        <f>NOT(TRIM(W662)&lt;&gt;"F")</f>
        <v>1</v>
      </c>
      <c r="AS662" s="6" t="str">
        <f>$B662&amp;" | "&amp;$AO662&amp;" | "&amp;IF(TRIM(H662)="","uniq"&amp;ROW(),TRIM(H662))</f>
        <v>461E | 90MB1BJ0-C1BAY0 | 59MB1BJB-MB0A02S |  |  |  |  |  |  | M2</v>
      </c>
      <c r="AT662" s="63">
        <f>IF(NOT(AR662),IF(TRIM($H662)="","Assembly","Phantom Alt"),VLOOKUP(F662,ZPCS04!B:G,6,0))</f>
        <v>750</v>
      </c>
      <c r="AU662" s="7"/>
      <c r="AV662" s="38">
        <f ca="1">IF(TRIM($W662)="F",OFFSET($A$5,MATCH($AS662,$AS$5:$AS662,0)-1,0),$A662)</f>
        <v>666</v>
      </c>
      <c r="AW662" s="38">
        <f ca="1">IFERROR(OFFSET(ZPCS04!$A$1,MATCH(F662,ZPCS04!B:B,0)-1,0),100)</f>
        <v>1.9999999000000002</v>
      </c>
      <c r="AX662" s="7"/>
      <c r="AY662" s="6" t="b">
        <f>SUMIF(AS:AS,AS662,AP:AP)=100</f>
        <v>1</v>
      </c>
      <c r="AZ662" s="6" t="b">
        <f>SUMIF(AS:AS,AS662,AE:AE)/COUNTIF(AS:AS,AS662)=AE662</f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>C662&amp;" | "&amp;F662</f>
        <v>90MB1BJ0-C1BAY0 | 11G232110311390</v>
      </c>
      <c r="BE662" s="55" t="str">
        <f ca="1">C662&amp;" | "&amp;OFFSET($AF662,0,8-COUNTBLANK($AG662:$AN662))</f>
        <v>90MB1BJ0-C1BAY0 | 59MB1BJB-MB0A02S</v>
      </c>
      <c r="BF662" s="57">
        <f ca="1">IFERROR(VLOOKUP($BE662,$BD$5:$BF661,3,0)*$AE662,VLOOKUP($C662,Demanda!$A:$B,2,0)*$AE662)*IF(AT662="Phantom Alt",$BC662,TRUE)</f>
        <v>2000</v>
      </c>
      <c r="BG662" s="57">
        <f ca="1">BF662*(AP662/100)</f>
        <v>2000</v>
      </c>
      <c r="BH662" s="57">
        <f>SUMIF(Invoice!A:A,F662,Invoice!B:B)</f>
        <v>10000</v>
      </c>
      <c r="BI662" s="57">
        <f ca="1">SUMIF(AS:AS,AS662,BG:BG)</f>
        <v>2000</v>
      </c>
      <c r="BJ662" s="57">
        <f ca="1">MIN((BI662-SUMIF($AS$5:AS661,AS662,$BJ$5:BJ661)),MAX(0,BH662-SUMIF($F$5:F661,F662,$BJ$5:BJ661)))</f>
        <v>2000</v>
      </c>
      <c r="BK662" s="57">
        <f ca="1">(-SUMIF(AS:AS,AS662,BG:BG)+SUMIF(AS:AS,AS662,BJ:BJ))*(AP662=100)*AR662</f>
        <v>0</v>
      </c>
      <c r="BL662" s="57">
        <f ca="1">MAX(0,SUMIF(Invoice!A:A,F662,Invoice!B:B)-SUMIF(F:F,F662,BJ:BJ))*(COUNTIF(F:F,F662)=COUNTIF($F$5:F662,F662))</f>
        <v>8000</v>
      </c>
    </row>
    <row r="663" spans="1:64" hidden="1">
      <c r="A663" s="43">
        <v>662</v>
      </c>
      <c r="B663" s="13" t="s">
        <v>147</v>
      </c>
      <c r="C663" s="13" t="s">
        <v>146</v>
      </c>
      <c r="D663" s="13">
        <v>2</v>
      </c>
      <c r="E663" s="13">
        <v>2220</v>
      </c>
      <c r="F663" s="71" t="s">
        <v>1570</v>
      </c>
      <c r="G663" s="71" t="s">
        <v>1571</v>
      </c>
      <c r="H663" s="13" t="s">
        <v>1572</v>
      </c>
      <c r="I663" s="13" t="s">
        <v>55</v>
      </c>
      <c r="J663" s="28">
        <v>0</v>
      </c>
      <c r="K663" s="13" t="s">
        <v>150</v>
      </c>
      <c r="L663" s="13" t="s">
        <v>53</v>
      </c>
      <c r="M663" s="13">
        <v>2</v>
      </c>
      <c r="O663" s="13">
        <v>1</v>
      </c>
      <c r="P663" s="13">
        <v>2</v>
      </c>
      <c r="Q663" s="13">
        <v>4</v>
      </c>
      <c r="R663" s="13" t="s">
        <v>73</v>
      </c>
      <c r="S663" s="13" t="s">
        <v>73</v>
      </c>
      <c r="T663" s="13">
        <v>44901</v>
      </c>
      <c r="U663" s="13">
        <v>2958465</v>
      </c>
      <c r="V663" s="13" t="s">
        <v>282</v>
      </c>
      <c r="W663" s="13" t="s">
        <v>145</v>
      </c>
      <c r="Y663" s="13" t="s">
        <v>143</v>
      </c>
      <c r="Z663" s="13">
        <v>7589154</v>
      </c>
      <c r="AA663" s="13">
        <v>1218</v>
      </c>
      <c r="AB663" s="13">
        <v>609</v>
      </c>
      <c r="AE663" s="51">
        <f>M663/O663</f>
        <v>2</v>
      </c>
      <c r="AG663" s="6" t="str">
        <f>C663</f>
        <v>90MB1BJ0-C1BAY0</v>
      </c>
      <c r="AH663" s="6" t="str">
        <f>IF($D663&lt;=AH$4,"",IF(AND($D662=AH$4,$D663&gt;AH$4),$F662,AH662))</f>
        <v>59MB1BJB-MB0A02S</v>
      </c>
      <c r="AI663" s="6" t="str">
        <f>IF($D663&lt;=AI$4,"",IF(AND($D662=AI$4,$D663&gt;AI$4),$F662,AI662))</f>
        <v/>
      </c>
      <c r="AJ663" s="6" t="str">
        <f>IF($D663&lt;=AJ$4,"",IF(AND($D662=AJ$4,$D663&gt;AJ$4),$F662,AJ662))</f>
        <v/>
      </c>
      <c r="AK663" s="6" t="str">
        <f>IF($D663&lt;=AK$4,"",IF(AND($D662=AK$4,$D663&gt;AK$4),$F662,AK662))</f>
        <v/>
      </c>
      <c r="AL663" s="6" t="str">
        <f>IF($D663&lt;=AL$4,"",IF(AND($D662=AL$4,$D663&gt;AL$4),$F662,AL662))</f>
        <v/>
      </c>
      <c r="AM663" s="6" t="str">
        <f>IF($D663&lt;=AM$4,"",IF(AND($D662=AM$4,$D663&gt;AM$4),$F662,AM662))</f>
        <v/>
      </c>
      <c r="AN663" s="6" t="str">
        <f>IF($D663&lt;=AN$4,"",IF(AND($D662=AN$4,$D663&gt;AN$4),$F662,AN662))</f>
        <v/>
      </c>
      <c r="AO663" s="6" t="str">
        <f>CONCATENATE(AG663," | ",AH663," | ",AI663," | ",AJ663," | ",AK663," | ",AL663," | ",AM663," | ",AN663)</f>
        <v xml:space="preserve">90MB1BJ0-C1BAY0 | 59MB1BJB-MB0A02S |  |  |  |  |  | </v>
      </c>
      <c r="AP663" s="6">
        <f>IF(TRIM(H663)="",100,J663)</f>
        <v>0</v>
      </c>
      <c r="AQ663" s="4"/>
      <c r="AR663" s="6" t="b">
        <f>NOT(TRIM(W663)&lt;&gt;"F")</f>
        <v>1</v>
      </c>
      <c r="AS663" s="6" t="str">
        <f>$B663&amp;" | "&amp;$AO663&amp;" | "&amp;IF(TRIM(H663)="","uniq"&amp;ROW(),TRIM(H663))</f>
        <v>461E | 90MB1BJ0-C1BAY0 | 59MB1BJB-MB0A02S |  |  |  |  |  |  | M2</v>
      </c>
      <c r="AT663" s="63">
        <f>IF(NOT(AR663),IF(TRIM($H663)="","Assembly","Phantom Alt"),VLOOKUP(F663,ZPCS04!B:G,6,0))</f>
        <v>750</v>
      </c>
      <c r="AU663" s="7"/>
      <c r="AV663" s="38">
        <f ca="1">IF(TRIM($W663)="F",OFFSET($A$5,MATCH($AS663,$AS$5:$AS663,0)-1,0),$A663)</f>
        <v>666</v>
      </c>
      <c r="AW663" s="38">
        <f ca="1">IFERROR(OFFSET(ZPCS04!$A$1,MATCH(F663,ZPCS04!B:B,0)-1,0),100)</f>
        <v>2</v>
      </c>
      <c r="AX663" s="7"/>
      <c r="AY663" s="6" t="b">
        <f>SUMIF(AS:AS,AS663,AP:AP)=100</f>
        <v>1</v>
      </c>
      <c r="AZ663" s="6" t="b">
        <f>SUMIF(AS:AS,AS663,AE:AE)/COUNTIF(AS:AS,AS663)=AE663</f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>C663&amp;" | "&amp;F663</f>
        <v>90MB1BJ0-C1BAY0 | 11203-0179Q000</v>
      </c>
      <c r="BE663" s="55" t="str">
        <f ca="1">C663&amp;" | "&amp;OFFSET($AF663,0,8-COUNTBLANK($AG663:$AN663))</f>
        <v>90MB1BJ0-C1BAY0 | 59MB1BJB-MB0A02S</v>
      </c>
      <c r="BF663" s="57">
        <f ca="1">IFERROR(VLOOKUP($BE663,$BD$5:$BF662,3,0)*$AE663,VLOOKUP($C663,Demanda!$A:$B,2,0)*$AE663)*IF(AT663="Phantom Alt",$BC663,TRUE)</f>
        <v>2000</v>
      </c>
      <c r="BG663" s="57">
        <f ca="1">BF663*(AP663/100)</f>
        <v>0</v>
      </c>
      <c r="BH663" s="57">
        <f>SUMIF(Invoice!A:A,F663,Invoice!B:B)</f>
        <v>0</v>
      </c>
      <c r="BI663" s="57">
        <f ca="1">SUMIF(AS:AS,AS663,BG:BG)</f>
        <v>2000</v>
      </c>
      <c r="BJ663" s="57">
        <f ca="1">MIN((BI663-SUMIF($AS$5:AS662,AS663,$BJ$5:BJ662)),MAX(0,BH663-SUMIF($F$5:F662,F663,$BJ$5:BJ662)))</f>
        <v>0</v>
      </c>
      <c r="BK663" s="57">
        <f ca="1">(-SUMIF(AS:AS,AS663,BG:BG)+SUMIF(AS:AS,AS663,BJ:BJ))*(AP663=100)*AR663</f>
        <v>0</v>
      </c>
      <c r="BL663" s="57">
        <f ca="1">MAX(0,SUMIF(Invoice!A:A,F663,Invoice!B:B)-SUMIF(F:F,F663,BJ:BJ))*(COUNTIF(F:F,F663)=COUNTIF($F$5:F663,F663))</f>
        <v>0</v>
      </c>
    </row>
    <row r="664" spans="1:64" hidden="1">
      <c r="A664" s="43">
        <v>663</v>
      </c>
      <c r="B664" s="13" t="s">
        <v>147</v>
      </c>
      <c r="C664" s="13" t="s">
        <v>146</v>
      </c>
      <c r="D664" s="13">
        <v>2</v>
      </c>
      <c r="E664" s="13">
        <v>2220</v>
      </c>
      <c r="F664" s="71" t="s">
        <v>1573</v>
      </c>
      <c r="G664" s="71" t="s">
        <v>1574</v>
      </c>
      <c r="H664" s="13" t="s">
        <v>1572</v>
      </c>
      <c r="I664" s="13" t="s">
        <v>55</v>
      </c>
      <c r="J664" s="28">
        <v>0</v>
      </c>
      <c r="K664" s="13" t="s">
        <v>1428</v>
      </c>
      <c r="L664" s="13" t="s">
        <v>53</v>
      </c>
      <c r="M664" s="13">
        <v>2</v>
      </c>
      <c r="O664" s="13">
        <v>1</v>
      </c>
      <c r="P664" s="13">
        <v>2</v>
      </c>
      <c r="Q664" s="13">
        <v>5</v>
      </c>
      <c r="R664" s="13" t="s">
        <v>122</v>
      </c>
      <c r="S664" s="13" t="s">
        <v>122</v>
      </c>
      <c r="T664" s="13">
        <v>44901</v>
      </c>
      <c r="U664" s="13">
        <v>2958465</v>
      </c>
      <c r="V664" s="13" t="s">
        <v>282</v>
      </c>
      <c r="W664" s="13" t="s">
        <v>145</v>
      </c>
      <c r="Y664" s="13" t="s">
        <v>143</v>
      </c>
      <c r="Z664" s="13">
        <v>7589154</v>
      </c>
      <c r="AA664" s="13">
        <v>1220</v>
      </c>
      <c r="AB664" s="13">
        <v>610</v>
      </c>
      <c r="AE664" s="51">
        <f>M664/O664</f>
        <v>2</v>
      </c>
      <c r="AG664" s="6" t="str">
        <f>C664</f>
        <v>90MB1BJ0-C1BAY0</v>
      </c>
      <c r="AH664" s="6" t="str">
        <f>IF($D664&lt;=AH$4,"",IF(AND($D663=AH$4,$D664&gt;AH$4),$F663,AH663))</f>
        <v>59MB1BJB-MB0A02S</v>
      </c>
      <c r="AI664" s="6" t="str">
        <f>IF($D664&lt;=AI$4,"",IF(AND($D663=AI$4,$D664&gt;AI$4),$F663,AI663))</f>
        <v/>
      </c>
      <c r="AJ664" s="6" t="str">
        <f>IF($D664&lt;=AJ$4,"",IF(AND($D663=AJ$4,$D664&gt;AJ$4),$F663,AJ663))</f>
        <v/>
      </c>
      <c r="AK664" s="6" t="str">
        <f>IF($D664&lt;=AK$4,"",IF(AND($D663=AK$4,$D664&gt;AK$4),$F663,AK663))</f>
        <v/>
      </c>
      <c r="AL664" s="6" t="str">
        <f>IF($D664&lt;=AL$4,"",IF(AND($D663=AL$4,$D664&gt;AL$4),$F663,AL663))</f>
        <v/>
      </c>
      <c r="AM664" s="6" t="str">
        <f>IF($D664&lt;=AM$4,"",IF(AND($D663=AM$4,$D664&gt;AM$4),$F663,AM663))</f>
        <v/>
      </c>
      <c r="AN664" s="6" t="str">
        <f>IF($D664&lt;=AN$4,"",IF(AND($D663=AN$4,$D664&gt;AN$4),$F663,AN663))</f>
        <v/>
      </c>
      <c r="AO664" s="6" t="str">
        <f>CONCATENATE(AG664," | ",AH664," | ",AI664," | ",AJ664," | ",AK664," | ",AL664," | ",AM664," | ",AN664)</f>
        <v xml:space="preserve">90MB1BJ0-C1BAY0 | 59MB1BJB-MB0A02S |  |  |  |  |  | </v>
      </c>
      <c r="AP664" s="6">
        <f>IF(TRIM(H664)="",100,J664)</f>
        <v>0</v>
      </c>
      <c r="AQ664" s="4"/>
      <c r="AR664" s="6" t="b">
        <f>NOT(TRIM(W664)&lt;&gt;"F")</f>
        <v>1</v>
      </c>
      <c r="AS664" s="6" t="str">
        <f>$B664&amp;" | "&amp;$AO664&amp;" | "&amp;IF(TRIM(H664)="","uniq"&amp;ROW(),TRIM(H664))</f>
        <v>461E | 90MB1BJ0-C1BAY0 | 59MB1BJB-MB0A02S |  |  |  |  |  |  | M2</v>
      </c>
      <c r="AT664" s="63">
        <f>IF(NOT(AR664),IF(TRIM($H664)="","Assembly","Phantom Alt"),VLOOKUP(F664,ZPCS04!B:G,6,0))</f>
        <v>750</v>
      </c>
      <c r="AU664" s="7"/>
      <c r="AV664" s="38">
        <f ca="1">IF(TRIM($W664)="F",OFFSET($A$5,MATCH($AS664,$AS$5:$AS664,0)-1,0),$A664)</f>
        <v>666</v>
      </c>
      <c r="AW664" s="38">
        <f ca="1">IFERROR(OFFSET(ZPCS04!$A$1,MATCH(F664,ZPCS04!B:B,0)-1,0),100)</f>
        <v>2</v>
      </c>
      <c r="AX664" s="7"/>
      <c r="AY664" s="6" t="b">
        <f>SUMIF(AS:AS,AS664,AP:AP)=100</f>
        <v>1</v>
      </c>
      <c r="AZ664" s="6" t="b">
        <f>SUMIF(AS:AS,AS664,AE:AE)/COUNTIF(AS:AS,AS664)=AE664</f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>C664&amp;" | "&amp;F664</f>
        <v>90MB1BJ0-C1BAY0 | 11G232110311070</v>
      </c>
      <c r="BE664" s="55" t="str">
        <f ca="1">C664&amp;" | "&amp;OFFSET($AF664,0,8-COUNTBLANK($AG664:$AN664))</f>
        <v>90MB1BJ0-C1BAY0 | 59MB1BJB-MB0A02S</v>
      </c>
      <c r="BF664" s="57">
        <f ca="1">IFERROR(VLOOKUP($BE664,$BD$5:$BF663,3,0)*$AE664,VLOOKUP($C664,Demanda!$A:$B,2,0)*$AE664)*IF(AT664="Phantom Alt",$BC664,TRUE)</f>
        <v>2000</v>
      </c>
      <c r="BG664" s="57">
        <f ca="1">BF664*(AP664/100)</f>
        <v>0</v>
      </c>
      <c r="BH664" s="57">
        <f>SUMIF(Invoice!A:A,F664,Invoice!B:B)</f>
        <v>0</v>
      </c>
      <c r="BI664" s="57">
        <f ca="1">SUMIF(AS:AS,AS664,BG:BG)</f>
        <v>2000</v>
      </c>
      <c r="BJ664" s="57">
        <f ca="1">MIN((BI664-SUMIF($AS$5:AS663,AS664,$BJ$5:BJ663)),MAX(0,BH664-SUMIF($F$5:F663,F664,$BJ$5:BJ663)))</f>
        <v>0</v>
      </c>
      <c r="BK664" s="57">
        <f ca="1">(-SUMIF(AS:AS,AS664,BG:BG)+SUMIF(AS:AS,AS664,BJ:BJ))*(AP664=100)*AR664</f>
        <v>0</v>
      </c>
      <c r="BL664" s="57">
        <f ca="1">MAX(0,SUMIF(Invoice!A:A,F664,Invoice!B:B)-SUMIF(F:F,F664,BJ:BJ))*(COUNTIF(F:F,F664)=COUNTIF($F$5:F664,F664))</f>
        <v>0</v>
      </c>
    </row>
    <row r="665" spans="1:64" hidden="1">
      <c r="A665" s="43">
        <v>664</v>
      </c>
      <c r="B665" s="13" t="s">
        <v>147</v>
      </c>
      <c r="C665" s="13" t="s">
        <v>146</v>
      </c>
      <c r="D665" s="13">
        <v>2</v>
      </c>
      <c r="E665" s="13">
        <v>2220</v>
      </c>
      <c r="F665" s="71" t="s">
        <v>1575</v>
      </c>
      <c r="G665" s="71" t="s">
        <v>1576</v>
      </c>
      <c r="H665" s="13" t="s">
        <v>1572</v>
      </c>
      <c r="I665" s="13" t="s">
        <v>55</v>
      </c>
      <c r="J665" s="28">
        <v>0</v>
      </c>
      <c r="K665" s="13" t="s">
        <v>1428</v>
      </c>
      <c r="L665" s="13" t="s">
        <v>53</v>
      </c>
      <c r="M665" s="13">
        <v>2</v>
      </c>
      <c r="O665" s="13">
        <v>1</v>
      </c>
      <c r="P665" s="13">
        <v>2</v>
      </c>
      <c r="Q665" s="13">
        <v>2</v>
      </c>
      <c r="R665" s="13" t="s">
        <v>122</v>
      </c>
      <c r="S665" s="13" t="s">
        <v>122</v>
      </c>
      <c r="T665" s="13">
        <v>44901</v>
      </c>
      <c r="U665" s="13">
        <v>2958465</v>
      </c>
      <c r="V665" s="13" t="s">
        <v>282</v>
      </c>
      <c r="W665" s="13" t="s">
        <v>145</v>
      </c>
      <c r="Y665" s="13" t="s">
        <v>143</v>
      </c>
      <c r="Z665" s="13">
        <v>7589154</v>
      </c>
      <c r="AA665" s="13">
        <v>1214</v>
      </c>
      <c r="AB665" s="13">
        <v>607</v>
      </c>
      <c r="AE665" s="51">
        <f>M665/O665</f>
        <v>2</v>
      </c>
      <c r="AG665" s="6" t="str">
        <f>C665</f>
        <v>90MB1BJ0-C1BAY0</v>
      </c>
      <c r="AH665" s="6" t="str">
        <f>IF($D665&lt;=AH$4,"",IF(AND($D664=AH$4,$D665&gt;AH$4),$F664,AH664))</f>
        <v>59MB1BJB-MB0A02S</v>
      </c>
      <c r="AI665" s="6" t="str">
        <f>IF($D665&lt;=AI$4,"",IF(AND($D664=AI$4,$D665&gt;AI$4),$F664,AI664))</f>
        <v/>
      </c>
      <c r="AJ665" s="6" t="str">
        <f>IF($D665&lt;=AJ$4,"",IF(AND($D664=AJ$4,$D665&gt;AJ$4),$F664,AJ664))</f>
        <v/>
      </c>
      <c r="AK665" s="6" t="str">
        <f>IF($D665&lt;=AK$4,"",IF(AND($D664=AK$4,$D665&gt;AK$4),$F664,AK664))</f>
        <v/>
      </c>
      <c r="AL665" s="6" t="str">
        <f>IF($D665&lt;=AL$4,"",IF(AND($D664=AL$4,$D665&gt;AL$4),$F664,AL664))</f>
        <v/>
      </c>
      <c r="AM665" s="6" t="str">
        <f>IF($D665&lt;=AM$4,"",IF(AND($D664=AM$4,$D665&gt;AM$4),$F664,AM664))</f>
        <v/>
      </c>
      <c r="AN665" s="6" t="str">
        <f>IF($D665&lt;=AN$4,"",IF(AND($D664=AN$4,$D665&gt;AN$4),$F664,AN664))</f>
        <v/>
      </c>
      <c r="AO665" s="6" t="str">
        <f>CONCATENATE(AG665," | ",AH665," | ",AI665," | ",AJ665," | ",AK665," | ",AL665," | ",AM665," | ",AN665)</f>
        <v xml:space="preserve">90MB1BJ0-C1BAY0 | 59MB1BJB-MB0A02S |  |  |  |  |  | </v>
      </c>
      <c r="AP665" s="6">
        <f>IF(TRIM(H665)="",100,J665)</f>
        <v>0</v>
      </c>
      <c r="AQ665" s="4"/>
      <c r="AR665" s="6" t="b">
        <f>NOT(TRIM(W665)&lt;&gt;"F")</f>
        <v>1</v>
      </c>
      <c r="AS665" s="6" t="str">
        <f>$B665&amp;" | "&amp;$AO665&amp;" | "&amp;IF(TRIM(H665)="","uniq"&amp;ROW(),TRIM(H665))</f>
        <v>461E | 90MB1BJ0-C1BAY0 | 59MB1BJB-MB0A02S |  |  |  |  |  |  | M2</v>
      </c>
      <c r="AT665" s="63">
        <f>IF(NOT(AR665),IF(TRIM($H665)="","Assembly","Phantom Alt"),VLOOKUP(F665,ZPCS04!B:G,6,0))</f>
        <v>750</v>
      </c>
      <c r="AU665" s="7"/>
      <c r="AV665" s="38">
        <f ca="1">IF(TRIM($W665)="F",OFFSET($A$5,MATCH($AS665,$AS$5:$AS665,0)-1,0),$A665)</f>
        <v>666</v>
      </c>
      <c r="AW665" s="38">
        <f ca="1">IFERROR(OFFSET(ZPCS04!$A$1,MATCH(F665,ZPCS04!B:B,0)-1,0),100)</f>
        <v>2</v>
      </c>
      <c r="AX665" s="7"/>
      <c r="AY665" s="6" t="b">
        <f>SUMIF(AS:AS,AS665,AP:AP)=100</f>
        <v>1</v>
      </c>
      <c r="AZ665" s="6" t="b">
        <f>SUMIF(AS:AS,AS665,AE:AE)/COUNTIF(AS:AS,AS665)=AE665</f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>C665&amp;" | "&amp;F665</f>
        <v>90MB1BJ0-C1BAY0 | 11G232110311150</v>
      </c>
      <c r="BE665" s="55" t="str">
        <f ca="1">C665&amp;" | "&amp;OFFSET($AF665,0,8-COUNTBLANK($AG665:$AN665))</f>
        <v>90MB1BJ0-C1BAY0 | 59MB1BJB-MB0A02S</v>
      </c>
      <c r="BF665" s="57">
        <f ca="1">IFERROR(VLOOKUP($BE665,$BD$5:$BF664,3,0)*$AE665,VLOOKUP($C665,Demanda!$A:$B,2,0)*$AE665)*IF(AT665="Phantom Alt",$BC665,TRUE)</f>
        <v>2000</v>
      </c>
      <c r="BG665" s="57">
        <f ca="1">BF665*(AP665/100)</f>
        <v>0</v>
      </c>
      <c r="BH665" s="57">
        <f>SUMIF(Invoice!A:A,F665,Invoice!B:B)</f>
        <v>0</v>
      </c>
      <c r="BI665" s="57">
        <f ca="1">SUMIF(AS:AS,AS665,BG:BG)</f>
        <v>2000</v>
      </c>
      <c r="BJ665" s="57">
        <f ca="1">MIN((BI665-SUMIF($AS$5:AS664,AS665,$BJ$5:BJ664)),MAX(0,BH665-SUMIF($F$5:F664,F665,$BJ$5:BJ664)))</f>
        <v>0</v>
      </c>
      <c r="BK665" s="57">
        <f ca="1">(-SUMIF(AS:AS,AS665,BG:BG)+SUMIF(AS:AS,AS665,BJ:BJ))*(AP665=100)*AR665</f>
        <v>0</v>
      </c>
      <c r="BL665" s="57">
        <f ca="1">MAX(0,SUMIF(Invoice!A:A,F665,Invoice!B:B)-SUMIF(F:F,F665,BJ:BJ))*(COUNTIF(F:F,F665)=COUNTIF($F$5:F665,F665))</f>
        <v>0</v>
      </c>
    </row>
    <row r="666" spans="1:64" hidden="1">
      <c r="A666" s="43">
        <v>665</v>
      </c>
      <c r="B666" s="13" t="s">
        <v>147</v>
      </c>
      <c r="C666" s="13" t="s">
        <v>146</v>
      </c>
      <c r="D666" s="13">
        <v>2</v>
      </c>
      <c r="E666" s="13">
        <v>2220</v>
      </c>
      <c r="F666" s="71" t="s">
        <v>1577</v>
      </c>
      <c r="G666" s="71" t="s">
        <v>1578</v>
      </c>
      <c r="H666" s="13" t="s">
        <v>1572</v>
      </c>
      <c r="I666" s="13" t="s">
        <v>55</v>
      </c>
      <c r="J666" s="28">
        <v>0</v>
      </c>
      <c r="K666" s="13" t="s">
        <v>1428</v>
      </c>
      <c r="L666" s="13" t="s">
        <v>53</v>
      </c>
      <c r="M666" s="13">
        <v>2</v>
      </c>
      <c r="O666" s="13">
        <v>1</v>
      </c>
      <c r="P666" s="13">
        <v>2</v>
      </c>
      <c r="Q666" s="13">
        <v>3</v>
      </c>
      <c r="R666" s="13" t="s">
        <v>122</v>
      </c>
      <c r="S666" s="13" t="s">
        <v>122</v>
      </c>
      <c r="T666" s="13">
        <v>44901</v>
      </c>
      <c r="U666" s="13">
        <v>2958465</v>
      </c>
      <c r="V666" s="13" t="s">
        <v>282</v>
      </c>
      <c r="W666" s="13" t="s">
        <v>145</v>
      </c>
      <c r="Y666" s="13" t="s">
        <v>143</v>
      </c>
      <c r="Z666" s="13">
        <v>7589154</v>
      </c>
      <c r="AA666" s="13">
        <v>1216</v>
      </c>
      <c r="AB666" s="13">
        <v>608</v>
      </c>
      <c r="AE666" s="51">
        <f>M666/O666</f>
        <v>2</v>
      </c>
      <c r="AG666" s="6" t="str">
        <f>C666</f>
        <v>90MB1BJ0-C1BAY0</v>
      </c>
      <c r="AH666" s="6" t="str">
        <f>IF($D666&lt;=AH$4,"",IF(AND($D665=AH$4,$D666&gt;AH$4),$F665,AH665))</f>
        <v>59MB1BJB-MB0A02S</v>
      </c>
      <c r="AI666" s="6" t="str">
        <f>IF($D666&lt;=AI$4,"",IF(AND($D665=AI$4,$D666&gt;AI$4),$F665,AI665))</f>
        <v/>
      </c>
      <c r="AJ666" s="6" t="str">
        <f>IF($D666&lt;=AJ$4,"",IF(AND($D665=AJ$4,$D666&gt;AJ$4),$F665,AJ665))</f>
        <v/>
      </c>
      <c r="AK666" s="6" t="str">
        <f>IF($D666&lt;=AK$4,"",IF(AND($D665=AK$4,$D666&gt;AK$4),$F665,AK665))</f>
        <v/>
      </c>
      <c r="AL666" s="6" t="str">
        <f>IF($D666&lt;=AL$4,"",IF(AND($D665=AL$4,$D666&gt;AL$4),$F665,AL665))</f>
        <v/>
      </c>
      <c r="AM666" s="6" t="str">
        <f>IF($D666&lt;=AM$4,"",IF(AND($D665=AM$4,$D666&gt;AM$4),$F665,AM665))</f>
        <v/>
      </c>
      <c r="AN666" s="6" t="str">
        <f>IF($D666&lt;=AN$4,"",IF(AND($D665=AN$4,$D666&gt;AN$4),$F665,AN665))</f>
        <v/>
      </c>
      <c r="AO666" s="6" t="str">
        <f>CONCATENATE(AG666," | ",AH666," | ",AI666," | ",AJ666," | ",AK666," | ",AL666," | ",AM666," | ",AN666)</f>
        <v xml:space="preserve">90MB1BJ0-C1BAY0 | 59MB1BJB-MB0A02S |  |  |  |  |  | </v>
      </c>
      <c r="AP666" s="6">
        <f>IF(TRIM(H666)="",100,J666)</f>
        <v>0</v>
      </c>
      <c r="AQ666" s="4"/>
      <c r="AR666" s="6" t="b">
        <f>NOT(TRIM(W666)&lt;&gt;"F")</f>
        <v>1</v>
      </c>
      <c r="AS666" s="6" t="str">
        <f>$B666&amp;" | "&amp;$AO666&amp;" | "&amp;IF(TRIM(H666)="","uniq"&amp;ROW(),TRIM(H666))</f>
        <v>461E | 90MB1BJ0-C1BAY0 | 59MB1BJB-MB0A02S |  |  |  |  |  |  | M2</v>
      </c>
      <c r="AT666" s="63">
        <f>IF(NOT(AR666),IF(TRIM($H666)="","Assembly","Phantom Alt"),VLOOKUP(F666,ZPCS04!B:G,6,0))</f>
        <v>750</v>
      </c>
      <c r="AU666" s="7"/>
      <c r="AV666" s="38">
        <f ca="1">IF(TRIM($W666)="F",OFFSET($A$5,MATCH($AS666,$AS$5:$AS666,0)-1,0),$A666)</f>
        <v>666</v>
      </c>
      <c r="AW666" s="38">
        <f ca="1">IFERROR(OFFSET(ZPCS04!$A$1,MATCH(F666,ZPCS04!B:B,0)-1,0),100)</f>
        <v>2</v>
      </c>
      <c r="AX666" s="7"/>
      <c r="AY666" s="6" t="b">
        <f>SUMIF(AS:AS,AS666,AP:AP)=100</f>
        <v>1</v>
      </c>
      <c r="AZ666" s="6" t="b">
        <f>SUMIF(AS:AS,AS666,AE:AE)/COUNTIF(AS:AS,AS666)=AE666</f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>C666&amp;" | "&amp;F666</f>
        <v>90MB1BJ0-C1BAY0 | 11G232110311320</v>
      </c>
      <c r="BE666" s="55" t="str">
        <f ca="1">C666&amp;" | "&amp;OFFSET($AF666,0,8-COUNTBLANK($AG666:$AN666))</f>
        <v>90MB1BJ0-C1BAY0 | 59MB1BJB-MB0A02S</v>
      </c>
      <c r="BF666" s="57">
        <f ca="1">IFERROR(VLOOKUP($BE666,$BD$5:$BF665,3,0)*$AE666,VLOOKUP($C666,Demanda!$A:$B,2,0)*$AE666)*IF(AT666="Phantom Alt",$BC666,TRUE)</f>
        <v>2000</v>
      </c>
      <c r="BG666" s="57">
        <f ca="1">BF666*(AP666/100)</f>
        <v>0</v>
      </c>
      <c r="BH666" s="57">
        <f>SUMIF(Invoice!A:A,F666,Invoice!B:B)</f>
        <v>0</v>
      </c>
      <c r="BI666" s="57">
        <f ca="1">SUMIF(AS:AS,AS666,BG:BG)</f>
        <v>2000</v>
      </c>
      <c r="BJ666" s="57">
        <f ca="1">MIN((BI666-SUMIF($AS$5:AS665,AS666,$BJ$5:BJ665)),MAX(0,BH666-SUMIF($F$5:F665,F666,$BJ$5:BJ665)))</f>
        <v>0</v>
      </c>
      <c r="BK666" s="57">
        <f ca="1">(-SUMIF(AS:AS,AS666,BG:BG)+SUMIF(AS:AS,AS666,BJ:BJ))*(AP666=100)*AR666</f>
        <v>0</v>
      </c>
      <c r="BL666" s="57">
        <f ca="1">MAX(0,SUMIF(Invoice!A:A,F666,Invoice!B:B)-SUMIF(F:F,F666,BJ:BJ))*(COUNTIF(F:F,F666)=COUNTIF($F$5:F666,F666))</f>
        <v>0</v>
      </c>
    </row>
    <row r="667" spans="1:64" hidden="1">
      <c r="A667" s="43">
        <v>670</v>
      </c>
      <c r="B667" s="13" t="s">
        <v>147</v>
      </c>
      <c r="C667" s="13" t="s">
        <v>146</v>
      </c>
      <c r="D667" s="13">
        <v>2</v>
      </c>
      <c r="E667" s="13">
        <v>2230</v>
      </c>
      <c r="F667" s="71" t="s">
        <v>1588</v>
      </c>
      <c r="G667" s="71" t="s">
        <v>1589</v>
      </c>
      <c r="H667" s="13" t="s">
        <v>1583</v>
      </c>
      <c r="I667" s="13" t="s">
        <v>55</v>
      </c>
      <c r="J667" s="28">
        <v>0</v>
      </c>
      <c r="K667" s="13" t="s">
        <v>1428</v>
      </c>
      <c r="L667" s="13" t="s">
        <v>53</v>
      </c>
      <c r="M667" s="13">
        <v>2</v>
      </c>
      <c r="O667" s="13">
        <v>1</v>
      </c>
      <c r="P667" s="13">
        <v>2</v>
      </c>
      <c r="Q667" s="13">
        <v>2</v>
      </c>
      <c r="R667" s="13" t="s">
        <v>122</v>
      </c>
      <c r="S667" s="13" t="s">
        <v>122</v>
      </c>
      <c r="T667" s="13">
        <v>44901</v>
      </c>
      <c r="U667" s="13">
        <v>2958465</v>
      </c>
      <c r="V667" s="13" t="s">
        <v>282</v>
      </c>
      <c r="W667" s="13" t="s">
        <v>145</v>
      </c>
      <c r="Y667" s="13" t="s">
        <v>143</v>
      </c>
      <c r="Z667" s="13">
        <v>7589154</v>
      </c>
      <c r="AA667" s="13">
        <v>1224</v>
      </c>
      <c r="AB667" s="13">
        <v>612</v>
      </c>
      <c r="AE667" s="51">
        <f>M667/O667</f>
        <v>2</v>
      </c>
      <c r="AG667" s="6" t="str">
        <f>C667</f>
        <v>90MB1BJ0-C1BAY0</v>
      </c>
      <c r="AH667" s="6" t="str">
        <f>IF($D667&lt;=AH$4,"",IF(AND($D666=AH$4,$D667&gt;AH$4),$F666,AH666))</f>
        <v>59MB1BJB-MB0A02S</v>
      </c>
      <c r="AI667" s="6" t="str">
        <f>IF($D667&lt;=AI$4,"",IF(AND($D666=AI$4,$D667&gt;AI$4),$F666,AI666))</f>
        <v/>
      </c>
      <c r="AJ667" s="6" t="str">
        <f>IF($D667&lt;=AJ$4,"",IF(AND($D666=AJ$4,$D667&gt;AJ$4),$F666,AJ666))</f>
        <v/>
      </c>
      <c r="AK667" s="6" t="str">
        <f>IF($D667&lt;=AK$4,"",IF(AND($D666=AK$4,$D667&gt;AK$4),$F666,AK666))</f>
        <v/>
      </c>
      <c r="AL667" s="6" t="str">
        <f>IF($D667&lt;=AL$4,"",IF(AND($D666=AL$4,$D667&gt;AL$4),$F666,AL666))</f>
        <v/>
      </c>
      <c r="AM667" s="6" t="str">
        <f>IF($D667&lt;=AM$4,"",IF(AND($D666=AM$4,$D667&gt;AM$4),$F666,AM666))</f>
        <v/>
      </c>
      <c r="AN667" s="6" t="str">
        <f>IF($D667&lt;=AN$4,"",IF(AND($D666=AN$4,$D667&gt;AN$4),$F666,AN666))</f>
        <v/>
      </c>
      <c r="AO667" s="6" t="str">
        <f>CONCATENATE(AG667," | ",AH667," | ",AI667," | ",AJ667," | ",AK667," | ",AL667," | ",AM667," | ",AN667)</f>
        <v xml:space="preserve">90MB1BJ0-C1BAY0 | 59MB1BJB-MB0A02S |  |  |  |  |  | </v>
      </c>
      <c r="AP667" s="6">
        <f>IF(TRIM(H667)="",100,J667)</f>
        <v>0</v>
      </c>
      <c r="AQ667" s="4"/>
      <c r="AR667" s="6" t="b">
        <f>NOT(TRIM(W667)&lt;&gt;"F")</f>
        <v>1</v>
      </c>
      <c r="AS667" s="6" t="str">
        <f>$B667&amp;" | "&amp;$AO667&amp;" | "&amp;IF(TRIM(H667)="","uniq"&amp;ROW(),TRIM(H667))</f>
        <v>461E | 90MB1BJ0-C1BAY0 | 59MB1BJB-MB0A02S |  |  |  |  |  |  | M3</v>
      </c>
      <c r="AT667" s="63">
        <f>IF(NOT(AR667),IF(TRIM($H667)="","Assembly","Phantom Alt"),VLOOKUP(F667,ZPCS04!B:G,6,0))</f>
        <v>1282</v>
      </c>
      <c r="AU667" s="7"/>
      <c r="AV667" s="38">
        <f ca="1">IF(TRIM($W667)="F",OFFSET($A$5,MATCH($AS667,$AS$5:$AS667,0)-1,0),$A667)</f>
        <v>670</v>
      </c>
      <c r="AW667" s="38">
        <f ca="1">IFERROR(OFFSET(ZPCS04!$A$1,MATCH(F667,ZPCS04!B:B,0)-1,0),100)</f>
        <v>1.9999999000000002</v>
      </c>
      <c r="AX667" s="7"/>
      <c r="AY667" s="6" t="b">
        <f>SUMIF(AS:AS,AS667,AP:AP)=100</f>
        <v>1</v>
      </c>
      <c r="AZ667" s="6" t="b">
        <f>SUMIF(AS:AS,AS667,AE:AE)/COUNTIF(AS:AS,AS667)=AE667</f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>C667&amp;" | "&amp;F667</f>
        <v>90MB1BJ0-C1BAY0 | 11G232110416390</v>
      </c>
      <c r="BE667" s="55" t="str">
        <f ca="1">C667&amp;" | "&amp;OFFSET($AF667,0,8-COUNTBLANK($AG667:$AN667))</f>
        <v>90MB1BJ0-C1BAY0 | 59MB1BJB-MB0A02S</v>
      </c>
      <c r="BF667" s="57">
        <f ca="1">IFERROR(VLOOKUP($BE667,$BD$5:$BF666,3,0)*$AE667,VLOOKUP($C667,Demanda!$A:$B,2,0)*$AE667)*IF(AT667="Phantom Alt",$BC667,TRUE)</f>
        <v>2000</v>
      </c>
      <c r="BG667" s="57">
        <f ca="1">BF667*(AP667/100)</f>
        <v>0</v>
      </c>
      <c r="BH667" s="57">
        <f>SUMIF(Invoice!A:A,F667,Invoice!B:B)</f>
        <v>10000</v>
      </c>
      <c r="BI667" s="57">
        <f ca="1">SUMIF(AS:AS,AS667,BG:BG)</f>
        <v>2000</v>
      </c>
      <c r="BJ667" s="57">
        <f ca="1">MIN((BI667-SUMIF($AS$5:AS666,AS667,$BJ$5:BJ666)),MAX(0,BH667-SUMIF($F$5:F666,F667,$BJ$5:BJ666)))</f>
        <v>2000</v>
      </c>
      <c r="BK667" s="57">
        <f ca="1">(-SUMIF(AS:AS,AS667,BG:BG)+SUMIF(AS:AS,AS667,BJ:BJ))*(AP667=100)*AR667</f>
        <v>0</v>
      </c>
      <c r="BL667" s="57">
        <f ca="1">MAX(0,SUMIF(Invoice!A:A,F667,Invoice!B:B)-SUMIF(F:F,F667,BJ:BJ))*(COUNTIF(F:F,F667)=COUNTIF($F$5:F667,F667))</f>
        <v>8000</v>
      </c>
    </row>
    <row r="668" spans="1:64" hidden="1">
      <c r="A668" s="43">
        <v>667</v>
      </c>
      <c r="B668" s="13" t="s">
        <v>147</v>
      </c>
      <c r="C668" s="13" t="s">
        <v>146</v>
      </c>
      <c r="D668" s="13">
        <v>2</v>
      </c>
      <c r="E668" s="13">
        <v>2230</v>
      </c>
      <c r="F668" s="71" t="s">
        <v>1581</v>
      </c>
      <c r="G668" s="71" t="s">
        <v>1582</v>
      </c>
      <c r="H668" s="13" t="s">
        <v>1583</v>
      </c>
      <c r="I668" s="13" t="s">
        <v>55</v>
      </c>
      <c r="J668" s="28">
        <v>0</v>
      </c>
      <c r="K668" s="13" t="s">
        <v>1428</v>
      </c>
      <c r="L668" s="13" t="s">
        <v>53</v>
      </c>
      <c r="M668" s="13">
        <v>2</v>
      </c>
      <c r="O668" s="13">
        <v>1</v>
      </c>
      <c r="P668" s="13">
        <v>2</v>
      </c>
      <c r="Q668" s="13">
        <v>3</v>
      </c>
      <c r="R668" s="13" t="s">
        <v>122</v>
      </c>
      <c r="S668" s="13" t="s">
        <v>122</v>
      </c>
      <c r="T668" s="13">
        <v>44901</v>
      </c>
      <c r="U668" s="13">
        <v>2958465</v>
      </c>
      <c r="V668" s="13" t="s">
        <v>282</v>
      </c>
      <c r="W668" s="13" t="s">
        <v>145</v>
      </c>
      <c r="Y668" s="13" t="s">
        <v>143</v>
      </c>
      <c r="Z668" s="13">
        <v>7589154</v>
      </c>
      <c r="AA668" s="13">
        <v>1226</v>
      </c>
      <c r="AB668" s="13">
        <v>613</v>
      </c>
      <c r="AE668" s="51">
        <f>M668/O668</f>
        <v>2</v>
      </c>
      <c r="AG668" s="6" t="str">
        <f>C668</f>
        <v>90MB1BJ0-C1BAY0</v>
      </c>
      <c r="AH668" s="6" t="str">
        <f>IF($D668&lt;=AH$4,"",IF(AND($D667=AH$4,$D668&gt;AH$4),$F667,AH667))</f>
        <v>59MB1BJB-MB0A02S</v>
      </c>
      <c r="AI668" s="6" t="str">
        <f>IF($D668&lt;=AI$4,"",IF(AND($D667=AI$4,$D668&gt;AI$4),$F667,AI667))</f>
        <v/>
      </c>
      <c r="AJ668" s="6" t="str">
        <f>IF($D668&lt;=AJ$4,"",IF(AND($D667=AJ$4,$D668&gt;AJ$4),$F667,AJ667))</f>
        <v/>
      </c>
      <c r="AK668" s="6" t="str">
        <f>IF($D668&lt;=AK$4,"",IF(AND($D667=AK$4,$D668&gt;AK$4),$F667,AK667))</f>
        <v/>
      </c>
      <c r="AL668" s="6" t="str">
        <f>IF($D668&lt;=AL$4,"",IF(AND($D667=AL$4,$D668&gt;AL$4),$F667,AL667))</f>
        <v/>
      </c>
      <c r="AM668" s="6" t="str">
        <f>IF($D668&lt;=AM$4,"",IF(AND($D667=AM$4,$D668&gt;AM$4),$F667,AM667))</f>
        <v/>
      </c>
      <c r="AN668" s="6" t="str">
        <f>IF($D668&lt;=AN$4,"",IF(AND($D667=AN$4,$D668&gt;AN$4),$F667,AN667))</f>
        <v/>
      </c>
      <c r="AO668" s="6" t="str">
        <f>CONCATENATE(AG668," | ",AH668," | ",AI668," | ",AJ668," | ",AK668," | ",AL668," | ",AM668," | ",AN668)</f>
        <v xml:space="preserve">90MB1BJ0-C1BAY0 | 59MB1BJB-MB0A02S |  |  |  |  |  | </v>
      </c>
      <c r="AP668" s="6">
        <f>IF(TRIM(H668)="",100,J668)</f>
        <v>0</v>
      </c>
      <c r="AQ668" s="4"/>
      <c r="AR668" s="6" t="b">
        <f>NOT(TRIM(W668)&lt;&gt;"F")</f>
        <v>1</v>
      </c>
      <c r="AS668" s="6" t="str">
        <f>$B668&amp;" | "&amp;$AO668&amp;" | "&amp;IF(TRIM(H668)="","uniq"&amp;ROW(),TRIM(H668))</f>
        <v>461E | 90MB1BJ0-C1BAY0 | 59MB1BJB-MB0A02S |  |  |  |  |  |  | M3</v>
      </c>
      <c r="AT668" s="63">
        <f>IF(NOT(AR668),IF(TRIM($H668)="","Assembly","Phantom Alt"),VLOOKUP(F668,ZPCS04!B:G,6,0))</f>
        <v>1282</v>
      </c>
      <c r="AU668" s="7"/>
      <c r="AV668" s="38">
        <f ca="1">IF(TRIM($W668)="F",OFFSET($A$5,MATCH($AS668,$AS$5:$AS668,0)-1,0),$A668)</f>
        <v>670</v>
      </c>
      <c r="AW668" s="38">
        <f ca="1">IFERROR(OFFSET(ZPCS04!$A$1,MATCH(F668,ZPCS04!B:B,0)-1,0),100)</f>
        <v>2</v>
      </c>
      <c r="AX668" s="7"/>
      <c r="AY668" s="6" t="b">
        <f>SUMIF(AS:AS,AS668,AP:AP)=100</f>
        <v>1</v>
      </c>
      <c r="AZ668" s="6" t="b">
        <f>SUMIF(AS:AS,AS668,AE:AE)/COUNTIF(AS:AS,AS668)=AE668</f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>C668&amp;" | "&amp;F668</f>
        <v>90MB1BJ0-C1BAY0 | 11203-0001F000</v>
      </c>
      <c r="BE668" s="55" t="str">
        <f ca="1">C668&amp;" | "&amp;OFFSET($AF668,0,8-COUNTBLANK($AG668:$AN668))</f>
        <v>90MB1BJ0-C1BAY0 | 59MB1BJB-MB0A02S</v>
      </c>
      <c r="BF668" s="57">
        <f ca="1">IFERROR(VLOOKUP($BE668,$BD$5:$BF667,3,0)*$AE668,VLOOKUP($C668,Demanda!$A:$B,2,0)*$AE668)*IF(AT668="Phantom Alt",$BC668,TRUE)</f>
        <v>2000</v>
      </c>
      <c r="BG668" s="57">
        <f ca="1">BF668*(AP668/100)</f>
        <v>0</v>
      </c>
      <c r="BH668" s="57">
        <f>SUMIF(Invoice!A:A,F668,Invoice!B:B)</f>
        <v>0</v>
      </c>
      <c r="BI668" s="57">
        <f ca="1">SUMIF(AS:AS,AS668,BG:BG)</f>
        <v>2000</v>
      </c>
      <c r="BJ668" s="57">
        <f ca="1">MIN((BI668-SUMIF($AS$5:AS667,AS668,$BJ$5:BJ667)),MAX(0,BH668-SUMIF($F$5:F667,F668,$BJ$5:BJ667)))</f>
        <v>0</v>
      </c>
      <c r="BK668" s="57">
        <f ca="1">(-SUMIF(AS:AS,AS668,BG:BG)+SUMIF(AS:AS,AS668,BJ:BJ))*(AP668=100)*AR668</f>
        <v>0</v>
      </c>
      <c r="BL668" s="57">
        <f ca="1">MAX(0,SUMIF(Invoice!A:A,F668,Invoice!B:B)-SUMIF(F:F,F668,BJ:BJ))*(COUNTIF(F:F,F668)=COUNTIF($F$5:F668,F668))</f>
        <v>0</v>
      </c>
    </row>
    <row r="669" spans="1:64" hidden="1">
      <c r="A669" s="43">
        <v>668</v>
      </c>
      <c r="B669" s="13" t="s">
        <v>147</v>
      </c>
      <c r="C669" s="13" t="s">
        <v>146</v>
      </c>
      <c r="D669" s="13">
        <v>2</v>
      </c>
      <c r="E669" s="13">
        <v>2230</v>
      </c>
      <c r="F669" s="71" t="s">
        <v>1584</v>
      </c>
      <c r="G669" s="71" t="s">
        <v>1585</v>
      </c>
      <c r="H669" s="13" t="s">
        <v>1583</v>
      </c>
      <c r="I669" s="13" t="s">
        <v>54</v>
      </c>
      <c r="J669" s="28">
        <v>100</v>
      </c>
      <c r="K669" s="13" t="s">
        <v>1428</v>
      </c>
      <c r="L669" s="13" t="s">
        <v>53</v>
      </c>
      <c r="M669" s="13">
        <v>2</v>
      </c>
      <c r="N669" s="13">
        <v>2</v>
      </c>
      <c r="O669" s="13">
        <v>1</v>
      </c>
      <c r="P669" s="13">
        <v>2</v>
      </c>
      <c r="Q669" s="13">
        <v>1</v>
      </c>
      <c r="R669" s="13" t="s">
        <v>122</v>
      </c>
      <c r="S669" s="13" t="s">
        <v>122</v>
      </c>
      <c r="T669" s="13">
        <v>44901</v>
      </c>
      <c r="U669" s="13">
        <v>2958465</v>
      </c>
      <c r="V669" s="13" t="s">
        <v>282</v>
      </c>
      <c r="W669" s="13" t="s">
        <v>145</v>
      </c>
      <c r="Y669" s="13" t="s">
        <v>143</v>
      </c>
      <c r="Z669" s="13">
        <v>7589154</v>
      </c>
      <c r="AA669" s="13">
        <v>1222</v>
      </c>
      <c r="AB669" s="13">
        <v>611</v>
      </c>
      <c r="AE669" s="51">
        <f>M669/O669</f>
        <v>2</v>
      </c>
      <c r="AG669" s="6" t="str">
        <f>C669</f>
        <v>90MB1BJ0-C1BAY0</v>
      </c>
      <c r="AH669" s="6" t="str">
        <f>IF($D669&lt;=AH$4,"",IF(AND($D668=AH$4,$D669&gt;AH$4),$F668,AH668))</f>
        <v>59MB1BJB-MB0A02S</v>
      </c>
      <c r="AI669" s="6" t="str">
        <f>IF($D669&lt;=AI$4,"",IF(AND($D668=AI$4,$D669&gt;AI$4),$F668,AI668))</f>
        <v/>
      </c>
      <c r="AJ669" s="6" t="str">
        <f>IF($D669&lt;=AJ$4,"",IF(AND($D668=AJ$4,$D669&gt;AJ$4),$F668,AJ668))</f>
        <v/>
      </c>
      <c r="AK669" s="6" t="str">
        <f>IF($D669&lt;=AK$4,"",IF(AND($D668=AK$4,$D669&gt;AK$4),$F668,AK668))</f>
        <v/>
      </c>
      <c r="AL669" s="6" t="str">
        <f>IF($D669&lt;=AL$4,"",IF(AND($D668=AL$4,$D669&gt;AL$4),$F668,AL668))</f>
        <v/>
      </c>
      <c r="AM669" s="6" t="str">
        <f>IF($D669&lt;=AM$4,"",IF(AND($D668=AM$4,$D669&gt;AM$4),$F668,AM668))</f>
        <v/>
      </c>
      <c r="AN669" s="6" t="str">
        <f>IF($D669&lt;=AN$4,"",IF(AND($D668=AN$4,$D669&gt;AN$4),$F668,AN668))</f>
        <v/>
      </c>
      <c r="AO669" s="6" t="str">
        <f>CONCATENATE(AG669," | ",AH669," | ",AI669," | ",AJ669," | ",AK669," | ",AL669," | ",AM669," | ",AN669)</f>
        <v xml:space="preserve">90MB1BJ0-C1BAY0 | 59MB1BJB-MB0A02S |  |  |  |  |  | </v>
      </c>
      <c r="AP669" s="6">
        <f>IF(TRIM(H669)="",100,J669)</f>
        <v>100</v>
      </c>
      <c r="AQ669" s="4"/>
      <c r="AR669" s="6" t="b">
        <f>NOT(TRIM(W669)&lt;&gt;"F")</f>
        <v>1</v>
      </c>
      <c r="AS669" s="6" t="str">
        <f>$B669&amp;" | "&amp;$AO669&amp;" | "&amp;IF(TRIM(H669)="","uniq"&amp;ROW(),TRIM(H669))</f>
        <v>461E | 90MB1BJ0-C1BAY0 | 59MB1BJB-MB0A02S |  |  |  |  |  |  | M3</v>
      </c>
      <c r="AT669" s="63">
        <f>IF(NOT(AR669),IF(TRIM($H669)="","Assembly","Phantom Alt"),VLOOKUP(F669,ZPCS04!B:G,6,0))</f>
        <v>1282</v>
      </c>
      <c r="AU669" s="7"/>
      <c r="AV669" s="38">
        <f ca="1">IF(TRIM($W669)="F",OFFSET($A$5,MATCH($AS669,$AS$5:$AS669,0)-1,0),$A669)</f>
        <v>670</v>
      </c>
      <c r="AW669" s="38">
        <f ca="1">IFERROR(OFFSET(ZPCS04!$A$1,MATCH(F669,ZPCS04!B:B,0)-1,0),100)</f>
        <v>2</v>
      </c>
      <c r="AX669" s="7"/>
      <c r="AY669" s="6" t="b">
        <f>SUMIF(AS:AS,AS669,AP:AP)=100</f>
        <v>1</v>
      </c>
      <c r="AZ669" s="6" t="b">
        <f>SUMIF(AS:AS,AS669,AE:AE)/COUNTIF(AS:AS,AS669)=AE669</f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>C669&amp;" | "&amp;F669</f>
        <v>90MB1BJ0-C1BAY0 | 11G232110416150</v>
      </c>
      <c r="BE669" s="55" t="str">
        <f ca="1">C669&amp;" | "&amp;OFFSET($AF669,0,8-COUNTBLANK($AG669:$AN669))</f>
        <v>90MB1BJ0-C1BAY0 | 59MB1BJB-MB0A02S</v>
      </c>
      <c r="BF669" s="57">
        <f ca="1">IFERROR(VLOOKUP($BE669,$BD$5:$BF668,3,0)*$AE669,VLOOKUP($C669,Demanda!$A:$B,2,0)*$AE669)*IF(AT669="Phantom Alt",$BC669,TRUE)</f>
        <v>2000</v>
      </c>
      <c r="BG669" s="57">
        <f ca="1">BF669*(AP669/100)</f>
        <v>2000</v>
      </c>
      <c r="BH669" s="57">
        <f>SUMIF(Invoice!A:A,F669,Invoice!B:B)</f>
        <v>0</v>
      </c>
      <c r="BI669" s="57">
        <f ca="1">SUMIF(AS:AS,AS669,BG:BG)</f>
        <v>2000</v>
      </c>
      <c r="BJ669" s="57">
        <f ca="1">MIN((BI669-SUMIF($AS$5:AS668,AS669,$BJ$5:BJ668)),MAX(0,BH669-SUMIF($F$5:F668,F669,$BJ$5:BJ668)))</f>
        <v>0</v>
      </c>
      <c r="BK669" s="57">
        <f ca="1">(-SUMIF(AS:AS,AS669,BG:BG)+SUMIF(AS:AS,AS669,BJ:BJ))*(AP669=100)*AR669</f>
        <v>0</v>
      </c>
      <c r="BL669" s="57">
        <f ca="1">MAX(0,SUMIF(Invoice!A:A,F669,Invoice!B:B)-SUMIF(F:F,F669,BJ:BJ))*(COUNTIF(F:F,F669)=COUNTIF($F$5:F669,F669))</f>
        <v>0</v>
      </c>
    </row>
    <row r="670" spans="1:64" hidden="1">
      <c r="A670" s="43">
        <v>669</v>
      </c>
      <c r="B670" s="13" t="s">
        <v>147</v>
      </c>
      <c r="C670" s="13" t="s">
        <v>146</v>
      </c>
      <c r="D670" s="13">
        <v>2</v>
      </c>
      <c r="E670" s="13">
        <v>2230</v>
      </c>
      <c r="F670" s="71" t="s">
        <v>1586</v>
      </c>
      <c r="G670" s="71" t="s">
        <v>1587</v>
      </c>
      <c r="H670" s="13" t="s">
        <v>1583</v>
      </c>
      <c r="I670" s="13" t="s">
        <v>55</v>
      </c>
      <c r="J670" s="28">
        <v>0</v>
      </c>
      <c r="K670" s="13" t="s">
        <v>1428</v>
      </c>
      <c r="L670" s="13" t="s">
        <v>53</v>
      </c>
      <c r="M670" s="13">
        <v>2</v>
      </c>
      <c r="O670" s="13">
        <v>1</v>
      </c>
      <c r="P670" s="13">
        <v>2</v>
      </c>
      <c r="Q670" s="13">
        <v>4</v>
      </c>
      <c r="R670" s="13" t="s">
        <v>122</v>
      </c>
      <c r="S670" s="13" t="s">
        <v>122</v>
      </c>
      <c r="T670" s="13">
        <v>44901</v>
      </c>
      <c r="U670" s="13">
        <v>2958465</v>
      </c>
      <c r="V670" s="13" t="s">
        <v>282</v>
      </c>
      <c r="W670" s="13" t="s">
        <v>145</v>
      </c>
      <c r="Y670" s="13" t="s">
        <v>143</v>
      </c>
      <c r="Z670" s="13">
        <v>7589154</v>
      </c>
      <c r="AA670" s="13">
        <v>1228</v>
      </c>
      <c r="AB670" s="13">
        <v>614</v>
      </c>
      <c r="AE670" s="51">
        <f>M670/O670</f>
        <v>2</v>
      </c>
      <c r="AG670" s="6" t="str">
        <f>C670</f>
        <v>90MB1BJ0-C1BAY0</v>
      </c>
      <c r="AH670" s="6" t="str">
        <f>IF($D670&lt;=AH$4,"",IF(AND($D669=AH$4,$D670&gt;AH$4),$F669,AH669))</f>
        <v>59MB1BJB-MB0A02S</v>
      </c>
      <c r="AI670" s="6" t="str">
        <f>IF($D670&lt;=AI$4,"",IF(AND($D669=AI$4,$D670&gt;AI$4),$F669,AI669))</f>
        <v/>
      </c>
      <c r="AJ670" s="6" t="str">
        <f>IF($D670&lt;=AJ$4,"",IF(AND($D669=AJ$4,$D670&gt;AJ$4),$F669,AJ669))</f>
        <v/>
      </c>
      <c r="AK670" s="6" t="str">
        <f>IF($D670&lt;=AK$4,"",IF(AND($D669=AK$4,$D670&gt;AK$4),$F669,AK669))</f>
        <v/>
      </c>
      <c r="AL670" s="6" t="str">
        <f>IF($D670&lt;=AL$4,"",IF(AND($D669=AL$4,$D670&gt;AL$4),$F669,AL669))</f>
        <v/>
      </c>
      <c r="AM670" s="6" t="str">
        <f>IF($D670&lt;=AM$4,"",IF(AND($D669=AM$4,$D670&gt;AM$4),$F669,AM669))</f>
        <v/>
      </c>
      <c r="AN670" s="6" t="str">
        <f>IF($D670&lt;=AN$4,"",IF(AND($D669=AN$4,$D670&gt;AN$4),$F669,AN669))</f>
        <v/>
      </c>
      <c r="AO670" s="6" t="str">
        <f>CONCATENATE(AG670," | ",AH670," | ",AI670," | ",AJ670," | ",AK670," | ",AL670," | ",AM670," | ",AN670)</f>
        <v xml:space="preserve">90MB1BJ0-C1BAY0 | 59MB1BJB-MB0A02S |  |  |  |  |  | </v>
      </c>
      <c r="AP670" s="6">
        <f>IF(TRIM(H670)="",100,J670)</f>
        <v>0</v>
      </c>
      <c r="AQ670" s="4"/>
      <c r="AR670" s="6" t="b">
        <f>NOT(TRIM(W670)&lt;&gt;"F")</f>
        <v>1</v>
      </c>
      <c r="AS670" s="6" t="str">
        <f>$B670&amp;" | "&amp;$AO670&amp;" | "&amp;IF(TRIM(H670)="","uniq"&amp;ROW(),TRIM(H670))</f>
        <v>461E | 90MB1BJ0-C1BAY0 | 59MB1BJB-MB0A02S |  |  |  |  |  |  | M3</v>
      </c>
      <c r="AT670" s="63">
        <f>IF(NOT(AR670),IF(TRIM($H670)="","Assembly","Phantom Alt"),VLOOKUP(F670,ZPCS04!B:G,6,0))</f>
        <v>1282</v>
      </c>
      <c r="AU670" s="7"/>
      <c r="AV670" s="38">
        <f ca="1">IF(TRIM($W670)="F",OFFSET($A$5,MATCH($AS670,$AS$5:$AS670,0)-1,0),$A670)</f>
        <v>670</v>
      </c>
      <c r="AW670" s="38">
        <f ca="1">IFERROR(OFFSET(ZPCS04!$A$1,MATCH(F670,ZPCS04!B:B,0)-1,0),100)</f>
        <v>2</v>
      </c>
      <c r="AX670" s="7"/>
      <c r="AY670" s="6" t="b">
        <f>SUMIF(AS:AS,AS670,AP:AP)=100</f>
        <v>1</v>
      </c>
      <c r="AZ670" s="6" t="b">
        <f>SUMIF(AS:AS,AS670,AE:AE)/COUNTIF(AS:AS,AS670)=AE670</f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>C670&amp;" | "&amp;F670</f>
        <v>90MB1BJ0-C1BAY0 | 11G232110416320</v>
      </c>
      <c r="BE670" s="55" t="str">
        <f ca="1">C670&amp;" | "&amp;OFFSET($AF670,0,8-COUNTBLANK($AG670:$AN670))</f>
        <v>90MB1BJ0-C1BAY0 | 59MB1BJB-MB0A02S</v>
      </c>
      <c r="BF670" s="57">
        <f ca="1">IFERROR(VLOOKUP($BE670,$BD$5:$BF669,3,0)*$AE670,VLOOKUP($C670,Demanda!$A:$B,2,0)*$AE670)*IF(AT670="Phantom Alt",$BC670,TRUE)</f>
        <v>2000</v>
      </c>
      <c r="BG670" s="57">
        <f ca="1">BF670*(AP670/100)</f>
        <v>0</v>
      </c>
      <c r="BH670" s="57">
        <f>SUMIF(Invoice!A:A,F670,Invoice!B:B)</f>
        <v>0</v>
      </c>
      <c r="BI670" s="57">
        <f ca="1">SUMIF(AS:AS,AS670,BG:BG)</f>
        <v>2000</v>
      </c>
      <c r="BJ670" s="57">
        <f ca="1">MIN((BI670-SUMIF($AS$5:AS669,AS670,$BJ$5:BJ669)),MAX(0,BH670-SUMIF($F$5:F669,F670,$BJ$5:BJ669)))</f>
        <v>0</v>
      </c>
      <c r="BK670" s="57">
        <f ca="1">(-SUMIF(AS:AS,AS670,BG:BG)+SUMIF(AS:AS,AS670,BJ:BJ))*(AP670=100)*AR670</f>
        <v>0</v>
      </c>
      <c r="BL670" s="57">
        <f ca="1">MAX(0,SUMIF(Invoice!A:A,F670,Invoice!B:B)-SUMIF(F:F,F670,BJ:BJ))*(COUNTIF(F:F,F670)=COUNTIF($F$5:F670,F670))</f>
        <v>0</v>
      </c>
    </row>
    <row r="671" spans="1:64" hidden="1">
      <c r="A671" s="43">
        <v>675</v>
      </c>
      <c r="B671" s="13" t="s">
        <v>147</v>
      </c>
      <c r="C671" s="13" t="s">
        <v>146</v>
      </c>
      <c r="D671" s="13">
        <v>2</v>
      </c>
      <c r="E671" s="13">
        <v>2240</v>
      </c>
      <c r="F671" s="71" t="s">
        <v>1596</v>
      </c>
      <c r="G671" s="71" t="s">
        <v>1591</v>
      </c>
      <c r="H671" s="13" t="s">
        <v>1592</v>
      </c>
      <c r="I671" s="13" t="s">
        <v>55</v>
      </c>
      <c r="J671" s="28">
        <v>0</v>
      </c>
      <c r="K671" s="13" t="s">
        <v>1428</v>
      </c>
      <c r="L671" s="13" t="s">
        <v>53</v>
      </c>
      <c r="M671" s="13">
        <v>2</v>
      </c>
      <c r="O671" s="13">
        <v>1</v>
      </c>
      <c r="P671" s="13">
        <v>2</v>
      </c>
      <c r="Q671" s="13">
        <v>2</v>
      </c>
      <c r="R671" s="13" t="s">
        <v>122</v>
      </c>
      <c r="S671" s="13" t="s">
        <v>122</v>
      </c>
      <c r="T671" s="13">
        <v>44901</v>
      </c>
      <c r="U671" s="13">
        <v>2958465</v>
      </c>
      <c r="V671" s="13" t="s">
        <v>282</v>
      </c>
      <c r="W671" s="13" t="s">
        <v>145</v>
      </c>
      <c r="Y671" s="13" t="s">
        <v>143</v>
      </c>
      <c r="Z671" s="13">
        <v>7589154</v>
      </c>
      <c r="AA671" s="13">
        <v>1232</v>
      </c>
      <c r="AB671" s="13">
        <v>616</v>
      </c>
      <c r="AE671" s="51">
        <f>M671/O671</f>
        <v>2</v>
      </c>
      <c r="AG671" s="6" t="str">
        <f>C671</f>
        <v>90MB1BJ0-C1BAY0</v>
      </c>
      <c r="AH671" s="6" t="str">
        <f>IF($D671&lt;=AH$4,"",IF(AND($D670=AH$4,$D671&gt;AH$4),$F670,AH670))</f>
        <v>59MB1BJB-MB0A02S</v>
      </c>
      <c r="AI671" s="6" t="str">
        <f>IF($D671&lt;=AI$4,"",IF(AND($D670=AI$4,$D671&gt;AI$4),$F670,AI670))</f>
        <v/>
      </c>
      <c r="AJ671" s="6" t="str">
        <f>IF($D671&lt;=AJ$4,"",IF(AND($D670=AJ$4,$D671&gt;AJ$4),$F670,AJ670))</f>
        <v/>
      </c>
      <c r="AK671" s="6" t="str">
        <f>IF($D671&lt;=AK$4,"",IF(AND($D670=AK$4,$D671&gt;AK$4),$F670,AK670))</f>
        <v/>
      </c>
      <c r="AL671" s="6" t="str">
        <f>IF($D671&lt;=AL$4,"",IF(AND($D670=AL$4,$D671&gt;AL$4),$F670,AL670))</f>
        <v/>
      </c>
      <c r="AM671" s="6" t="str">
        <f>IF($D671&lt;=AM$4,"",IF(AND($D670=AM$4,$D671&gt;AM$4),$F670,AM670))</f>
        <v/>
      </c>
      <c r="AN671" s="6" t="str">
        <f>IF($D671&lt;=AN$4,"",IF(AND($D670=AN$4,$D671&gt;AN$4),$F670,AN670))</f>
        <v/>
      </c>
      <c r="AO671" s="6" t="str">
        <f>CONCATENATE(AG671," | ",AH671," | ",AI671," | ",AJ671," | ",AK671," | ",AL671," | ",AM671," | ",AN671)</f>
        <v xml:space="preserve">90MB1BJ0-C1BAY0 | 59MB1BJB-MB0A02S |  |  |  |  |  | </v>
      </c>
      <c r="AP671" s="6">
        <f>IF(TRIM(H671)="",100,J671)</f>
        <v>0</v>
      </c>
      <c r="AQ671" s="4"/>
      <c r="AR671" s="6" t="b">
        <f>NOT(TRIM(W671)&lt;&gt;"F")</f>
        <v>1</v>
      </c>
      <c r="AS671" s="6" t="str">
        <f>$B671&amp;" | "&amp;$AO671&amp;" | "&amp;IF(TRIM(H671)="","uniq"&amp;ROW(),TRIM(H671))</f>
        <v>461E | 90MB1BJ0-C1BAY0 | 59MB1BJB-MB0A02S |  |  |  |  |  |  | M4</v>
      </c>
      <c r="AT671" s="63">
        <f>IF(NOT(AR671),IF(TRIM($H671)="","Assembly","Phantom Alt"),VLOOKUP(F671,ZPCS04!B:G,6,0))</f>
        <v>752</v>
      </c>
      <c r="AU671" s="7"/>
      <c r="AV671" s="38">
        <f ca="1">IF(TRIM($W671)="F",OFFSET($A$5,MATCH($AS671,$AS$5:$AS671,0)-1,0),$A671)</f>
        <v>675</v>
      </c>
      <c r="AW671" s="38">
        <f ca="1">IFERROR(OFFSET(ZPCS04!$A$1,MATCH(F671,ZPCS04!B:B,0)-1,0),100)</f>
        <v>1.9999999000000002</v>
      </c>
      <c r="AX671" s="7"/>
      <c r="AY671" s="6" t="b">
        <f>SUMIF(AS:AS,AS671,AP:AP)=100</f>
        <v>1</v>
      </c>
      <c r="AZ671" s="6" t="b">
        <f>SUMIF(AS:AS,AS671,AE:AE)/COUNTIF(AS:AS,AS671)=AE671</f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>C671&amp;" | "&amp;F671</f>
        <v>90MB1BJ0-C1BAY0 | 11G232122311390</v>
      </c>
      <c r="BE671" s="55" t="str">
        <f ca="1">C671&amp;" | "&amp;OFFSET($AF671,0,8-COUNTBLANK($AG671:$AN671))</f>
        <v>90MB1BJ0-C1BAY0 | 59MB1BJB-MB0A02S</v>
      </c>
      <c r="BF671" s="57">
        <f ca="1">IFERROR(VLOOKUP($BE671,$BD$5:$BF670,3,0)*$AE671,VLOOKUP($C671,Demanda!$A:$B,2,0)*$AE671)*IF(AT671="Phantom Alt",$BC671,TRUE)</f>
        <v>2000</v>
      </c>
      <c r="BG671" s="57">
        <f ca="1">BF671*(AP671/100)</f>
        <v>0</v>
      </c>
      <c r="BH671" s="57">
        <f>SUMIF(Invoice!A:A,F671,Invoice!B:B)</f>
        <v>10000</v>
      </c>
      <c r="BI671" s="57">
        <f ca="1">SUMIF(AS:AS,AS671,BG:BG)</f>
        <v>2000</v>
      </c>
      <c r="BJ671" s="57">
        <f ca="1">MIN((BI671-SUMIF($AS$5:AS670,AS671,$BJ$5:BJ670)),MAX(0,BH671-SUMIF($F$5:F670,F671,$BJ$5:BJ670)))</f>
        <v>2000</v>
      </c>
      <c r="BK671" s="57">
        <f ca="1">(-SUMIF(AS:AS,AS671,BG:BG)+SUMIF(AS:AS,AS671,BJ:BJ))*(AP671=100)*AR671</f>
        <v>0</v>
      </c>
      <c r="BL671" s="57">
        <f ca="1">MAX(0,SUMIF(Invoice!A:A,F671,Invoice!B:B)-SUMIF(F:F,F671,BJ:BJ))*(COUNTIF(F:F,F671)=COUNTIF($F$5:F671,F671))</f>
        <v>8000</v>
      </c>
    </row>
    <row r="672" spans="1:64" hidden="1">
      <c r="A672" s="43">
        <v>671</v>
      </c>
      <c r="B672" s="13" t="s">
        <v>147</v>
      </c>
      <c r="C672" s="13" t="s">
        <v>146</v>
      </c>
      <c r="D672" s="13">
        <v>2</v>
      </c>
      <c r="E672" s="13">
        <v>2240</v>
      </c>
      <c r="F672" s="71" t="s">
        <v>1590</v>
      </c>
      <c r="G672" s="71" t="s">
        <v>1591</v>
      </c>
      <c r="H672" s="13" t="s">
        <v>1592</v>
      </c>
      <c r="I672" s="13" t="s">
        <v>55</v>
      </c>
      <c r="J672" s="28">
        <v>0</v>
      </c>
      <c r="K672" s="13" t="s">
        <v>1428</v>
      </c>
      <c r="L672" s="13" t="s">
        <v>53</v>
      </c>
      <c r="M672" s="13">
        <v>2</v>
      </c>
      <c r="O672" s="13">
        <v>1</v>
      </c>
      <c r="P672" s="13">
        <v>2</v>
      </c>
      <c r="Q672" s="13">
        <v>5</v>
      </c>
      <c r="R672" s="13" t="s">
        <v>122</v>
      </c>
      <c r="S672" s="13" t="s">
        <v>122</v>
      </c>
      <c r="T672" s="13">
        <v>44901</v>
      </c>
      <c r="U672" s="13">
        <v>2958465</v>
      </c>
      <c r="V672" s="13" t="s">
        <v>282</v>
      </c>
      <c r="W672" s="13" t="s">
        <v>145</v>
      </c>
      <c r="Y672" s="13" t="s">
        <v>143</v>
      </c>
      <c r="Z672" s="13">
        <v>7589154</v>
      </c>
      <c r="AA672" s="13">
        <v>1238</v>
      </c>
      <c r="AB672" s="13">
        <v>619</v>
      </c>
      <c r="AE672" s="51">
        <f>M672/O672</f>
        <v>2</v>
      </c>
      <c r="AG672" s="6" t="str">
        <f>C672</f>
        <v>90MB1BJ0-C1BAY0</v>
      </c>
      <c r="AH672" s="6" t="str">
        <f>IF($D672&lt;=AH$4,"",IF(AND($D671=AH$4,$D672&gt;AH$4),$F671,AH671))</f>
        <v>59MB1BJB-MB0A02S</v>
      </c>
      <c r="AI672" s="6" t="str">
        <f>IF($D672&lt;=AI$4,"",IF(AND($D671=AI$4,$D672&gt;AI$4),$F671,AI671))</f>
        <v/>
      </c>
      <c r="AJ672" s="6" t="str">
        <f>IF($D672&lt;=AJ$4,"",IF(AND($D671=AJ$4,$D672&gt;AJ$4),$F671,AJ671))</f>
        <v/>
      </c>
      <c r="AK672" s="6" t="str">
        <f>IF($D672&lt;=AK$4,"",IF(AND($D671=AK$4,$D672&gt;AK$4),$F671,AK671))</f>
        <v/>
      </c>
      <c r="AL672" s="6" t="str">
        <f>IF($D672&lt;=AL$4,"",IF(AND($D671=AL$4,$D672&gt;AL$4),$F671,AL671))</f>
        <v/>
      </c>
      <c r="AM672" s="6" t="str">
        <f>IF($D672&lt;=AM$4,"",IF(AND($D671=AM$4,$D672&gt;AM$4),$F671,AM671))</f>
        <v/>
      </c>
      <c r="AN672" s="6" t="str">
        <f>IF($D672&lt;=AN$4,"",IF(AND($D671=AN$4,$D672&gt;AN$4),$F671,AN671))</f>
        <v/>
      </c>
      <c r="AO672" s="6" t="str">
        <f>CONCATENATE(AG672," | ",AH672," | ",AI672," | ",AJ672," | ",AK672," | ",AL672," | ",AM672," | ",AN672)</f>
        <v xml:space="preserve">90MB1BJ0-C1BAY0 | 59MB1BJB-MB0A02S |  |  |  |  |  | </v>
      </c>
      <c r="AP672" s="6">
        <f>IF(TRIM(H672)="",100,J672)</f>
        <v>0</v>
      </c>
      <c r="AQ672" s="4"/>
      <c r="AR672" s="6" t="b">
        <f>NOT(TRIM(W672)&lt;&gt;"F")</f>
        <v>1</v>
      </c>
      <c r="AS672" s="6" t="str">
        <f>$B672&amp;" | "&amp;$AO672&amp;" | "&amp;IF(TRIM(H672)="","uniq"&amp;ROW(),TRIM(H672))</f>
        <v>461E | 90MB1BJ0-C1BAY0 | 59MB1BJB-MB0A02S |  |  |  |  |  |  | M4</v>
      </c>
      <c r="AT672" s="63">
        <f>IF(NOT(AR672),IF(TRIM($H672)="","Assembly","Phantom Alt"),VLOOKUP(F672,ZPCS04!B:G,6,0))</f>
        <v>752</v>
      </c>
      <c r="AU672" s="7"/>
      <c r="AV672" s="38">
        <f ca="1">IF(TRIM($W672)="F",OFFSET($A$5,MATCH($AS672,$AS$5:$AS672,0)-1,0),$A672)</f>
        <v>675</v>
      </c>
      <c r="AW672" s="38">
        <f ca="1">IFERROR(OFFSET(ZPCS04!$A$1,MATCH(F672,ZPCS04!B:B,0)-1,0),100)</f>
        <v>2</v>
      </c>
      <c r="AX672" s="7"/>
      <c r="AY672" s="6" t="b">
        <f>SUMIF(AS:AS,AS672,AP:AP)=100</f>
        <v>1</v>
      </c>
      <c r="AZ672" s="6" t="b">
        <f>SUMIF(AS:AS,AS672,AE:AE)/COUNTIF(AS:AS,AS672)=AE672</f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>C672&amp;" | "&amp;F672</f>
        <v>90MB1BJ0-C1BAY0 | 11G232122311070</v>
      </c>
      <c r="BE672" s="55" t="str">
        <f ca="1">C672&amp;" | "&amp;OFFSET($AF672,0,8-COUNTBLANK($AG672:$AN672))</f>
        <v>90MB1BJ0-C1BAY0 | 59MB1BJB-MB0A02S</v>
      </c>
      <c r="BF672" s="57">
        <f ca="1">IFERROR(VLOOKUP($BE672,$BD$5:$BF671,3,0)*$AE672,VLOOKUP($C672,Demanda!$A:$B,2,0)*$AE672)*IF(AT672="Phantom Alt",$BC672,TRUE)</f>
        <v>2000</v>
      </c>
      <c r="BG672" s="57">
        <f ca="1">BF672*(AP672/100)</f>
        <v>0</v>
      </c>
      <c r="BH672" s="57">
        <f>SUMIF(Invoice!A:A,F672,Invoice!B:B)</f>
        <v>0</v>
      </c>
      <c r="BI672" s="57">
        <f ca="1">SUMIF(AS:AS,AS672,BG:BG)</f>
        <v>2000</v>
      </c>
      <c r="BJ672" s="57">
        <f ca="1">MIN((BI672-SUMIF($AS$5:AS671,AS672,$BJ$5:BJ671)),MAX(0,BH672-SUMIF($F$5:F671,F672,$BJ$5:BJ671)))</f>
        <v>0</v>
      </c>
      <c r="BK672" s="57">
        <f ca="1">(-SUMIF(AS:AS,AS672,BG:BG)+SUMIF(AS:AS,AS672,BJ:BJ))*(AP672=100)*AR672</f>
        <v>0</v>
      </c>
      <c r="BL672" s="57">
        <f ca="1">MAX(0,SUMIF(Invoice!A:A,F672,Invoice!B:B)-SUMIF(F:F,F672,BJ:BJ))*(COUNTIF(F:F,F672)=COUNTIF($F$5:F672,F672))</f>
        <v>0</v>
      </c>
    </row>
    <row r="673" spans="1:64" hidden="1">
      <c r="A673" s="43">
        <v>672</v>
      </c>
      <c r="B673" s="13" t="s">
        <v>147</v>
      </c>
      <c r="C673" s="13" t="s">
        <v>146</v>
      </c>
      <c r="D673" s="13">
        <v>2</v>
      </c>
      <c r="E673" s="13">
        <v>2240</v>
      </c>
      <c r="F673" s="71" t="s">
        <v>1593</v>
      </c>
      <c r="G673" s="71" t="s">
        <v>1591</v>
      </c>
      <c r="H673" s="13" t="s">
        <v>1592</v>
      </c>
      <c r="I673" s="13" t="s">
        <v>55</v>
      </c>
      <c r="J673" s="28">
        <v>0</v>
      </c>
      <c r="K673" s="13" t="s">
        <v>1428</v>
      </c>
      <c r="L673" s="13" t="s">
        <v>53</v>
      </c>
      <c r="M673" s="13">
        <v>2</v>
      </c>
      <c r="O673" s="13">
        <v>1</v>
      </c>
      <c r="P673" s="13">
        <v>2</v>
      </c>
      <c r="Q673" s="13">
        <v>3</v>
      </c>
      <c r="R673" s="13" t="s">
        <v>122</v>
      </c>
      <c r="S673" s="13" t="s">
        <v>122</v>
      </c>
      <c r="T673" s="13">
        <v>44901</v>
      </c>
      <c r="U673" s="13">
        <v>2958465</v>
      </c>
      <c r="V673" s="13" t="s">
        <v>282</v>
      </c>
      <c r="W673" s="13" t="s">
        <v>145</v>
      </c>
      <c r="Y673" s="13" t="s">
        <v>143</v>
      </c>
      <c r="Z673" s="13">
        <v>7589154</v>
      </c>
      <c r="AA673" s="13">
        <v>1234</v>
      </c>
      <c r="AB673" s="13">
        <v>617</v>
      </c>
      <c r="AE673" s="51">
        <f>M673/O673</f>
        <v>2</v>
      </c>
      <c r="AG673" s="6" t="str">
        <f>C673</f>
        <v>90MB1BJ0-C1BAY0</v>
      </c>
      <c r="AH673" s="6" t="str">
        <f>IF($D673&lt;=AH$4,"",IF(AND($D672=AH$4,$D673&gt;AH$4),$F672,AH672))</f>
        <v>59MB1BJB-MB0A02S</v>
      </c>
      <c r="AI673" s="6" t="str">
        <f>IF($D673&lt;=AI$4,"",IF(AND($D672=AI$4,$D673&gt;AI$4),$F672,AI672))</f>
        <v/>
      </c>
      <c r="AJ673" s="6" t="str">
        <f>IF($D673&lt;=AJ$4,"",IF(AND($D672=AJ$4,$D673&gt;AJ$4),$F672,AJ672))</f>
        <v/>
      </c>
      <c r="AK673" s="6" t="str">
        <f>IF($D673&lt;=AK$4,"",IF(AND($D672=AK$4,$D673&gt;AK$4),$F672,AK672))</f>
        <v/>
      </c>
      <c r="AL673" s="6" t="str">
        <f>IF($D673&lt;=AL$4,"",IF(AND($D672=AL$4,$D673&gt;AL$4),$F672,AL672))</f>
        <v/>
      </c>
      <c r="AM673" s="6" t="str">
        <f>IF($D673&lt;=AM$4,"",IF(AND($D672=AM$4,$D673&gt;AM$4),$F672,AM672))</f>
        <v/>
      </c>
      <c r="AN673" s="6" t="str">
        <f>IF($D673&lt;=AN$4,"",IF(AND($D672=AN$4,$D673&gt;AN$4),$F672,AN672))</f>
        <v/>
      </c>
      <c r="AO673" s="6" t="str">
        <f>CONCATENATE(AG673," | ",AH673," | ",AI673," | ",AJ673," | ",AK673," | ",AL673," | ",AM673," | ",AN673)</f>
        <v xml:space="preserve">90MB1BJ0-C1BAY0 | 59MB1BJB-MB0A02S |  |  |  |  |  | </v>
      </c>
      <c r="AP673" s="6">
        <f>IF(TRIM(H673)="",100,J673)</f>
        <v>0</v>
      </c>
      <c r="AQ673" s="4"/>
      <c r="AR673" s="6" t="b">
        <f>NOT(TRIM(W673)&lt;&gt;"F")</f>
        <v>1</v>
      </c>
      <c r="AS673" s="6" t="str">
        <f>$B673&amp;" | "&amp;$AO673&amp;" | "&amp;IF(TRIM(H673)="","uniq"&amp;ROW(),TRIM(H673))</f>
        <v>461E | 90MB1BJ0-C1BAY0 | 59MB1BJB-MB0A02S |  |  |  |  |  |  | M4</v>
      </c>
      <c r="AT673" s="63">
        <f>IF(NOT(AR673),IF(TRIM($H673)="","Assembly","Phantom Alt"),VLOOKUP(F673,ZPCS04!B:G,6,0))</f>
        <v>752</v>
      </c>
      <c r="AU673" s="7"/>
      <c r="AV673" s="38">
        <f ca="1">IF(TRIM($W673)="F",OFFSET($A$5,MATCH($AS673,$AS$5:$AS673,0)-1,0),$A673)</f>
        <v>675</v>
      </c>
      <c r="AW673" s="38">
        <f ca="1">IFERROR(OFFSET(ZPCS04!$A$1,MATCH(F673,ZPCS04!B:B,0)-1,0),100)</f>
        <v>2</v>
      </c>
      <c r="AX673" s="7"/>
      <c r="AY673" s="6" t="b">
        <f>SUMIF(AS:AS,AS673,AP:AP)=100</f>
        <v>1</v>
      </c>
      <c r="AZ673" s="6" t="b">
        <f>SUMIF(AS:AS,AS673,AE:AE)/COUNTIF(AS:AS,AS673)=AE673</f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>C673&amp;" | "&amp;F673</f>
        <v>90MB1BJ0-C1BAY0 | 11G232122311150</v>
      </c>
      <c r="BE673" s="55" t="str">
        <f ca="1">C673&amp;" | "&amp;OFFSET($AF673,0,8-COUNTBLANK($AG673:$AN673))</f>
        <v>90MB1BJ0-C1BAY0 | 59MB1BJB-MB0A02S</v>
      </c>
      <c r="BF673" s="57">
        <f ca="1">IFERROR(VLOOKUP($BE673,$BD$5:$BF672,3,0)*$AE673,VLOOKUP($C673,Demanda!$A:$B,2,0)*$AE673)*IF(AT673="Phantom Alt",$BC673,TRUE)</f>
        <v>2000</v>
      </c>
      <c r="BG673" s="57">
        <f ca="1">BF673*(AP673/100)</f>
        <v>0</v>
      </c>
      <c r="BH673" s="57">
        <f>SUMIF(Invoice!A:A,F673,Invoice!B:B)</f>
        <v>0</v>
      </c>
      <c r="BI673" s="57">
        <f ca="1">SUMIF(AS:AS,AS673,BG:BG)</f>
        <v>2000</v>
      </c>
      <c r="BJ673" s="57">
        <f ca="1">MIN((BI673-SUMIF($AS$5:AS672,AS673,$BJ$5:BJ672)),MAX(0,BH673-SUMIF($F$5:F672,F673,$BJ$5:BJ672)))</f>
        <v>0</v>
      </c>
      <c r="BK673" s="57">
        <f ca="1">(-SUMIF(AS:AS,AS673,BG:BG)+SUMIF(AS:AS,AS673,BJ:BJ))*(AP673=100)*AR673</f>
        <v>0</v>
      </c>
      <c r="BL673" s="57">
        <f ca="1">MAX(0,SUMIF(Invoice!A:A,F673,Invoice!B:B)-SUMIF(F:F,F673,BJ:BJ))*(COUNTIF(F:F,F673)=COUNTIF($F$5:F673,F673))</f>
        <v>0</v>
      </c>
    </row>
    <row r="674" spans="1:64" hidden="1">
      <c r="A674" s="43">
        <v>673</v>
      </c>
      <c r="B674" s="13" t="s">
        <v>147</v>
      </c>
      <c r="C674" s="13" t="s">
        <v>146</v>
      </c>
      <c r="D674" s="13">
        <v>2</v>
      </c>
      <c r="E674" s="13">
        <v>2240</v>
      </c>
      <c r="F674" s="71" t="s">
        <v>1594</v>
      </c>
      <c r="G674" s="71" t="s">
        <v>1591</v>
      </c>
      <c r="H674" s="13" t="s">
        <v>1592</v>
      </c>
      <c r="I674" s="13" t="s">
        <v>54</v>
      </c>
      <c r="J674" s="28">
        <v>100</v>
      </c>
      <c r="K674" s="13" t="s">
        <v>1428</v>
      </c>
      <c r="L674" s="13" t="s">
        <v>53</v>
      </c>
      <c r="M674" s="13">
        <v>2</v>
      </c>
      <c r="N674" s="13">
        <v>2</v>
      </c>
      <c r="O674" s="13">
        <v>1</v>
      </c>
      <c r="P674" s="13">
        <v>2</v>
      </c>
      <c r="Q674" s="13">
        <v>1</v>
      </c>
      <c r="R674" s="13" t="s">
        <v>122</v>
      </c>
      <c r="S674" s="13" t="s">
        <v>122</v>
      </c>
      <c r="T674" s="13">
        <v>44901</v>
      </c>
      <c r="U674" s="13">
        <v>2958465</v>
      </c>
      <c r="V674" s="13" t="s">
        <v>282</v>
      </c>
      <c r="W674" s="13" t="s">
        <v>145</v>
      </c>
      <c r="Y674" s="13" t="s">
        <v>143</v>
      </c>
      <c r="Z674" s="13">
        <v>7589154</v>
      </c>
      <c r="AA674" s="13">
        <v>1230</v>
      </c>
      <c r="AB674" s="13">
        <v>615</v>
      </c>
      <c r="AE674" s="51">
        <f>M674/O674</f>
        <v>2</v>
      </c>
      <c r="AG674" s="6" t="str">
        <f>C674</f>
        <v>90MB1BJ0-C1BAY0</v>
      </c>
      <c r="AH674" s="6" t="str">
        <f>IF($D674&lt;=AH$4,"",IF(AND($D673=AH$4,$D674&gt;AH$4),$F673,AH673))</f>
        <v>59MB1BJB-MB0A02S</v>
      </c>
      <c r="AI674" s="6" t="str">
        <f>IF($D674&lt;=AI$4,"",IF(AND($D673=AI$4,$D674&gt;AI$4),$F673,AI673))</f>
        <v/>
      </c>
      <c r="AJ674" s="6" t="str">
        <f>IF($D674&lt;=AJ$4,"",IF(AND($D673=AJ$4,$D674&gt;AJ$4),$F673,AJ673))</f>
        <v/>
      </c>
      <c r="AK674" s="6" t="str">
        <f>IF($D674&lt;=AK$4,"",IF(AND($D673=AK$4,$D674&gt;AK$4),$F673,AK673))</f>
        <v/>
      </c>
      <c r="AL674" s="6" t="str">
        <f>IF($D674&lt;=AL$4,"",IF(AND($D673=AL$4,$D674&gt;AL$4),$F673,AL673))</f>
        <v/>
      </c>
      <c r="AM674" s="6" t="str">
        <f>IF($D674&lt;=AM$4,"",IF(AND($D673=AM$4,$D674&gt;AM$4),$F673,AM673))</f>
        <v/>
      </c>
      <c r="AN674" s="6" t="str">
        <f>IF($D674&lt;=AN$4,"",IF(AND($D673=AN$4,$D674&gt;AN$4),$F673,AN673))</f>
        <v/>
      </c>
      <c r="AO674" s="6" t="str">
        <f>CONCATENATE(AG674," | ",AH674," | ",AI674," | ",AJ674," | ",AK674," | ",AL674," | ",AM674," | ",AN674)</f>
        <v xml:space="preserve">90MB1BJ0-C1BAY0 | 59MB1BJB-MB0A02S |  |  |  |  |  | </v>
      </c>
      <c r="AP674" s="6">
        <f>IF(TRIM(H674)="",100,J674)</f>
        <v>100</v>
      </c>
      <c r="AQ674" s="4"/>
      <c r="AR674" s="6" t="b">
        <f>NOT(TRIM(W674)&lt;&gt;"F")</f>
        <v>1</v>
      </c>
      <c r="AS674" s="6" t="str">
        <f>$B674&amp;" | "&amp;$AO674&amp;" | "&amp;IF(TRIM(H674)="","uniq"&amp;ROW(),TRIM(H674))</f>
        <v>461E | 90MB1BJ0-C1BAY0 | 59MB1BJB-MB0A02S |  |  |  |  |  |  | M4</v>
      </c>
      <c r="AT674" s="63">
        <f>IF(NOT(AR674),IF(TRIM($H674)="","Assembly","Phantom Alt"),VLOOKUP(F674,ZPCS04!B:G,6,0))</f>
        <v>752</v>
      </c>
      <c r="AU674" s="7"/>
      <c r="AV674" s="38">
        <f ca="1">IF(TRIM($W674)="F",OFFSET($A$5,MATCH($AS674,$AS$5:$AS674,0)-1,0),$A674)</f>
        <v>675</v>
      </c>
      <c r="AW674" s="38">
        <f ca="1">IFERROR(OFFSET(ZPCS04!$A$1,MATCH(F674,ZPCS04!B:B,0)-1,0),100)</f>
        <v>2</v>
      </c>
      <c r="AX674" s="7"/>
      <c r="AY674" s="6" t="b">
        <f>SUMIF(AS:AS,AS674,AP:AP)=100</f>
        <v>1</v>
      </c>
      <c r="AZ674" s="6" t="b">
        <f>SUMIF(AS:AS,AS674,AE:AE)/COUNTIF(AS:AS,AS674)=AE674</f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>C674&amp;" | "&amp;F674</f>
        <v>90MB1BJ0-C1BAY0 | 11G232122311320</v>
      </c>
      <c r="BE674" s="55" t="str">
        <f ca="1">C674&amp;" | "&amp;OFFSET($AF674,0,8-COUNTBLANK($AG674:$AN674))</f>
        <v>90MB1BJ0-C1BAY0 | 59MB1BJB-MB0A02S</v>
      </c>
      <c r="BF674" s="57">
        <f ca="1">IFERROR(VLOOKUP($BE674,$BD$5:$BF673,3,0)*$AE674,VLOOKUP($C674,Demanda!$A:$B,2,0)*$AE674)*IF(AT674="Phantom Alt",$BC674,TRUE)</f>
        <v>2000</v>
      </c>
      <c r="BG674" s="57">
        <f ca="1">BF674*(AP674/100)</f>
        <v>2000</v>
      </c>
      <c r="BH674" s="57">
        <f>SUMIF(Invoice!A:A,F674,Invoice!B:B)</f>
        <v>0</v>
      </c>
      <c r="BI674" s="57">
        <f ca="1">SUMIF(AS:AS,AS674,BG:BG)</f>
        <v>2000</v>
      </c>
      <c r="BJ674" s="57">
        <f ca="1">MIN((BI674-SUMIF($AS$5:AS673,AS674,$BJ$5:BJ673)),MAX(0,BH674-SUMIF($F$5:F673,F674,$BJ$5:BJ673)))</f>
        <v>0</v>
      </c>
      <c r="BK674" s="57">
        <f ca="1">(-SUMIF(AS:AS,AS674,BG:BG)+SUMIF(AS:AS,AS674,BJ:BJ))*(AP674=100)*AR674</f>
        <v>0</v>
      </c>
      <c r="BL674" s="57">
        <f ca="1">MAX(0,SUMIF(Invoice!A:A,F674,Invoice!B:B)-SUMIF(F:F,F674,BJ:BJ))*(COUNTIF(F:F,F674)=COUNTIF($F$5:F674,F674))</f>
        <v>0</v>
      </c>
    </row>
    <row r="675" spans="1:64" hidden="1">
      <c r="A675" s="43">
        <v>674</v>
      </c>
      <c r="B675" s="13" t="s">
        <v>147</v>
      </c>
      <c r="C675" s="13" t="s">
        <v>146</v>
      </c>
      <c r="D675" s="13">
        <v>2</v>
      </c>
      <c r="E675" s="13">
        <v>2240</v>
      </c>
      <c r="F675" s="71" t="s">
        <v>1595</v>
      </c>
      <c r="G675" s="71" t="s">
        <v>1591</v>
      </c>
      <c r="H675" s="13" t="s">
        <v>1592</v>
      </c>
      <c r="I675" s="13" t="s">
        <v>55</v>
      </c>
      <c r="J675" s="28">
        <v>0</v>
      </c>
      <c r="K675" s="13" t="s">
        <v>1428</v>
      </c>
      <c r="L675" s="13" t="s">
        <v>53</v>
      </c>
      <c r="M675" s="13">
        <v>2</v>
      </c>
      <c r="O675" s="13">
        <v>1</v>
      </c>
      <c r="P675" s="13">
        <v>2</v>
      </c>
      <c r="Q675" s="13">
        <v>4</v>
      </c>
      <c r="R675" s="13" t="s">
        <v>122</v>
      </c>
      <c r="S675" s="13" t="s">
        <v>122</v>
      </c>
      <c r="T675" s="13">
        <v>44901</v>
      </c>
      <c r="U675" s="13">
        <v>2958465</v>
      </c>
      <c r="V675" s="13" t="s">
        <v>282</v>
      </c>
      <c r="W675" s="13" t="s">
        <v>145</v>
      </c>
      <c r="Y675" s="13" t="s">
        <v>143</v>
      </c>
      <c r="Z675" s="13">
        <v>7589154</v>
      </c>
      <c r="AA675" s="13">
        <v>1236</v>
      </c>
      <c r="AB675" s="13">
        <v>618</v>
      </c>
      <c r="AE675" s="51">
        <f>M675/O675</f>
        <v>2</v>
      </c>
      <c r="AG675" s="6" t="str">
        <f>C675</f>
        <v>90MB1BJ0-C1BAY0</v>
      </c>
      <c r="AH675" s="6" t="str">
        <f>IF($D675&lt;=AH$4,"",IF(AND($D674=AH$4,$D675&gt;AH$4),$F674,AH674))</f>
        <v>59MB1BJB-MB0A02S</v>
      </c>
      <c r="AI675" s="6" t="str">
        <f>IF($D675&lt;=AI$4,"",IF(AND($D674=AI$4,$D675&gt;AI$4),$F674,AI674))</f>
        <v/>
      </c>
      <c r="AJ675" s="6" t="str">
        <f>IF($D675&lt;=AJ$4,"",IF(AND($D674=AJ$4,$D675&gt;AJ$4),$F674,AJ674))</f>
        <v/>
      </c>
      <c r="AK675" s="6" t="str">
        <f>IF($D675&lt;=AK$4,"",IF(AND($D674=AK$4,$D675&gt;AK$4),$F674,AK674))</f>
        <v/>
      </c>
      <c r="AL675" s="6" t="str">
        <f>IF($D675&lt;=AL$4,"",IF(AND($D674=AL$4,$D675&gt;AL$4),$F674,AL674))</f>
        <v/>
      </c>
      <c r="AM675" s="6" t="str">
        <f>IF($D675&lt;=AM$4,"",IF(AND($D674=AM$4,$D675&gt;AM$4),$F674,AM674))</f>
        <v/>
      </c>
      <c r="AN675" s="6" t="str">
        <f>IF($D675&lt;=AN$4,"",IF(AND($D674=AN$4,$D675&gt;AN$4),$F674,AN674))</f>
        <v/>
      </c>
      <c r="AO675" s="6" t="str">
        <f>CONCATENATE(AG675," | ",AH675," | ",AI675," | ",AJ675," | ",AK675," | ",AL675," | ",AM675," | ",AN675)</f>
        <v xml:space="preserve">90MB1BJ0-C1BAY0 | 59MB1BJB-MB0A02S |  |  |  |  |  | </v>
      </c>
      <c r="AP675" s="6">
        <f>IF(TRIM(H675)="",100,J675)</f>
        <v>0</v>
      </c>
      <c r="AQ675" s="4"/>
      <c r="AR675" s="6" t="b">
        <f>NOT(TRIM(W675)&lt;&gt;"F")</f>
        <v>1</v>
      </c>
      <c r="AS675" s="6" t="str">
        <f>$B675&amp;" | "&amp;$AO675&amp;" | "&amp;IF(TRIM(H675)="","uniq"&amp;ROW(),TRIM(H675))</f>
        <v>461E | 90MB1BJ0-C1BAY0 | 59MB1BJB-MB0A02S |  |  |  |  |  |  | M4</v>
      </c>
      <c r="AT675" s="63">
        <f>IF(NOT(AR675),IF(TRIM($H675)="","Assembly","Phantom Alt"),VLOOKUP(F675,ZPCS04!B:G,6,0))</f>
        <v>752</v>
      </c>
      <c r="AU675" s="7"/>
      <c r="AV675" s="38">
        <f ca="1">IF(TRIM($W675)="F",OFFSET($A$5,MATCH($AS675,$AS$5:$AS675,0)-1,0),$A675)</f>
        <v>675</v>
      </c>
      <c r="AW675" s="38">
        <f ca="1">IFERROR(OFFSET(ZPCS04!$A$1,MATCH(F675,ZPCS04!B:B,0)-1,0),100)</f>
        <v>2</v>
      </c>
      <c r="AX675" s="7"/>
      <c r="AY675" s="6" t="b">
        <f>SUMIF(AS:AS,AS675,AP:AP)=100</f>
        <v>1</v>
      </c>
      <c r="AZ675" s="6" t="b">
        <f>SUMIF(AS:AS,AS675,AE:AE)/COUNTIF(AS:AS,AS675)=AE675</f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>C675&amp;" | "&amp;F675</f>
        <v>90MB1BJ0-C1BAY0 | 11G232122311360</v>
      </c>
      <c r="BE675" s="55" t="str">
        <f ca="1">C675&amp;" | "&amp;OFFSET($AF675,0,8-COUNTBLANK($AG675:$AN675))</f>
        <v>90MB1BJ0-C1BAY0 | 59MB1BJB-MB0A02S</v>
      </c>
      <c r="BF675" s="57">
        <f ca="1">IFERROR(VLOOKUP($BE675,$BD$5:$BF674,3,0)*$AE675,VLOOKUP($C675,Demanda!$A:$B,2,0)*$AE675)*IF(AT675="Phantom Alt",$BC675,TRUE)</f>
        <v>2000</v>
      </c>
      <c r="BG675" s="57">
        <f ca="1">BF675*(AP675/100)</f>
        <v>0</v>
      </c>
      <c r="BH675" s="57">
        <f>SUMIF(Invoice!A:A,F675,Invoice!B:B)</f>
        <v>0</v>
      </c>
      <c r="BI675" s="57">
        <f ca="1">SUMIF(AS:AS,AS675,BG:BG)</f>
        <v>2000</v>
      </c>
      <c r="BJ675" s="57">
        <f ca="1">MIN((BI675-SUMIF($AS$5:AS674,AS675,$BJ$5:BJ674)),MAX(0,BH675-SUMIF($F$5:F674,F675,$BJ$5:BJ674)))</f>
        <v>0</v>
      </c>
      <c r="BK675" s="57">
        <f ca="1">(-SUMIF(AS:AS,AS675,BG:BG)+SUMIF(AS:AS,AS675,BJ:BJ))*(AP675=100)*AR675</f>
        <v>0</v>
      </c>
      <c r="BL675" s="57">
        <f ca="1">MAX(0,SUMIF(Invoice!A:A,F675,Invoice!B:B)-SUMIF(F:F,F675,BJ:BJ))*(COUNTIF(F:F,F675)=COUNTIF($F$5:F675,F675))</f>
        <v>0</v>
      </c>
    </row>
    <row r="676" spans="1:64" hidden="1">
      <c r="A676" s="43">
        <v>678</v>
      </c>
      <c r="B676" s="13" t="s">
        <v>147</v>
      </c>
      <c r="C676" s="13" t="s">
        <v>146</v>
      </c>
      <c r="D676" s="13">
        <v>2</v>
      </c>
      <c r="E676" s="13">
        <v>2250</v>
      </c>
      <c r="F676" s="71" t="s">
        <v>1602</v>
      </c>
      <c r="G676" s="71" t="s">
        <v>1603</v>
      </c>
      <c r="H676" s="13" t="s">
        <v>1599</v>
      </c>
      <c r="I676" s="13" t="s">
        <v>54</v>
      </c>
      <c r="J676" s="28">
        <v>100</v>
      </c>
      <c r="K676" s="13" t="s">
        <v>150</v>
      </c>
      <c r="L676" s="13" t="s">
        <v>53</v>
      </c>
      <c r="M676" s="13">
        <v>2</v>
      </c>
      <c r="N676" s="13">
        <v>2</v>
      </c>
      <c r="O676" s="13">
        <v>1</v>
      </c>
      <c r="P676" s="13">
        <v>2</v>
      </c>
      <c r="Q676" s="13">
        <v>1</v>
      </c>
      <c r="R676" s="13" t="s">
        <v>73</v>
      </c>
      <c r="S676" s="13" t="s">
        <v>73</v>
      </c>
      <c r="T676" s="13">
        <v>44901</v>
      </c>
      <c r="U676" s="13">
        <v>2958465</v>
      </c>
      <c r="V676" s="13" t="s">
        <v>282</v>
      </c>
      <c r="W676" s="13" t="s">
        <v>145</v>
      </c>
      <c r="Y676" s="13" t="s">
        <v>143</v>
      </c>
      <c r="Z676" s="13">
        <v>7589154</v>
      </c>
      <c r="AA676" s="13">
        <v>1240</v>
      </c>
      <c r="AB676" s="13">
        <v>620</v>
      </c>
      <c r="AE676" s="51">
        <f>M676/O676</f>
        <v>2</v>
      </c>
      <c r="AG676" s="6" t="str">
        <f>C676</f>
        <v>90MB1BJ0-C1BAY0</v>
      </c>
      <c r="AH676" s="6" t="str">
        <f>IF($D676&lt;=AH$4,"",IF(AND($D675=AH$4,$D676&gt;AH$4),$F675,AH675))</f>
        <v>59MB1BJB-MB0A02S</v>
      </c>
      <c r="AI676" s="6" t="str">
        <f>IF($D676&lt;=AI$4,"",IF(AND($D675=AI$4,$D676&gt;AI$4),$F675,AI675))</f>
        <v/>
      </c>
      <c r="AJ676" s="6" t="str">
        <f>IF($D676&lt;=AJ$4,"",IF(AND($D675=AJ$4,$D676&gt;AJ$4),$F675,AJ675))</f>
        <v/>
      </c>
      <c r="AK676" s="6" t="str">
        <f>IF($D676&lt;=AK$4,"",IF(AND($D675=AK$4,$D676&gt;AK$4),$F675,AK675))</f>
        <v/>
      </c>
      <c r="AL676" s="6" t="str">
        <f>IF($D676&lt;=AL$4,"",IF(AND($D675=AL$4,$D676&gt;AL$4),$F675,AL675))</f>
        <v/>
      </c>
      <c r="AM676" s="6" t="str">
        <f>IF($D676&lt;=AM$4,"",IF(AND($D675=AM$4,$D676&gt;AM$4),$F675,AM675))</f>
        <v/>
      </c>
      <c r="AN676" s="6" t="str">
        <f>IF($D676&lt;=AN$4,"",IF(AND($D675=AN$4,$D676&gt;AN$4),$F675,AN675))</f>
        <v/>
      </c>
      <c r="AO676" s="6" t="str">
        <f>CONCATENATE(AG676," | ",AH676," | ",AI676," | ",AJ676," | ",AK676," | ",AL676," | ",AM676," | ",AN676)</f>
        <v xml:space="preserve">90MB1BJ0-C1BAY0 | 59MB1BJB-MB0A02S |  |  |  |  |  | </v>
      </c>
      <c r="AP676" s="6">
        <f>IF(TRIM(H676)="",100,J676)</f>
        <v>100</v>
      </c>
      <c r="AQ676" s="4"/>
      <c r="AR676" s="6" t="b">
        <f>NOT(TRIM(W676)&lt;&gt;"F")</f>
        <v>1</v>
      </c>
      <c r="AS676" s="6" t="str">
        <f>$B676&amp;" | "&amp;$AO676&amp;" | "&amp;IF(TRIM(H676)="","uniq"&amp;ROW(),TRIM(H676))</f>
        <v>461E | 90MB1BJ0-C1BAY0 | 59MB1BJB-MB0A02S |  |  |  |  |  |  | M5</v>
      </c>
      <c r="AT676" s="63">
        <f>IF(NOT(AR676),IF(TRIM($H676)="","Assembly","Phantom Alt"),VLOOKUP(F676,ZPCS04!B:G,6,0))</f>
        <v>994</v>
      </c>
      <c r="AU676" s="7"/>
      <c r="AV676" s="38">
        <f ca="1">IF(TRIM($W676)="F",OFFSET($A$5,MATCH($AS676,$AS$5:$AS676,0)-1,0),$A676)</f>
        <v>678</v>
      </c>
      <c r="AW676" s="38">
        <f ca="1">IFERROR(OFFSET(ZPCS04!$A$1,MATCH(F676,ZPCS04!B:B,0)-1,0),100)</f>
        <v>1.9999999000000002</v>
      </c>
      <c r="AX676" s="7"/>
      <c r="AY676" s="6" t="b">
        <f>SUMIF(AS:AS,AS676,AP:AP)=100</f>
        <v>1</v>
      </c>
      <c r="AZ676" s="6" t="b">
        <f>SUMIF(AS:AS,AS676,AE:AE)/COUNTIF(AS:AS,AS676)=AE676</f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>C676&amp;" | "&amp;F676</f>
        <v>90MB1BJ0-C1BAY0 | 11G232133212390</v>
      </c>
      <c r="BE676" s="55" t="str">
        <f ca="1">C676&amp;" | "&amp;OFFSET($AF676,0,8-COUNTBLANK($AG676:$AN676))</f>
        <v>90MB1BJ0-C1BAY0 | 59MB1BJB-MB0A02S</v>
      </c>
      <c r="BF676" s="57">
        <f ca="1">IFERROR(VLOOKUP($BE676,$BD$5:$BF675,3,0)*$AE676,VLOOKUP($C676,Demanda!$A:$B,2,0)*$AE676)*IF(AT676="Phantom Alt",$BC676,TRUE)</f>
        <v>2000</v>
      </c>
      <c r="BG676" s="57">
        <f ca="1">BF676*(AP676/100)</f>
        <v>2000</v>
      </c>
      <c r="BH676" s="57">
        <f>SUMIF(Invoice!A:A,F676,Invoice!B:B)</f>
        <v>10000</v>
      </c>
      <c r="BI676" s="57">
        <f ca="1">SUMIF(AS:AS,AS676,BG:BG)</f>
        <v>2000</v>
      </c>
      <c r="BJ676" s="57">
        <f ca="1">MIN((BI676-SUMIF($AS$5:AS675,AS676,$BJ$5:BJ675)),MAX(0,BH676-SUMIF($F$5:F675,F676,$BJ$5:BJ675)))</f>
        <v>2000</v>
      </c>
      <c r="BK676" s="57">
        <f ca="1">(-SUMIF(AS:AS,AS676,BG:BG)+SUMIF(AS:AS,AS676,BJ:BJ))*(AP676=100)*AR676</f>
        <v>0</v>
      </c>
      <c r="BL676" s="57">
        <f ca="1">MAX(0,SUMIF(Invoice!A:A,F676,Invoice!B:B)-SUMIF(F:F,F676,BJ:BJ))*(COUNTIF(F:F,F676)=COUNTIF($F$5:F676,F676))</f>
        <v>8000</v>
      </c>
    </row>
    <row r="677" spans="1:64" hidden="1">
      <c r="A677" s="43">
        <v>676</v>
      </c>
      <c r="B677" s="13" t="s">
        <v>147</v>
      </c>
      <c r="C677" s="13" t="s">
        <v>146</v>
      </c>
      <c r="D677" s="13">
        <v>2</v>
      </c>
      <c r="E677" s="13">
        <v>2250</v>
      </c>
      <c r="F677" s="71" t="s">
        <v>1597</v>
      </c>
      <c r="G677" s="71" t="s">
        <v>1598</v>
      </c>
      <c r="H677" s="13" t="s">
        <v>1599</v>
      </c>
      <c r="I677" s="13" t="s">
        <v>55</v>
      </c>
      <c r="J677" s="28">
        <v>0</v>
      </c>
      <c r="K677" s="13" t="s">
        <v>150</v>
      </c>
      <c r="L677" s="13" t="s">
        <v>53</v>
      </c>
      <c r="M677" s="13">
        <v>2</v>
      </c>
      <c r="O677" s="13">
        <v>1</v>
      </c>
      <c r="P677" s="13">
        <v>2</v>
      </c>
      <c r="Q677" s="13">
        <v>2</v>
      </c>
      <c r="R677" s="13" t="s">
        <v>73</v>
      </c>
      <c r="S677" s="13" t="s">
        <v>73</v>
      </c>
      <c r="T677" s="13">
        <v>44901</v>
      </c>
      <c r="U677" s="13">
        <v>2958465</v>
      </c>
      <c r="V677" s="13" t="s">
        <v>282</v>
      </c>
      <c r="W677" s="13" t="s">
        <v>145</v>
      </c>
      <c r="Y677" s="13" t="s">
        <v>143</v>
      </c>
      <c r="Z677" s="13">
        <v>7589154</v>
      </c>
      <c r="AA677" s="13">
        <v>1242</v>
      </c>
      <c r="AB677" s="13">
        <v>621</v>
      </c>
      <c r="AE677" s="51">
        <f>M677/O677</f>
        <v>2</v>
      </c>
      <c r="AG677" s="6" t="str">
        <f>C677</f>
        <v>90MB1BJ0-C1BAY0</v>
      </c>
      <c r="AH677" s="6" t="str">
        <f>IF($D677&lt;=AH$4,"",IF(AND($D676=AH$4,$D677&gt;AH$4),$F676,AH676))</f>
        <v>59MB1BJB-MB0A02S</v>
      </c>
      <c r="AI677" s="6" t="str">
        <f>IF($D677&lt;=AI$4,"",IF(AND($D676=AI$4,$D677&gt;AI$4),$F676,AI676))</f>
        <v/>
      </c>
      <c r="AJ677" s="6" t="str">
        <f>IF($D677&lt;=AJ$4,"",IF(AND($D676=AJ$4,$D677&gt;AJ$4),$F676,AJ676))</f>
        <v/>
      </c>
      <c r="AK677" s="6" t="str">
        <f>IF($D677&lt;=AK$4,"",IF(AND($D676=AK$4,$D677&gt;AK$4),$F676,AK676))</f>
        <v/>
      </c>
      <c r="AL677" s="6" t="str">
        <f>IF($D677&lt;=AL$4,"",IF(AND($D676=AL$4,$D677&gt;AL$4),$F676,AL676))</f>
        <v/>
      </c>
      <c r="AM677" s="6" t="str">
        <f>IF($D677&lt;=AM$4,"",IF(AND($D676=AM$4,$D677&gt;AM$4),$F676,AM676))</f>
        <v/>
      </c>
      <c r="AN677" s="6" t="str">
        <f>IF($D677&lt;=AN$4,"",IF(AND($D676=AN$4,$D677&gt;AN$4),$F676,AN676))</f>
        <v/>
      </c>
      <c r="AO677" s="6" t="str">
        <f>CONCATENATE(AG677," | ",AH677," | ",AI677," | ",AJ677," | ",AK677," | ",AL677," | ",AM677," | ",AN677)</f>
        <v xml:space="preserve">90MB1BJ0-C1BAY0 | 59MB1BJB-MB0A02S |  |  |  |  |  | </v>
      </c>
      <c r="AP677" s="6">
        <f>IF(TRIM(H677)="",100,J677)</f>
        <v>0</v>
      </c>
      <c r="AQ677" s="4"/>
      <c r="AR677" s="6" t="b">
        <f>NOT(TRIM(W677)&lt;&gt;"F")</f>
        <v>1</v>
      </c>
      <c r="AS677" s="6" t="str">
        <f>$B677&amp;" | "&amp;$AO677&amp;" | "&amp;IF(TRIM(H677)="","uniq"&amp;ROW(),TRIM(H677))</f>
        <v>461E | 90MB1BJ0-C1BAY0 | 59MB1BJB-MB0A02S |  |  |  |  |  |  | M5</v>
      </c>
      <c r="AT677" s="63">
        <f>IF(NOT(AR677),IF(TRIM($H677)="","Assembly","Phantom Alt"),VLOOKUP(F677,ZPCS04!B:G,6,0))</f>
        <v>994</v>
      </c>
      <c r="AU677" s="7"/>
      <c r="AV677" s="38">
        <f ca="1">IF(TRIM($W677)="F",OFFSET($A$5,MATCH($AS677,$AS$5:$AS677,0)-1,0),$A677)</f>
        <v>678</v>
      </c>
      <c r="AW677" s="38">
        <f ca="1">IFERROR(OFFSET(ZPCS04!$A$1,MATCH(F677,ZPCS04!B:B,0)-1,0),100)</f>
        <v>2</v>
      </c>
      <c r="AX677" s="7"/>
      <c r="AY677" s="6" t="b">
        <f>SUMIF(AS:AS,AS677,AP:AP)=100</f>
        <v>1</v>
      </c>
      <c r="AZ677" s="6" t="b">
        <f>SUMIF(AS:AS,AS677,AE:AE)/COUNTIF(AS:AS,AS677)=AE677</f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>C677&amp;" | "&amp;F677</f>
        <v>90MB1BJ0-C1BAY0 | 11G232133212070</v>
      </c>
      <c r="BE677" s="55" t="str">
        <f ca="1">C677&amp;" | "&amp;OFFSET($AF677,0,8-COUNTBLANK($AG677:$AN677))</f>
        <v>90MB1BJ0-C1BAY0 | 59MB1BJB-MB0A02S</v>
      </c>
      <c r="BF677" s="57">
        <f ca="1">IFERROR(VLOOKUP($BE677,$BD$5:$BF676,3,0)*$AE677,VLOOKUP($C677,Demanda!$A:$B,2,0)*$AE677)*IF(AT677="Phantom Alt",$BC677,TRUE)</f>
        <v>2000</v>
      </c>
      <c r="BG677" s="57">
        <f ca="1">BF677*(AP677/100)</f>
        <v>0</v>
      </c>
      <c r="BH677" s="57">
        <f>SUMIF(Invoice!A:A,F677,Invoice!B:B)</f>
        <v>0</v>
      </c>
      <c r="BI677" s="57">
        <f ca="1">SUMIF(AS:AS,AS677,BG:BG)</f>
        <v>2000</v>
      </c>
      <c r="BJ677" s="57">
        <f ca="1">MIN((BI677-SUMIF($AS$5:AS676,AS677,$BJ$5:BJ676)),MAX(0,BH677-SUMIF($F$5:F676,F677,$BJ$5:BJ676)))</f>
        <v>0</v>
      </c>
      <c r="BK677" s="57">
        <f ca="1">(-SUMIF(AS:AS,AS677,BG:BG)+SUMIF(AS:AS,AS677,BJ:BJ))*(AP677=100)*AR677</f>
        <v>0</v>
      </c>
      <c r="BL677" s="57">
        <f ca="1">MAX(0,SUMIF(Invoice!A:A,F677,Invoice!B:B)-SUMIF(F:F,F677,BJ:BJ))*(COUNTIF(F:F,F677)=COUNTIF($F$5:F677,F677))</f>
        <v>0</v>
      </c>
    </row>
    <row r="678" spans="1:64" hidden="1">
      <c r="A678" s="43">
        <v>677</v>
      </c>
      <c r="B678" s="13" t="s">
        <v>147</v>
      </c>
      <c r="C678" s="13" t="s">
        <v>146</v>
      </c>
      <c r="D678" s="13">
        <v>2</v>
      </c>
      <c r="E678" s="13">
        <v>2250</v>
      </c>
      <c r="F678" s="71" t="s">
        <v>1600</v>
      </c>
      <c r="G678" s="71" t="s">
        <v>1601</v>
      </c>
      <c r="H678" s="13" t="s">
        <v>1599</v>
      </c>
      <c r="I678" s="13" t="s">
        <v>55</v>
      </c>
      <c r="J678" s="28">
        <v>0</v>
      </c>
      <c r="K678" s="13" t="s">
        <v>150</v>
      </c>
      <c r="L678" s="13" t="s">
        <v>53</v>
      </c>
      <c r="M678" s="13">
        <v>2</v>
      </c>
      <c r="O678" s="13">
        <v>1</v>
      </c>
      <c r="P678" s="13">
        <v>2</v>
      </c>
      <c r="Q678" s="13">
        <v>3</v>
      </c>
      <c r="R678" s="13" t="s">
        <v>73</v>
      </c>
      <c r="S678" s="13" t="s">
        <v>73</v>
      </c>
      <c r="T678" s="13">
        <v>44901</v>
      </c>
      <c r="U678" s="13">
        <v>2958465</v>
      </c>
      <c r="V678" s="13" t="s">
        <v>282</v>
      </c>
      <c r="W678" s="13" t="s">
        <v>145</v>
      </c>
      <c r="Y678" s="13" t="s">
        <v>143</v>
      </c>
      <c r="Z678" s="13">
        <v>7589154</v>
      </c>
      <c r="AA678" s="13">
        <v>1244</v>
      </c>
      <c r="AB678" s="13">
        <v>622</v>
      </c>
      <c r="AE678" s="51">
        <f>M678/O678</f>
        <v>2</v>
      </c>
      <c r="AG678" s="6" t="str">
        <f>C678</f>
        <v>90MB1BJ0-C1BAY0</v>
      </c>
      <c r="AH678" s="6" t="str">
        <f>IF($D678&lt;=AH$4,"",IF(AND($D677=AH$4,$D678&gt;AH$4),$F677,AH677))</f>
        <v>59MB1BJB-MB0A02S</v>
      </c>
      <c r="AI678" s="6" t="str">
        <f>IF($D678&lt;=AI$4,"",IF(AND($D677=AI$4,$D678&gt;AI$4),$F677,AI677))</f>
        <v/>
      </c>
      <c r="AJ678" s="6" t="str">
        <f>IF($D678&lt;=AJ$4,"",IF(AND($D677=AJ$4,$D678&gt;AJ$4),$F677,AJ677))</f>
        <v/>
      </c>
      <c r="AK678" s="6" t="str">
        <f>IF($D678&lt;=AK$4,"",IF(AND($D677=AK$4,$D678&gt;AK$4),$F677,AK677))</f>
        <v/>
      </c>
      <c r="AL678" s="6" t="str">
        <f>IF($D678&lt;=AL$4,"",IF(AND($D677=AL$4,$D678&gt;AL$4),$F677,AL677))</f>
        <v/>
      </c>
      <c r="AM678" s="6" t="str">
        <f>IF($D678&lt;=AM$4,"",IF(AND($D677=AM$4,$D678&gt;AM$4),$F677,AM677))</f>
        <v/>
      </c>
      <c r="AN678" s="6" t="str">
        <f>IF($D678&lt;=AN$4,"",IF(AND($D677=AN$4,$D678&gt;AN$4),$F677,AN677))</f>
        <v/>
      </c>
      <c r="AO678" s="6" t="str">
        <f>CONCATENATE(AG678," | ",AH678," | ",AI678," | ",AJ678," | ",AK678," | ",AL678," | ",AM678," | ",AN678)</f>
        <v xml:space="preserve">90MB1BJ0-C1BAY0 | 59MB1BJB-MB0A02S |  |  |  |  |  | </v>
      </c>
      <c r="AP678" s="6">
        <f>IF(TRIM(H678)="",100,J678)</f>
        <v>0</v>
      </c>
      <c r="AQ678" s="4"/>
      <c r="AR678" s="6" t="b">
        <f>NOT(TRIM(W678)&lt;&gt;"F")</f>
        <v>1</v>
      </c>
      <c r="AS678" s="6" t="str">
        <f>$B678&amp;" | "&amp;$AO678&amp;" | "&amp;IF(TRIM(H678)="","uniq"&amp;ROW(),TRIM(H678))</f>
        <v>461E | 90MB1BJ0-C1BAY0 | 59MB1BJB-MB0A02S |  |  |  |  |  |  | M5</v>
      </c>
      <c r="AT678" s="63">
        <f>IF(NOT(AR678),IF(TRIM($H678)="","Assembly","Phantom Alt"),VLOOKUP(F678,ZPCS04!B:G,6,0))</f>
        <v>994</v>
      </c>
      <c r="AU678" s="7"/>
      <c r="AV678" s="38">
        <f ca="1">IF(TRIM($W678)="F",OFFSET($A$5,MATCH($AS678,$AS$5:$AS678,0)-1,0),$A678)</f>
        <v>678</v>
      </c>
      <c r="AW678" s="38">
        <f ca="1">IFERROR(OFFSET(ZPCS04!$A$1,MATCH(F678,ZPCS04!B:B,0)-1,0),100)</f>
        <v>2</v>
      </c>
      <c r="AX678" s="7"/>
      <c r="AY678" s="6" t="b">
        <f>SUMIF(AS:AS,AS678,AP:AP)=100</f>
        <v>1</v>
      </c>
      <c r="AZ678" s="6" t="b">
        <f>SUMIF(AS:AS,AS678,AE:AE)/COUNTIF(AS:AS,AS678)=AE678</f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>C678&amp;" | "&amp;F678</f>
        <v>90MB1BJ0-C1BAY0 | 11G232133212320</v>
      </c>
      <c r="BE678" s="55" t="str">
        <f ca="1">C678&amp;" | "&amp;OFFSET($AF678,0,8-COUNTBLANK($AG678:$AN678))</f>
        <v>90MB1BJ0-C1BAY0 | 59MB1BJB-MB0A02S</v>
      </c>
      <c r="BF678" s="57">
        <f ca="1">IFERROR(VLOOKUP($BE678,$BD$5:$BF677,3,0)*$AE678,VLOOKUP($C678,Demanda!$A:$B,2,0)*$AE678)*IF(AT678="Phantom Alt",$BC678,TRUE)</f>
        <v>2000</v>
      </c>
      <c r="BG678" s="57">
        <f ca="1">BF678*(AP678/100)</f>
        <v>0</v>
      </c>
      <c r="BH678" s="57">
        <f>SUMIF(Invoice!A:A,F678,Invoice!B:B)</f>
        <v>0</v>
      </c>
      <c r="BI678" s="57">
        <f ca="1">SUMIF(AS:AS,AS678,BG:BG)</f>
        <v>2000</v>
      </c>
      <c r="BJ678" s="57">
        <f ca="1">MIN((BI678-SUMIF($AS$5:AS677,AS678,$BJ$5:BJ677)),MAX(0,BH678-SUMIF($F$5:F677,F678,$BJ$5:BJ677)))</f>
        <v>0</v>
      </c>
      <c r="BK678" s="57">
        <f ca="1">(-SUMIF(AS:AS,AS678,BG:BG)+SUMIF(AS:AS,AS678,BJ:BJ))*(AP678=100)*AR678</f>
        <v>0</v>
      </c>
      <c r="BL678" s="57">
        <f ca="1">MAX(0,SUMIF(Invoice!A:A,F678,Invoice!B:B)-SUMIF(F:F,F678,BJ:BJ))*(COUNTIF(F:F,F678)=COUNTIF($F$5:F678,F678))</f>
        <v>0</v>
      </c>
    </row>
    <row r="679" spans="1:64" hidden="1">
      <c r="A679" s="43">
        <v>683</v>
      </c>
      <c r="B679" s="13" t="s">
        <v>147</v>
      </c>
      <c r="C679" s="13" t="s">
        <v>146</v>
      </c>
      <c r="D679" s="13">
        <v>2</v>
      </c>
      <c r="E679" s="13">
        <v>2260</v>
      </c>
      <c r="F679" s="71" t="s">
        <v>1611</v>
      </c>
      <c r="G679" s="71" t="s">
        <v>1612</v>
      </c>
      <c r="H679" s="13" t="s">
        <v>1606</v>
      </c>
      <c r="I679" s="13" t="s">
        <v>55</v>
      </c>
      <c r="J679" s="28">
        <v>0</v>
      </c>
      <c r="K679" s="13" t="s">
        <v>150</v>
      </c>
      <c r="L679" s="13" t="s">
        <v>53</v>
      </c>
      <c r="M679" s="13">
        <v>1</v>
      </c>
      <c r="O679" s="13">
        <v>1</v>
      </c>
      <c r="P679" s="13">
        <v>2</v>
      </c>
      <c r="Q679" s="13">
        <v>2</v>
      </c>
      <c r="R679" s="13" t="s">
        <v>73</v>
      </c>
      <c r="S679" s="13" t="s">
        <v>73</v>
      </c>
      <c r="T679" s="13">
        <v>44901</v>
      </c>
      <c r="U679" s="13">
        <v>2958465</v>
      </c>
      <c r="V679" s="13" t="s">
        <v>282</v>
      </c>
      <c r="W679" s="13" t="s">
        <v>145</v>
      </c>
      <c r="Y679" s="13" t="s">
        <v>143</v>
      </c>
      <c r="Z679" s="13">
        <v>7589154</v>
      </c>
      <c r="AA679" s="13">
        <v>1248</v>
      </c>
      <c r="AB679" s="13">
        <v>624</v>
      </c>
      <c r="AE679" s="51">
        <f>M679/O679</f>
        <v>1</v>
      </c>
      <c r="AG679" s="6" t="str">
        <f>C679</f>
        <v>90MB1BJ0-C1BAY0</v>
      </c>
      <c r="AH679" s="6" t="str">
        <f>IF($D679&lt;=AH$4,"",IF(AND($D678=AH$4,$D679&gt;AH$4),$F678,AH678))</f>
        <v>59MB1BJB-MB0A02S</v>
      </c>
      <c r="AI679" s="6" t="str">
        <f>IF($D679&lt;=AI$4,"",IF(AND($D678=AI$4,$D679&gt;AI$4),$F678,AI678))</f>
        <v/>
      </c>
      <c r="AJ679" s="6" t="str">
        <f>IF($D679&lt;=AJ$4,"",IF(AND($D678=AJ$4,$D679&gt;AJ$4),$F678,AJ678))</f>
        <v/>
      </c>
      <c r="AK679" s="6" t="str">
        <f>IF($D679&lt;=AK$4,"",IF(AND($D678=AK$4,$D679&gt;AK$4),$F678,AK678))</f>
        <v/>
      </c>
      <c r="AL679" s="6" t="str">
        <f>IF($D679&lt;=AL$4,"",IF(AND($D678=AL$4,$D679&gt;AL$4),$F678,AL678))</f>
        <v/>
      </c>
      <c r="AM679" s="6" t="str">
        <f>IF($D679&lt;=AM$4,"",IF(AND($D678=AM$4,$D679&gt;AM$4),$F678,AM678))</f>
        <v/>
      </c>
      <c r="AN679" s="6" t="str">
        <f>IF($D679&lt;=AN$4,"",IF(AND($D678=AN$4,$D679&gt;AN$4),$F678,AN678))</f>
        <v/>
      </c>
      <c r="AO679" s="6" t="str">
        <f>CONCATENATE(AG679," | ",AH679," | ",AI679," | ",AJ679," | ",AK679," | ",AL679," | ",AM679," | ",AN679)</f>
        <v xml:space="preserve">90MB1BJ0-C1BAY0 | 59MB1BJB-MB0A02S |  |  |  |  |  | </v>
      </c>
      <c r="AP679" s="6">
        <f>IF(TRIM(H679)="",100,J679)</f>
        <v>0</v>
      </c>
      <c r="AQ679" s="4"/>
      <c r="AR679" s="6" t="b">
        <f>NOT(TRIM(W679)&lt;&gt;"F")</f>
        <v>1</v>
      </c>
      <c r="AS679" s="6" t="str">
        <f>$B679&amp;" | "&amp;$AO679&amp;" | "&amp;IF(TRIM(H679)="","uniq"&amp;ROW(),TRIM(H679))</f>
        <v>461E | 90MB1BJ0-C1BAY0 | 59MB1BJB-MB0A02S |  |  |  |  |  |  | M6</v>
      </c>
      <c r="AT679" s="63">
        <f>IF(NOT(AR679),IF(TRIM($H679)="","Assembly","Phantom Alt"),VLOOKUP(F679,ZPCS04!B:G,6,0))</f>
        <v>753</v>
      </c>
      <c r="AU679" s="7"/>
      <c r="AV679" s="38">
        <f ca="1">IF(TRIM($W679)="F",OFFSET($A$5,MATCH($AS679,$AS$5:$AS679,0)-1,0),$A679)</f>
        <v>683</v>
      </c>
      <c r="AW679" s="38">
        <f ca="1">IFERROR(OFFSET(ZPCS04!$A$1,MATCH(F679,ZPCS04!B:B,0)-1,0),100)</f>
        <v>1.9999999000000002</v>
      </c>
      <c r="AX679" s="7"/>
      <c r="AY679" s="6" t="b">
        <f>SUMIF(AS:AS,AS679,AP:AP)=100</f>
        <v>1</v>
      </c>
      <c r="AZ679" s="6" t="b">
        <f>SUMIF(AS:AS,AS679,AE:AE)/COUNTIF(AS:AS,AS679)=AE679</f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>C679&amp;" | "&amp;F679</f>
        <v>90MB1BJ0-C1BAY0 | 11G232133214390</v>
      </c>
      <c r="BE679" s="55" t="str">
        <f ca="1">C679&amp;" | "&amp;OFFSET($AF679,0,8-COUNTBLANK($AG679:$AN679))</f>
        <v>90MB1BJ0-C1BAY0 | 59MB1BJB-MB0A02S</v>
      </c>
      <c r="BF679" s="57">
        <f ca="1">IFERROR(VLOOKUP($BE679,$BD$5:$BF678,3,0)*$AE679,VLOOKUP($C679,Demanda!$A:$B,2,0)*$AE679)*IF(AT679="Phantom Alt",$BC679,TRUE)</f>
        <v>1000</v>
      </c>
      <c r="BG679" s="57">
        <f ca="1">BF679*(AP679/100)</f>
        <v>0</v>
      </c>
      <c r="BH679" s="57">
        <f>SUMIF(Invoice!A:A,F679,Invoice!B:B)</f>
        <v>10000</v>
      </c>
      <c r="BI679" s="57">
        <f ca="1">SUMIF(AS:AS,AS679,BG:BG)</f>
        <v>1000</v>
      </c>
      <c r="BJ679" s="57">
        <f ca="1">MIN((BI679-SUMIF($AS$5:AS678,AS679,$BJ$5:BJ678)),MAX(0,BH679-SUMIF($F$5:F678,F679,$BJ$5:BJ678)))</f>
        <v>1000</v>
      </c>
      <c r="BK679" s="57">
        <f ca="1">(-SUMIF(AS:AS,AS679,BG:BG)+SUMIF(AS:AS,AS679,BJ:BJ))*(AP679=100)*AR679</f>
        <v>0</v>
      </c>
      <c r="BL679" s="57">
        <f ca="1">MAX(0,SUMIF(Invoice!A:A,F679,Invoice!B:B)-SUMIF(F:F,F679,BJ:BJ))*(COUNTIF(F:F,F679)=COUNTIF($F$5:F679,F679))</f>
        <v>9000</v>
      </c>
    </row>
    <row r="680" spans="1:64" hidden="1">
      <c r="A680" s="43">
        <v>679</v>
      </c>
      <c r="B680" s="13" t="s">
        <v>147</v>
      </c>
      <c r="C680" s="13" t="s">
        <v>146</v>
      </c>
      <c r="D680" s="13">
        <v>2</v>
      </c>
      <c r="E680" s="13">
        <v>2260</v>
      </c>
      <c r="F680" s="71" t="s">
        <v>1604</v>
      </c>
      <c r="G680" s="71" t="s">
        <v>1605</v>
      </c>
      <c r="H680" s="13" t="s">
        <v>1606</v>
      </c>
      <c r="I680" s="13" t="s">
        <v>55</v>
      </c>
      <c r="J680" s="28">
        <v>0</v>
      </c>
      <c r="K680" s="13" t="s">
        <v>1428</v>
      </c>
      <c r="L680" s="13" t="s">
        <v>53</v>
      </c>
      <c r="M680" s="13">
        <v>1</v>
      </c>
      <c r="O680" s="13">
        <v>1</v>
      </c>
      <c r="P680" s="13">
        <v>2</v>
      </c>
      <c r="Q680" s="13">
        <v>4</v>
      </c>
      <c r="R680" s="13" t="s">
        <v>73</v>
      </c>
      <c r="S680" s="13" t="s">
        <v>73</v>
      </c>
      <c r="T680" s="13">
        <v>44901</v>
      </c>
      <c r="U680" s="13">
        <v>2958465</v>
      </c>
      <c r="V680" s="13" t="s">
        <v>282</v>
      </c>
      <c r="W680" s="13" t="s">
        <v>145</v>
      </c>
      <c r="Y680" s="13" t="s">
        <v>143</v>
      </c>
      <c r="Z680" s="13">
        <v>7589154</v>
      </c>
      <c r="AA680" s="13">
        <v>1252</v>
      </c>
      <c r="AB680" s="13">
        <v>626</v>
      </c>
      <c r="AE680" s="51">
        <f>M680/O680</f>
        <v>1</v>
      </c>
      <c r="AG680" s="6" t="str">
        <f>C680</f>
        <v>90MB1BJ0-C1BAY0</v>
      </c>
      <c r="AH680" s="6" t="str">
        <f>IF($D680&lt;=AH$4,"",IF(AND($D679=AH$4,$D680&gt;AH$4),$F679,AH679))</f>
        <v>59MB1BJB-MB0A02S</v>
      </c>
      <c r="AI680" s="6" t="str">
        <f>IF($D680&lt;=AI$4,"",IF(AND($D679=AI$4,$D680&gt;AI$4),$F679,AI679))</f>
        <v/>
      </c>
      <c r="AJ680" s="6" t="str">
        <f>IF($D680&lt;=AJ$4,"",IF(AND($D679=AJ$4,$D680&gt;AJ$4),$F679,AJ679))</f>
        <v/>
      </c>
      <c r="AK680" s="6" t="str">
        <f>IF($D680&lt;=AK$4,"",IF(AND($D679=AK$4,$D680&gt;AK$4),$F679,AK679))</f>
        <v/>
      </c>
      <c r="AL680" s="6" t="str">
        <f>IF($D680&lt;=AL$4,"",IF(AND($D679=AL$4,$D680&gt;AL$4),$F679,AL679))</f>
        <v/>
      </c>
      <c r="AM680" s="6" t="str">
        <f>IF($D680&lt;=AM$4,"",IF(AND($D679=AM$4,$D680&gt;AM$4),$F679,AM679))</f>
        <v/>
      </c>
      <c r="AN680" s="6" t="str">
        <f>IF($D680&lt;=AN$4,"",IF(AND($D679=AN$4,$D680&gt;AN$4),$F679,AN679))</f>
        <v/>
      </c>
      <c r="AO680" s="6" t="str">
        <f>CONCATENATE(AG680," | ",AH680," | ",AI680," | ",AJ680," | ",AK680," | ",AL680," | ",AM680," | ",AN680)</f>
        <v xml:space="preserve">90MB1BJ0-C1BAY0 | 59MB1BJB-MB0A02S |  |  |  |  |  | </v>
      </c>
      <c r="AP680" s="6">
        <f>IF(TRIM(H680)="",100,J680)</f>
        <v>0</v>
      </c>
      <c r="AQ680" s="4"/>
      <c r="AR680" s="6" t="b">
        <f>NOT(TRIM(W680)&lt;&gt;"F")</f>
        <v>1</v>
      </c>
      <c r="AS680" s="6" t="str">
        <f>$B680&amp;" | "&amp;$AO680&amp;" | "&amp;IF(TRIM(H680)="","uniq"&amp;ROW(),TRIM(H680))</f>
        <v>461E | 90MB1BJ0-C1BAY0 | 59MB1BJB-MB0A02S |  |  |  |  |  |  | M6</v>
      </c>
      <c r="AT680" s="63">
        <f>IF(NOT(AR680),IF(TRIM($H680)="","Assembly","Phantom Alt"),VLOOKUP(F680,ZPCS04!B:G,6,0))</f>
        <v>753</v>
      </c>
      <c r="AU680" s="7"/>
      <c r="AV680" s="38">
        <f ca="1">IF(TRIM($W680)="F",OFFSET($A$5,MATCH($AS680,$AS$5:$AS680,0)-1,0),$A680)</f>
        <v>683</v>
      </c>
      <c r="AW680" s="38">
        <f ca="1">IFERROR(OFFSET(ZPCS04!$A$1,MATCH(F680,ZPCS04!B:B,0)-1,0),100)</f>
        <v>2</v>
      </c>
      <c r="AX680" s="7"/>
      <c r="AY680" s="6" t="b">
        <f>SUMIF(AS:AS,AS680,AP:AP)=100</f>
        <v>1</v>
      </c>
      <c r="AZ680" s="6" t="b">
        <f>SUMIF(AS:AS,AS680,AE:AE)/COUNTIF(AS:AS,AS680)=AE680</f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>C680&amp;" | "&amp;F680</f>
        <v>90MB1BJ0-C1BAY0 | 11G232133214070</v>
      </c>
      <c r="BE680" s="55" t="str">
        <f ca="1">C680&amp;" | "&amp;OFFSET($AF680,0,8-COUNTBLANK($AG680:$AN680))</f>
        <v>90MB1BJ0-C1BAY0 | 59MB1BJB-MB0A02S</v>
      </c>
      <c r="BF680" s="57">
        <f ca="1">IFERROR(VLOOKUP($BE680,$BD$5:$BF679,3,0)*$AE680,VLOOKUP($C680,Demanda!$A:$B,2,0)*$AE680)*IF(AT680="Phantom Alt",$BC680,TRUE)</f>
        <v>1000</v>
      </c>
      <c r="BG680" s="57">
        <f ca="1">BF680*(AP680/100)</f>
        <v>0</v>
      </c>
      <c r="BH680" s="57">
        <f>SUMIF(Invoice!A:A,F680,Invoice!B:B)</f>
        <v>0</v>
      </c>
      <c r="BI680" s="57">
        <f ca="1">SUMIF(AS:AS,AS680,BG:BG)</f>
        <v>1000</v>
      </c>
      <c r="BJ680" s="57">
        <f ca="1">MIN((BI680-SUMIF($AS$5:AS679,AS680,$BJ$5:BJ679)),MAX(0,BH680-SUMIF($F$5:F679,F680,$BJ$5:BJ679)))</f>
        <v>0</v>
      </c>
      <c r="BK680" s="57">
        <f ca="1">(-SUMIF(AS:AS,AS680,BG:BG)+SUMIF(AS:AS,AS680,BJ:BJ))*(AP680=100)*AR680</f>
        <v>0</v>
      </c>
      <c r="BL680" s="57">
        <f ca="1">MAX(0,SUMIF(Invoice!A:A,F680,Invoice!B:B)-SUMIF(F:F,F680,BJ:BJ))*(COUNTIF(F:F,F680)=COUNTIF($F$5:F680,F680))</f>
        <v>0</v>
      </c>
    </row>
    <row r="681" spans="1:64" hidden="1">
      <c r="A681" s="43">
        <v>680</v>
      </c>
      <c r="B681" s="13" t="s">
        <v>147</v>
      </c>
      <c r="C681" s="13" t="s">
        <v>146</v>
      </c>
      <c r="D681" s="13">
        <v>2</v>
      </c>
      <c r="E681" s="13">
        <v>2260</v>
      </c>
      <c r="F681" s="71" t="s">
        <v>1607</v>
      </c>
      <c r="G681" s="71" t="s">
        <v>1608</v>
      </c>
      <c r="H681" s="13" t="s">
        <v>1606</v>
      </c>
      <c r="I681" s="13" t="s">
        <v>55</v>
      </c>
      <c r="J681" s="28">
        <v>0</v>
      </c>
      <c r="K681" s="13" t="s">
        <v>150</v>
      </c>
      <c r="L681" s="13" t="s">
        <v>53</v>
      </c>
      <c r="M681" s="13">
        <v>1</v>
      </c>
      <c r="O681" s="13">
        <v>1</v>
      </c>
      <c r="P681" s="13">
        <v>2</v>
      </c>
      <c r="Q681" s="13">
        <v>3</v>
      </c>
      <c r="R681" s="13" t="s">
        <v>73</v>
      </c>
      <c r="S681" s="13" t="s">
        <v>73</v>
      </c>
      <c r="T681" s="13">
        <v>44901</v>
      </c>
      <c r="U681" s="13">
        <v>2958465</v>
      </c>
      <c r="V681" s="13" t="s">
        <v>282</v>
      </c>
      <c r="W681" s="13" t="s">
        <v>145</v>
      </c>
      <c r="Y681" s="13" t="s">
        <v>143</v>
      </c>
      <c r="Z681" s="13">
        <v>7589154</v>
      </c>
      <c r="AA681" s="13">
        <v>1250</v>
      </c>
      <c r="AB681" s="13">
        <v>625</v>
      </c>
      <c r="AE681" s="51">
        <f>M681/O681</f>
        <v>1</v>
      </c>
      <c r="AG681" s="6" t="str">
        <f>C681</f>
        <v>90MB1BJ0-C1BAY0</v>
      </c>
      <c r="AH681" s="6" t="str">
        <f>IF($D681&lt;=AH$4,"",IF(AND($D680=AH$4,$D681&gt;AH$4),$F680,AH680))</f>
        <v>59MB1BJB-MB0A02S</v>
      </c>
      <c r="AI681" s="6" t="str">
        <f>IF($D681&lt;=AI$4,"",IF(AND($D680=AI$4,$D681&gt;AI$4),$F680,AI680))</f>
        <v/>
      </c>
      <c r="AJ681" s="6" t="str">
        <f>IF($D681&lt;=AJ$4,"",IF(AND($D680=AJ$4,$D681&gt;AJ$4),$F680,AJ680))</f>
        <v/>
      </c>
      <c r="AK681" s="6" t="str">
        <f>IF($D681&lt;=AK$4,"",IF(AND($D680=AK$4,$D681&gt;AK$4),$F680,AK680))</f>
        <v/>
      </c>
      <c r="AL681" s="6" t="str">
        <f>IF($D681&lt;=AL$4,"",IF(AND($D680=AL$4,$D681&gt;AL$4),$F680,AL680))</f>
        <v/>
      </c>
      <c r="AM681" s="6" t="str">
        <f>IF($D681&lt;=AM$4,"",IF(AND($D680=AM$4,$D681&gt;AM$4),$F680,AM680))</f>
        <v/>
      </c>
      <c r="AN681" s="6" t="str">
        <f>IF($D681&lt;=AN$4,"",IF(AND($D680=AN$4,$D681&gt;AN$4),$F680,AN680))</f>
        <v/>
      </c>
      <c r="AO681" s="6" t="str">
        <f>CONCATENATE(AG681," | ",AH681," | ",AI681," | ",AJ681," | ",AK681," | ",AL681," | ",AM681," | ",AN681)</f>
        <v xml:space="preserve">90MB1BJ0-C1BAY0 | 59MB1BJB-MB0A02S |  |  |  |  |  | </v>
      </c>
      <c r="AP681" s="6">
        <f>IF(TRIM(H681)="",100,J681)</f>
        <v>0</v>
      </c>
      <c r="AQ681" s="4"/>
      <c r="AR681" s="6" t="b">
        <f>NOT(TRIM(W681)&lt;&gt;"F")</f>
        <v>1</v>
      </c>
      <c r="AS681" s="6" t="str">
        <f>$B681&amp;" | "&amp;$AO681&amp;" | "&amp;IF(TRIM(H681)="","uniq"&amp;ROW(),TRIM(H681))</f>
        <v>461E | 90MB1BJ0-C1BAY0 | 59MB1BJB-MB0A02S |  |  |  |  |  |  | M6</v>
      </c>
      <c r="AT681" s="63">
        <f>IF(NOT(AR681),IF(TRIM($H681)="","Assembly","Phantom Alt"),VLOOKUP(F681,ZPCS04!B:G,6,0))</f>
        <v>753</v>
      </c>
      <c r="AU681" s="7"/>
      <c r="AV681" s="38">
        <f ca="1">IF(TRIM($W681)="F",OFFSET($A$5,MATCH($AS681,$AS$5:$AS681,0)-1,0),$A681)</f>
        <v>683</v>
      </c>
      <c r="AW681" s="38">
        <f ca="1">IFERROR(OFFSET(ZPCS04!$A$1,MATCH(F681,ZPCS04!B:B,0)-1,0),100)</f>
        <v>2</v>
      </c>
      <c r="AX681" s="7"/>
      <c r="AY681" s="6" t="b">
        <f>SUMIF(AS:AS,AS681,AP:AP)=100</f>
        <v>1</v>
      </c>
      <c r="AZ681" s="6" t="b">
        <f>SUMIF(AS:AS,AS681,AE:AE)/COUNTIF(AS:AS,AS681)=AE681</f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>C681&amp;" | "&amp;F681</f>
        <v>90MB1BJ0-C1BAY0 | 11G232133214150</v>
      </c>
      <c r="BE681" s="55" t="str">
        <f ca="1">C681&amp;" | "&amp;OFFSET($AF681,0,8-COUNTBLANK($AG681:$AN681))</f>
        <v>90MB1BJ0-C1BAY0 | 59MB1BJB-MB0A02S</v>
      </c>
      <c r="BF681" s="57">
        <f ca="1">IFERROR(VLOOKUP($BE681,$BD$5:$BF680,3,0)*$AE681,VLOOKUP($C681,Demanda!$A:$B,2,0)*$AE681)*IF(AT681="Phantom Alt",$BC681,TRUE)</f>
        <v>1000</v>
      </c>
      <c r="BG681" s="57">
        <f ca="1">BF681*(AP681/100)</f>
        <v>0</v>
      </c>
      <c r="BH681" s="57">
        <f>SUMIF(Invoice!A:A,F681,Invoice!B:B)</f>
        <v>0</v>
      </c>
      <c r="BI681" s="57">
        <f ca="1">SUMIF(AS:AS,AS681,BG:BG)</f>
        <v>1000</v>
      </c>
      <c r="BJ681" s="57">
        <f ca="1">MIN((BI681-SUMIF($AS$5:AS680,AS681,$BJ$5:BJ680)),MAX(0,BH681-SUMIF($F$5:F680,F681,$BJ$5:BJ680)))</f>
        <v>0</v>
      </c>
      <c r="BK681" s="57">
        <f ca="1">(-SUMIF(AS:AS,AS681,BG:BG)+SUMIF(AS:AS,AS681,BJ:BJ))*(AP681=100)*AR681</f>
        <v>0</v>
      </c>
      <c r="BL681" s="57">
        <f ca="1">MAX(0,SUMIF(Invoice!A:A,F681,Invoice!B:B)-SUMIF(F:F,F681,BJ:BJ))*(COUNTIF(F:F,F681)=COUNTIF($F$5:F681,F681))</f>
        <v>0</v>
      </c>
    </row>
    <row r="682" spans="1:64" hidden="1">
      <c r="A682" s="43">
        <v>681</v>
      </c>
      <c r="B682" s="13" t="s">
        <v>147</v>
      </c>
      <c r="C682" s="13" t="s">
        <v>146</v>
      </c>
      <c r="D682" s="13">
        <v>2</v>
      </c>
      <c r="E682" s="13">
        <v>2260</v>
      </c>
      <c r="F682" s="71" t="s">
        <v>1609</v>
      </c>
      <c r="G682" s="71" t="s">
        <v>1605</v>
      </c>
      <c r="H682" s="13" t="s">
        <v>1606</v>
      </c>
      <c r="I682" s="13" t="s">
        <v>55</v>
      </c>
      <c r="J682" s="28">
        <v>0</v>
      </c>
      <c r="K682" s="13" t="s">
        <v>1428</v>
      </c>
      <c r="L682" s="13" t="s">
        <v>53</v>
      </c>
      <c r="M682" s="13">
        <v>1</v>
      </c>
      <c r="O682" s="13">
        <v>1</v>
      </c>
      <c r="P682" s="13">
        <v>2</v>
      </c>
      <c r="Q682" s="13">
        <v>5</v>
      </c>
      <c r="R682" s="13" t="s">
        <v>73</v>
      </c>
      <c r="S682" s="13" t="s">
        <v>73</v>
      </c>
      <c r="T682" s="13">
        <v>44901</v>
      </c>
      <c r="U682" s="13">
        <v>2958465</v>
      </c>
      <c r="V682" s="13" t="s">
        <v>282</v>
      </c>
      <c r="W682" s="13" t="s">
        <v>145</v>
      </c>
      <c r="Y682" s="13" t="s">
        <v>143</v>
      </c>
      <c r="Z682" s="13">
        <v>7589154</v>
      </c>
      <c r="AA682" s="13">
        <v>1254</v>
      </c>
      <c r="AB682" s="13">
        <v>627</v>
      </c>
      <c r="AE682" s="51">
        <f>M682/O682</f>
        <v>1</v>
      </c>
      <c r="AG682" s="6" t="str">
        <f>C682</f>
        <v>90MB1BJ0-C1BAY0</v>
      </c>
      <c r="AH682" s="6" t="str">
        <f>IF($D682&lt;=AH$4,"",IF(AND($D681=AH$4,$D682&gt;AH$4),$F681,AH681))</f>
        <v>59MB1BJB-MB0A02S</v>
      </c>
      <c r="AI682" s="6" t="str">
        <f>IF($D682&lt;=AI$4,"",IF(AND($D681=AI$4,$D682&gt;AI$4),$F681,AI681))</f>
        <v/>
      </c>
      <c r="AJ682" s="6" t="str">
        <f>IF($D682&lt;=AJ$4,"",IF(AND($D681=AJ$4,$D682&gt;AJ$4),$F681,AJ681))</f>
        <v/>
      </c>
      <c r="AK682" s="6" t="str">
        <f>IF($D682&lt;=AK$4,"",IF(AND($D681=AK$4,$D682&gt;AK$4),$F681,AK681))</f>
        <v/>
      </c>
      <c r="AL682" s="6" t="str">
        <f>IF($D682&lt;=AL$4,"",IF(AND($D681=AL$4,$D682&gt;AL$4),$F681,AL681))</f>
        <v/>
      </c>
      <c r="AM682" s="6" t="str">
        <f>IF($D682&lt;=AM$4,"",IF(AND($D681=AM$4,$D682&gt;AM$4),$F681,AM681))</f>
        <v/>
      </c>
      <c r="AN682" s="6" t="str">
        <f>IF($D682&lt;=AN$4,"",IF(AND($D681=AN$4,$D682&gt;AN$4),$F681,AN681))</f>
        <v/>
      </c>
      <c r="AO682" s="6" t="str">
        <f>CONCATENATE(AG682," | ",AH682," | ",AI682," | ",AJ682," | ",AK682," | ",AL682," | ",AM682," | ",AN682)</f>
        <v xml:space="preserve">90MB1BJ0-C1BAY0 | 59MB1BJB-MB0A02S |  |  |  |  |  | </v>
      </c>
      <c r="AP682" s="6">
        <f>IF(TRIM(H682)="",100,J682)</f>
        <v>0</v>
      </c>
      <c r="AQ682" s="4"/>
      <c r="AR682" s="6" t="b">
        <f>NOT(TRIM(W682)&lt;&gt;"F")</f>
        <v>1</v>
      </c>
      <c r="AS682" s="6" t="str">
        <f>$B682&amp;" | "&amp;$AO682&amp;" | "&amp;IF(TRIM(H682)="","uniq"&amp;ROW(),TRIM(H682))</f>
        <v>461E | 90MB1BJ0-C1BAY0 | 59MB1BJB-MB0A02S |  |  |  |  |  |  | M6</v>
      </c>
      <c r="AT682" s="63">
        <f>IF(NOT(AR682),IF(TRIM($H682)="","Assembly","Phantom Alt"),VLOOKUP(F682,ZPCS04!B:G,6,0))</f>
        <v>753</v>
      </c>
      <c r="AU682" s="7"/>
      <c r="AV682" s="38">
        <f ca="1">IF(TRIM($W682)="F",OFFSET($A$5,MATCH($AS682,$AS$5:$AS682,0)-1,0),$A682)</f>
        <v>683</v>
      </c>
      <c r="AW682" s="38">
        <f ca="1">IFERROR(OFFSET(ZPCS04!$A$1,MATCH(F682,ZPCS04!B:B,0)-1,0),100)</f>
        <v>2</v>
      </c>
      <c r="AX682" s="7"/>
      <c r="AY682" s="6" t="b">
        <f>SUMIF(AS:AS,AS682,AP:AP)=100</f>
        <v>1</v>
      </c>
      <c r="AZ682" s="6" t="b">
        <f>SUMIF(AS:AS,AS682,AE:AE)/COUNTIF(AS:AS,AS682)=AE682</f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>C682&amp;" | "&amp;F682</f>
        <v>90MB1BJ0-C1BAY0 | 11G232133214320</v>
      </c>
      <c r="BE682" s="55" t="str">
        <f ca="1">C682&amp;" | "&amp;OFFSET($AF682,0,8-COUNTBLANK($AG682:$AN682))</f>
        <v>90MB1BJ0-C1BAY0 | 59MB1BJB-MB0A02S</v>
      </c>
      <c r="BF682" s="57">
        <f ca="1">IFERROR(VLOOKUP($BE682,$BD$5:$BF681,3,0)*$AE682,VLOOKUP($C682,Demanda!$A:$B,2,0)*$AE682)*IF(AT682="Phantom Alt",$BC682,TRUE)</f>
        <v>1000</v>
      </c>
      <c r="BG682" s="57">
        <f ca="1">BF682*(AP682/100)</f>
        <v>0</v>
      </c>
      <c r="BH682" s="57">
        <f>SUMIF(Invoice!A:A,F682,Invoice!B:B)</f>
        <v>0</v>
      </c>
      <c r="BI682" s="57">
        <f ca="1">SUMIF(AS:AS,AS682,BG:BG)</f>
        <v>1000</v>
      </c>
      <c r="BJ682" s="57">
        <f ca="1">MIN((BI682-SUMIF($AS$5:AS681,AS682,$BJ$5:BJ681)),MAX(0,BH682-SUMIF($F$5:F681,F682,$BJ$5:BJ681)))</f>
        <v>0</v>
      </c>
      <c r="BK682" s="57">
        <f ca="1">(-SUMIF(AS:AS,AS682,BG:BG)+SUMIF(AS:AS,AS682,BJ:BJ))*(AP682=100)*AR682</f>
        <v>0</v>
      </c>
      <c r="BL682" s="57">
        <f ca="1">MAX(0,SUMIF(Invoice!A:A,F682,Invoice!B:B)-SUMIF(F:F,F682,BJ:BJ))*(COUNTIF(F:F,F682)=COUNTIF($F$5:F682,F682))</f>
        <v>0</v>
      </c>
    </row>
    <row r="683" spans="1:64" hidden="1">
      <c r="A683" s="43">
        <v>682</v>
      </c>
      <c r="B683" s="13" t="s">
        <v>147</v>
      </c>
      <c r="C683" s="13" t="s">
        <v>146</v>
      </c>
      <c r="D683" s="13">
        <v>2</v>
      </c>
      <c r="E683" s="13">
        <v>2260</v>
      </c>
      <c r="F683" s="71" t="s">
        <v>1610</v>
      </c>
      <c r="G683" s="71" t="s">
        <v>1605</v>
      </c>
      <c r="H683" s="13" t="s">
        <v>1606</v>
      </c>
      <c r="I683" s="13" t="s">
        <v>54</v>
      </c>
      <c r="J683" s="28">
        <v>100</v>
      </c>
      <c r="K683" s="13" t="s">
        <v>1428</v>
      </c>
      <c r="L683" s="13" t="s">
        <v>53</v>
      </c>
      <c r="M683" s="13">
        <v>1</v>
      </c>
      <c r="N683" s="13">
        <v>1</v>
      </c>
      <c r="O683" s="13">
        <v>1</v>
      </c>
      <c r="P683" s="13">
        <v>2</v>
      </c>
      <c r="Q683" s="13">
        <v>1</v>
      </c>
      <c r="R683" s="13" t="s">
        <v>73</v>
      </c>
      <c r="S683" s="13" t="s">
        <v>73</v>
      </c>
      <c r="T683" s="13">
        <v>44901</v>
      </c>
      <c r="U683" s="13">
        <v>2958465</v>
      </c>
      <c r="V683" s="13" t="s">
        <v>282</v>
      </c>
      <c r="W683" s="13" t="s">
        <v>145</v>
      </c>
      <c r="Y683" s="13" t="s">
        <v>143</v>
      </c>
      <c r="Z683" s="13">
        <v>7589154</v>
      </c>
      <c r="AA683" s="13">
        <v>1246</v>
      </c>
      <c r="AB683" s="13">
        <v>623</v>
      </c>
      <c r="AE683" s="51">
        <f>M683/O683</f>
        <v>1</v>
      </c>
      <c r="AG683" s="6" t="str">
        <f>C683</f>
        <v>90MB1BJ0-C1BAY0</v>
      </c>
      <c r="AH683" s="6" t="str">
        <f>IF($D683&lt;=AH$4,"",IF(AND($D682=AH$4,$D683&gt;AH$4),$F682,AH682))</f>
        <v>59MB1BJB-MB0A02S</v>
      </c>
      <c r="AI683" s="6" t="str">
        <f>IF($D683&lt;=AI$4,"",IF(AND($D682=AI$4,$D683&gt;AI$4),$F682,AI682))</f>
        <v/>
      </c>
      <c r="AJ683" s="6" t="str">
        <f>IF($D683&lt;=AJ$4,"",IF(AND($D682=AJ$4,$D683&gt;AJ$4),$F682,AJ682))</f>
        <v/>
      </c>
      <c r="AK683" s="6" t="str">
        <f>IF($D683&lt;=AK$4,"",IF(AND($D682=AK$4,$D683&gt;AK$4),$F682,AK682))</f>
        <v/>
      </c>
      <c r="AL683" s="6" t="str">
        <f>IF($D683&lt;=AL$4,"",IF(AND($D682=AL$4,$D683&gt;AL$4),$F682,AL682))</f>
        <v/>
      </c>
      <c r="AM683" s="6" t="str">
        <f>IF($D683&lt;=AM$4,"",IF(AND($D682=AM$4,$D683&gt;AM$4),$F682,AM682))</f>
        <v/>
      </c>
      <c r="AN683" s="6" t="str">
        <f>IF($D683&lt;=AN$4,"",IF(AND($D682=AN$4,$D683&gt;AN$4),$F682,AN682))</f>
        <v/>
      </c>
      <c r="AO683" s="6" t="str">
        <f>CONCATENATE(AG683," | ",AH683," | ",AI683," | ",AJ683," | ",AK683," | ",AL683," | ",AM683," | ",AN683)</f>
        <v xml:space="preserve">90MB1BJ0-C1BAY0 | 59MB1BJB-MB0A02S |  |  |  |  |  | </v>
      </c>
      <c r="AP683" s="6">
        <f>IF(TRIM(H683)="",100,J683)</f>
        <v>100</v>
      </c>
      <c r="AQ683" s="4"/>
      <c r="AR683" s="6" t="b">
        <f>NOT(TRIM(W683)&lt;&gt;"F")</f>
        <v>1</v>
      </c>
      <c r="AS683" s="6" t="str">
        <f>$B683&amp;" | "&amp;$AO683&amp;" | "&amp;IF(TRIM(H683)="","uniq"&amp;ROW(),TRIM(H683))</f>
        <v>461E | 90MB1BJ0-C1BAY0 | 59MB1BJB-MB0A02S |  |  |  |  |  |  | M6</v>
      </c>
      <c r="AT683" s="63">
        <f>IF(NOT(AR683),IF(TRIM($H683)="","Assembly","Phantom Alt"),VLOOKUP(F683,ZPCS04!B:G,6,0))</f>
        <v>753</v>
      </c>
      <c r="AU683" s="7"/>
      <c r="AV683" s="38">
        <f ca="1">IF(TRIM($W683)="F",OFFSET($A$5,MATCH($AS683,$AS$5:$AS683,0)-1,0),$A683)</f>
        <v>683</v>
      </c>
      <c r="AW683" s="38">
        <f ca="1">IFERROR(OFFSET(ZPCS04!$A$1,MATCH(F683,ZPCS04!B:B,0)-1,0),100)</f>
        <v>2</v>
      </c>
      <c r="AX683" s="7"/>
      <c r="AY683" s="6" t="b">
        <f>SUMIF(AS:AS,AS683,AP:AP)=100</f>
        <v>1</v>
      </c>
      <c r="AZ683" s="6" t="b">
        <f>SUMIF(AS:AS,AS683,AE:AE)/COUNTIF(AS:AS,AS683)=AE683</f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>C683&amp;" | "&amp;F683</f>
        <v>90MB1BJ0-C1BAY0 | 11G232133214360</v>
      </c>
      <c r="BE683" s="55" t="str">
        <f ca="1">C683&amp;" | "&amp;OFFSET($AF683,0,8-COUNTBLANK($AG683:$AN683))</f>
        <v>90MB1BJ0-C1BAY0 | 59MB1BJB-MB0A02S</v>
      </c>
      <c r="BF683" s="57">
        <f ca="1">IFERROR(VLOOKUP($BE683,$BD$5:$BF682,3,0)*$AE683,VLOOKUP($C683,Demanda!$A:$B,2,0)*$AE683)*IF(AT683="Phantom Alt",$BC683,TRUE)</f>
        <v>1000</v>
      </c>
      <c r="BG683" s="57">
        <f ca="1">BF683*(AP683/100)</f>
        <v>1000</v>
      </c>
      <c r="BH683" s="57">
        <f>SUMIF(Invoice!A:A,F683,Invoice!B:B)</f>
        <v>0</v>
      </c>
      <c r="BI683" s="57">
        <f ca="1">SUMIF(AS:AS,AS683,BG:BG)</f>
        <v>1000</v>
      </c>
      <c r="BJ683" s="57">
        <f ca="1">MIN((BI683-SUMIF($AS$5:AS682,AS683,$BJ$5:BJ682)),MAX(0,BH683-SUMIF($F$5:F682,F683,$BJ$5:BJ682)))</f>
        <v>0</v>
      </c>
      <c r="BK683" s="57">
        <f ca="1">(-SUMIF(AS:AS,AS683,BG:BG)+SUMIF(AS:AS,AS683,BJ:BJ))*(AP683=100)*AR683</f>
        <v>0</v>
      </c>
      <c r="BL683" s="57">
        <f ca="1">MAX(0,SUMIF(Invoice!A:A,F683,Invoice!B:B)-SUMIF(F:F,F683,BJ:BJ))*(COUNTIF(F:F,F683)=COUNTIF($F$5:F683,F683))</f>
        <v>0</v>
      </c>
    </row>
    <row r="684" spans="1:64" hidden="1">
      <c r="A684" s="43">
        <v>684</v>
      </c>
      <c r="B684" s="13" t="s">
        <v>147</v>
      </c>
      <c r="C684" s="13" t="s">
        <v>146</v>
      </c>
      <c r="D684" s="13">
        <v>2</v>
      </c>
      <c r="E684" s="13">
        <v>2270</v>
      </c>
      <c r="F684" s="71" t="s">
        <v>1613</v>
      </c>
      <c r="G684" s="71" t="s">
        <v>1614</v>
      </c>
      <c r="H684" s="13" t="s">
        <v>1615</v>
      </c>
      <c r="I684" s="13" t="s">
        <v>54</v>
      </c>
      <c r="J684" s="28">
        <v>100</v>
      </c>
      <c r="K684" s="13" t="s">
        <v>1428</v>
      </c>
      <c r="L684" s="13" t="s">
        <v>53</v>
      </c>
      <c r="M684" s="13">
        <v>10</v>
      </c>
      <c r="N684" s="13">
        <v>10</v>
      </c>
      <c r="O684" s="13">
        <v>1</v>
      </c>
      <c r="P684" s="13">
        <v>2</v>
      </c>
      <c r="Q684" s="13">
        <v>1</v>
      </c>
      <c r="R684" s="13" t="s">
        <v>122</v>
      </c>
      <c r="S684" s="13" t="s">
        <v>122</v>
      </c>
      <c r="T684" s="13">
        <v>44901</v>
      </c>
      <c r="U684" s="13">
        <v>2958465</v>
      </c>
      <c r="V684" s="13" t="s">
        <v>282</v>
      </c>
      <c r="W684" s="13" t="s">
        <v>145</v>
      </c>
      <c r="Y684" s="13" t="s">
        <v>143</v>
      </c>
      <c r="Z684" s="13">
        <v>7589154</v>
      </c>
      <c r="AA684" s="13">
        <v>1256</v>
      </c>
      <c r="AB684" s="13">
        <v>628</v>
      </c>
      <c r="AE684" s="51">
        <f>M684/O684</f>
        <v>10</v>
      </c>
      <c r="AG684" s="6" t="str">
        <f>C684</f>
        <v>90MB1BJ0-C1BAY0</v>
      </c>
      <c r="AH684" s="6" t="str">
        <f>IF($D684&lt;=AH$4,"",IF(AND($D683=AH$4,$D684&gt;AH$4),$F683,AH683))</f>
        <v>59MB1BJB-MB0A02S</v>
      </c>
      <c r="AI684" s="6" t="str">
        <f>IF($D684&lt;=AI$4,"",IF(AND($D683=AI$4,$D684&gt;AI$4),$F683,AI683))</f>
        <v/>
      </c>
      <c r="AJ684" s="6" t="str">
        <f>IF($D684&lt;=AJ$4,"",IF(AND($D683=AJ$4,$D684&gt;AJ$4),$F683,AJ683))</f>
        <v/>
      </c>
      <c r="AK684" s="6" t="str">
        <f>IF($D684&lt;=AK$4,"",IF(AND($D683=AK$4,$D684&gt;AK$4),$F683,AK683))</f>
        <v/>
      </c>
      <c r="AL684" s="6" t="str">
        <f>IF($D684&lt;=AL$4,"",IF(AND($D683=AL$4,$D684&gt;AL$4),$F683,AL683))</f>
        <v/>
      </c>
      <c r="AM684" s="6" t="str">
        <f>IF($D684&lt;=AM$4,"",IF(AND($D683=AM$4,$D684&gt;AM$4),$F683,AM683))</f>
        <v/>
      </c>
      <c r="AN684" s="6" t="str">
        <f>IF($D684&lt;=AN$4,"",IF(AND($D683=AN$4,$D684&gt;AN$4),$F683,AN683))</f>
        <v/>
      </c>
      <c r="AO684" s="6" t="str">
        <f>CONCATENATE(AG684," | ",AH684," | ",AI684," | ",AJ684," | ",AK684," | ",AL684," | ",AM684," | ",AN684)</f>
        <v xml:space="preserve">90MB1BJ0-C1BAY0 | 59MB1BJB-MB0A02S |  |  |  |  |  | </v>
      </c>
      <c r="AP684" s="6">
        <f>IF(TRIM(H684)="",100,J684)</f>
        <v>100</v>
      </c>
      <c r="AQ684" s="4"/>
      <c r="AR684" s="6" t="b">
        <f>NOT(TRIM(W684)&lt;&gt;"F")</f>
        <v>1</v>
      </c>
      <c r="AS684" s="6" t="str">
        <f>$B684&amp;" | "&amp;$AO684&amp;" | "&amp;IF(TRIM(H684)="","uniq"&amp;ROW(),TRIM(H684))</f>
        <v>461E | 90MB1BJ0-C1BAY0 | 59MB1BJB-MB0A02S |  |  |  |  |  |  | M7</v>
      </c>
      <c r="AT684" s="63">
        <f>IF(NOT(AR684),IF(TRIM($H684)="","Assembly","Phantom Alt"),VLOOKUP(F684,ZPCS04!B:G,6,0))</f>
        <v>1111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1.9999999000000002</v>
      </c>
      <c r="AX684" s="7"/>
      <c r="AY684" s="6" t="b">
        <f>SUMIF(AS:AS,AS684,AP:AP)=100</f>
        <v>1</v>
      </c>
      <c r="AZ684" s="6" t="b">
        <f>SUMIF(AS:AS,AS684,AE:AE)/COUNTIF(AS:AS,AS684)=AE684</f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>C684&amp;" | "&amp;F684</f>
        <v>90MB1BJ0-C1BAY0 | 11G232147114070</v>
      </c>
      <c r="BE684" s="55" t="str">
        <f ca="1">C684&amp;" | "&amp;OFFSET($AF684,0,8-COUNTBLANK($AG684:$AN684))</f>
        <v>90MB1BJ0-C1BAY0 | 59MB1BJB-MB0A02S</v>
      </c>
      <c r="BF684" s="57">
        <f ca="1">IFERROR(VLOOKUP($BE684,$BD$5:$BF683,3,0)*$AE684,VLOOKUP($C684,Demanda!$A:$B,2,0)*$AE684)*IF(AT684="Phantom Alt",$BC684,TRUE)</f>
        <v>10000</v>
      </c>
      <c r="BG684" s="57">
        <f ca="1">BF684*(AP684/100)</f>
        <v>10000</v>
      </c>
      <c r="BH684" s="57">
        <f>SUMIF(Invoice!A:A,F684,Invoice!B:B)</f>
        <v>10000</v>
      </c>
      <c r="BI684" s="57">
        <f ca="1">SUMIF(AS:AS,AS684,BG:BG)</f>
        <v>10000</v>
      </c>
      <c r="BJ684" s="57">
        <f ca="1">MIN((BI684-SUMIF($AS$5:AS683,AS684,$BJ$5:BJ683)),MAX(0,BH684-SUMIF($F$5:F683,F684,$BJ$5:BJ683)))</f>
        <v>10000</v>
      </c>
      <c r="BK684" s="57">
        <f ca="1">(-SUMIF(AS:AS,AS684,BG:BG)+SUMIF(AS:AS,AS684,BJ:BJ))*(AP684=100)*AR684</f>
        <v>0</v>
      </c>
      <c r="BL684" s="57">
        <f ca="1">MAX(0,SUMIF(Invoice!A:A,F684,Invoice!B:B)-SUMIF(F:F,F684,BJ:BJ))*(COUNTIF(F:F,F684)=COUNTIF($F$5:F684,F684))</f>
        <v>0</v>
      </c>
    </row>
    <row r="685" spans="1:64" hidden="1">
      <c r="A685" s="43">
        <v>685</v>
      </c>
      <c r="B685" s="13" t="s">
        <v>147</v>
      </c>
      <c r="C685" s="13" t="s">
        <v>146</v>
      </c>
      <c r="D685" s="13">
        <v>2</v>
      </c>
      <c r="E685" s="13">
        <v>2270</v>
      </c>
      <c r="F685" s="71" t="s">
        <v>1616</v>
      </c>
      <c r="G685" s="71" t="s">
        <v>1614</v>
      </c>
      <c r="H685" s="13" t="s">
        <v>1615</v>
      </c>
      <c r="I685" s="13" t="s">
        <v>55</v>
      </c>
      <c r="J685" s="28">
        <v>0</v>
      </c>
      <c r="K685" s="13" t="s">
        <v>1428</v>
      </c>
      <c r="L685" s="13" t="s">
        <v>53</v>
      </c>
      <c r="M685" s="13">
        <v>10</v>
      </c>
      <c r="O685" s="13">
        <v>1</v>
      </c>
      <c r="P685" s="13">
        <v>2</v>
      </c>
      <c r="Q685" s="13">
        <v>2</v>
      </c>
      <c r="R685" s="13" t="s">
        <v>122</v>
      </c>
      <c r="S685" s="13" t="s">
        <v>122</v>
      </c>
      <c r="T685" s="13">
        <v>44901</v>
      </c>
      <c r="U685" s="13">
        <v>2958465</v>
      </c>
      <c r="V685" s="13" t="s">
        <v>282</v>
      </c>
      <c r="W685" s="13" t="s">
        <v>145</v>
      </c>
      <c r="Y685" s="13" t="s">
        <v>143</v>
      </c>
      <c r="Z685" s="13">
        <v>7589154</v>
      </c>
      <c r="AA685" s="13">
        <v>1258</v>
      </c>
      <c r="AB685" s="13">
        <v>629</v>
      </c>
      <c r="AE685" s="51">
        <f>M685/O685</f>
        <v>10</v>
      </c>
      <c r="AG685" s="6" t="str">
        <f>C685</f>
        <v>90MB1BJ0-C1BAY0</v>
      </c>
      <c r="AH685" s="6" t="str">
        <f>IF($D685&lt;=AH$4,"",IF(AND($D684=AH$4,$D685&gt;AH$4),$F684,AH684))</f>
        <v>59MB1BJB-MB0A02S</v>
      </c>
      <c r="AI685" s="6" t="str">
        <f>IF($D685&lt;=AI$4,"",IF(AND($D684=AI$4,$D685&gt;AI$4),$F684,AI684))</f>
        <v/>
      </c>
      <c r="AJ685" s="6" t="str">
        <f>IF($D685&lt;=AJ$4,"",IF(AND($D684=AJ$4,$D685&gt;AJ$4),$F684,AJ684))</f>
        <v/>
      </c>
      <c r="AK685" s="6" t="str">
        <f>IF($D685&lt;=AK$4,"",IF(AND($D684=AK$4,$D685&gt;AK$4),$F684,AK684))</f>
        <v/>
      </c>
      <c r="AL685" s="6" t="str">
        <f>IF($D685&lt;=AL$4,"",IF(AND($D684=AL$4,$D685&gt;AL$4),$F684,AL684))</f>
        <v/>
      </c>
      <c r="AM685" s="6" t="str">
        <f>IF($D685&lt;=AM$4,"",IF(AND($D684=AM$4,$D685&gt;AM$4),$F684,AM684))</f>
        <v/>
      </c>
      <c r="AN685" s="6" t="str">
        <f>IF($D685&lt;=AN$4,"",IF(AND($D684=AN$4,$D685&gt;AN$4),$F684,AN684))</f>
        <v/>
      </c>
      <c r="AO685" s="6" t="str">
        <f>CONCATENATE(AG685," | ",AH685," | ",AI685," | ",AJ685," | ",AK685," | ",AL685," | ",AM685," | ",AN685)</f>
        <v xml:space="preserve">90MB1BJ0-C1BAY0 | 59MB1BJB-MB0A02S |  |  |  |  |  | </v>
      </c>
      <c r="AP685" s="6">
        <f>IF(TRIM(H685)="",100,J685)</f>
        <v>0</v>
      </c>
      <c r="AQ685" s="4"/>
      <c r="AR685" s="6" t="b">
        <f>NOT(TRIM(W685)&lt;&gt;"F")</f>
        <v>1</v>
      </c>
      <c r="AS685" s="6" t="str">
        <f>$B685&amp;" | "&amp;$AO685&amp;" | "&amp;IF(TRIM(H685)="","uniq"&amp;ROW(),TRIM(H685))</f>
        <v>461E | 90MB1BJ0-C1BAY0 | 59MB1BJB-MB0A02S |  |  |  |  |  |  | M7</v>
      </c>
      <c r="AT685" s="63">
        <f>IF(NOT(AR685),IF(TRIM($H685)="","Assembly","Phantom Alt"),VLOOKUP(F685,ZPCS04!B:G,6,0))</f>
        <v>1111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>SUMIF(AS:AS,AS685,AP:AP)=100</f>
        <v>1</v>
      </c>
      <c r="AZ685" s="6" t="b">
        <f>SUMIF(AS:AS,AS685,AE:AE)/COUNTIF(AS:AS,AS685)=AE685</f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>C685&amp;" | "&amp;F685</f>
        <v>90MB1BJ0-C1BAY0 | 11G232147114150</v>
      </c>
      <c r="BE685" s="55" t="str">
        <f ca="1">C685&amp;" | "&amp;OFFSET($AF685,0,8-COUNTBLANK($AG685:$AN685))</f>
        <v>90MB1BJ0-C1BAY0 | 59MB1BJB-MB0A02S</v>
      </c>
      <c r="BF685" s="57">
        <f ca="1">IFERROR(VLOOKUP($BE685,$BD$5:$BF684,3,0)*$AE685,VLOOKUP($C685,Demanda!$A:$B,2,0)*$AE685)*IF(AT685="Phantom Alt",$BC685,TRUE)</f>
        <v>10000</v>
      </c>
      <c r="BG685" s="57">
        <f ca="1">BF685*(AP685/100)</f>
        <v>0</v>
      </c>
      <c r="BH685" s="57">
        <f>SUMIF(Invoice!A:A,F685,Invoice!B:B)</f>
        <v>0</v>
      </c>
      <c r="BI685" s="57">
        <f ca="1">SUMIF(AS:AS,AS685,BG:BG)</f>
        <v>10000</v>
      </c>
      <c r="BJ685" s="57">
        <f ca="1">MIN((BI685-SUMIF($AS$5:AS684,AS685,$BJ$5:BJ684)),MAX(0,BH685-SUMIF($F$5:F684,F685,$BJ$5:BJ684)))</f>
        <v>0</v>
      </c>
      <c r="BK685" s="57">
        <f ca="1">(-SUMIF(AS:AS,AS685,BG:BG)+SUMIF(AS:AS,AS685,BJ:BJ))*(AP685=100)*AR685</f>
        <v>0</v>
      </c>
      <c r="BL685" s="57">
        <f ca="1">MAX(0,SUMIF(Invoice!A:A,F685,Invoice!B:B)-SUMIF(F:F,F685,BJ:BJ))*(COUNTIF(F:F,F685)=COUNTIF($F$5:F685,F685))</f>
        <v>0</v>
      </c>
    </row>
    <row r="686" spans="1:64" hidden="1">
      <c r="A686" s="43">
        <v>686</v>
      </c>
      <c r="B686" s="13" t="s">
        <v>147</v>
      </c>
      <c r="C686" s="13" t="s">
        <v>146</v>
      </c>
      <c r="D686" s="13">
        <v>2</v>
      </c>
      <c r="E686" s="13">
        <v>2270</v>
      </c>
      <c r="F686" s="71" t="s">
        <v>1617</v>
      </c>
      <c r="G686" s="71" t="s">
        <v>1614</v>
      </c>
      <c r="H686" s="13" t="s">
        <v>1615</v>
      </c>
      <c r="I686" s="13" t="s">
        <v>55</v>
      </c>
      <c r="J686" s="28">
        <v>0</v>
      </c>
      <c r="K686" s="13" t="s">
        <v>1428</v>
      </c>
      <c r="L686" s="13" t="s">
        <v>53</v>
      </c>
      <c r="M686" s="13">
        <v>10</v>
      </c>
      <c r="O686" s="13">
        <v>1</v>
      </c>
      <c r="P686" s="13">
        <v>2</v>
      </c>
      <c r="Q686" s="13">
        <v>3</v>
      </c>
      <c r="R686" s="13" t="s">
        <v>122</v>
      </c>
      <c r="S686" s="13" t="s">
        <v>122</v>
      </c>
      <c r="T686" s="13">
        <v>44901</v>
      </c>
      <c r="U686" s="13">
        <v>2958465</v>
      </c>
      <c r="V686" s="13" t="s">
        <v>282</v>
      </c>
      <c r="W686" s="13" t="s">
        <v>145</v>
      </c>
      <c r="Y686" s="13" t="s">
        <v>143</v>
      </c>
      <c r="Z686" s="13">
        <v>7589154</v>
      </c>
      <c r="AA686" s="13">
        <v>1260</v>
      </c>
      <c r="AB686" s="13">
        <v>630</v>
      </c>
      <c r="AE686" s="51">
        <f>M686/O686</f>
        <v>10</v>
      </c>
      <c r="AG686" s="6" t="str">
        <f>C686</f>
        <v>90MB1BJ0-C1BAY0</v>
      </c>
      <c r="AH686" s="6" t="str">
        <f>IF($D686&lt;=AH$4,"",IF(AND($D685=AH$4,$D686&gt;AH$4),$F685,AH685))</f>
        <v>59MB1BJB-MB0A02S</v>
      </c>
      <c r="AI686" s="6" t="str">
        <f>IF($D686&lt;=AI$4,"",IF(AND($D685=AI$4,$D686&gt;AI$4),$F685,AI685))</f>
        <v/>
      </c>
      <c r="AJ686" s="6" t="str">
        <f>IF($D686&lt;=AJ$4,"",IF(AND($D685=AJ$4,$D686&gt;AJ$4),$F685,AJ685))</f>
        <v/>
      </c>
      <c r="AK686" s="6" t="str">
        <f>IF($D686&lt;=AK$4,"",IF(AND($D685=AK$4,$D686&gt;AK$4),$F685,AK685))</f>
        <v/>
      </c>
      <c r="AL686" s="6" t="str">
        <f>IF($D686&lt;=AL$4,"",IF(AND($D685=AL$4,$D686&gt;AL$4),$F685,AL685))</f>
        <v/>
      </c>
      <c r="AM686" s="6" t="str">
        <f>IF($D686&lt;=AM$4,"",IF(AND($D685=AM$4,$D686&gt;AM$4),$F685,AM685))</f>
        <v/>
      </c>
      <c r="AN686" s="6" t="str">
        <f>IF($D686&lt;=AN$4,"",IF(AND($D685=AN$4,$D686&gt;AN$4),$F685,AN685))</f>
        <v/>
      </c>
      <c r="AO686" s="6" t="str">
        <f>CONCATENATE(AG686," | ",AH686," | ",AI686," | ",AJ686," | ",AK686," | ",AL686," | ",AM686," | ",AN686)</f>
        <v xml:space="preserve">90MB1BJ0-C1BAY0 | 59MB1BJB-MB0A02S |  |  |  |  |  | </v>
      </c>
      <c r="AP686" s="6">
        <f>IF(TRIM(H686)="",100,J686)</f>
        <v>0</v>
      </c>
      <c r="AQ686" s="4"/>
      <c r="AR686" s="6" t="b">
        <f>NOT(TRIM(W686)&lt;&gt;"F")</f>
        <v>1</v>
      </c>
      <c r="AS686" s="6" t="str">
        <f>$B686&amp;" | "&amp;$AO686&amp;" | "&amp;IF(TRIM(H686)="","uniq"&amp;ROW(),TRIM(H686))</f>
        <v>461E | 90MB1BJ0-C1BAY0 | 59MB1BJB-MB0A02S |  |  |  |  |  |  | M7</v>
      </c>
      <c r="AT686" s="63">
        <f>IF(NOT(AR686),IF(TRIM($H686)="","Assembly","Phantom Alt"),VLOOKUP(F686,ZPCS04!B:G,6,0))</f>
        <v>1111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2</v>
      </c>
      <c r="AX686" s="7"/>
      <c r="AY686" s="6" t="b">
        <f>SUMIF(AS:AS,AS686,AP:AP)=100</f>
        <v>1</v>
      </c>
      <c r="AZ686" s="6" t="b">
        <f>SUMIF(AS:AS,AS686,AE:AE)/COUNTIF(AS:AS,AS686)=AE686</f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>C686&amp;" | "&amp;F686</f>
        <v>90MB1BJ0-C1BAY0 | 11G232147114320</v>
      </c>
      <c r="BE686" s="55" t="str">
        <f ca="1">C686&amp;" | "&amp;OFFSET($AF686,0,8-COUNTBLANK($AG686:$AN686))</f>
        <v>90MB1BJ0-C1BAY0 | 59MB1BJB-MB0A02S</v>
      </c>
      <c r="BF686" s="57">
        <f ca="1">IFERROR(VLOOKUP($BE686,$BD$5:$BF685,3,0)*$AE686,VLOOKUP($C686,Demanda!$A:$B,2,0)*$AE686)*IF(AT686="Phantom Alt",$BC686,TRUE)</f>
        <v>10000</v>
      </c>
      <c r="BG686" s="57">
        <f ca="1">BF686*(AP686/100)</f>
        <v>0</v>
      </c>
      <c r="BH686" s="57">
        <f>SUMIF(Invoice!A:A,F686,Invoice!B:B)</f>
        <v>0</v>
      </c>
      <c r="BI686" s="57">
        <f ca="1">SUMIF(AS:AS,AS686,BG:BG)</f>
        <v>10000</v>
      </c>
      <c r="BJ686" s="57">
        <f ca="1">MIN((BI686-SUMIF($AS$5:AS685,AS686,$BJ$5:BJ685)),MAX(0,BH686-SUMIF($F$5:F685,F686,$BJ$5:BJ685)))</f>
        <v>0</v>
      </c>
      <c r="BK686" s="57">
        <f ca="1">(-SUMIF(AS:AS,AS686,BG:BG)+SUMIF(AS:AS,AS686,BJ:BJ))*(AP686=100)*AR686</f>
        <v>0</v>
      </c>
      <c r="BL686" s="57">
        <f ca="1">MAX(0,SUMIF(Invoice!A:A,F686,Invoice!B:B)-SUMIF(F:F,F686,BJ:BJ))*(COUNTIF(F:F,F686)=COUNTIF($F$5:F686,F686))</f>
        <v>0</v>
      </c>
    </row>
    <row r="687" spans="1:64" hidden="1">
      <c r="A687" s="43">
        <v>687</v>
      </c>
      <c r="B687" s="13" t="s">
        <v>147</v>
      </c>
      <c r="C687" s="13" t="s">
        <v>146</v>
      </c>
      <c r="D687" s="13">
        <v>2</v>
      </c>
      <c r="E687" s="13">
        <v>2270</v>
      </c>
      <c r="F687" s="71" t="s">
        <v>1618</v>
      </c>
      <c r="G687" s="71" t="s">
        <v>1619</v>
      </c>
      <c r="H687" s="13" t="s">
        <v>1615</v>
      </c>
      <c r="I687" s="13" t="s">
        <v>55</v>
      </c>
      <c r="J687" s="28">
        <v>0</v>
      </c>
      <c r="K687" s="13" t="s">
        <v>1428</v>
      </c>
      <c r="L687" s="13" t="s">
        <v>53</v>
      </c>
      <c r="M687" s="13">
        <v>10</v>
      </c>
      <c r="O687" s="13">
        <v>1</v>
      </c>
      <c r="P687" s="13">
        <v>2</v>
      </c>
      <c r="Q687" s="13">
        <v>5</v>
      </c>
      <c r="R687" s="13" t="s">
        <v>122</v>
      </c>
      <c r="S687" s="13" t="s">
        <v>122</v>
      </c>
      <c r="T687" s="13">
        <v>44901</v>
      </c>
      <c r="U687" s="13">
        <v>2958465</v>
      </c>
      <c r="V687" s="13" t="s">
        <v>282</v>
      </c>
      <c r="W687" s="13" t="s">
        <v>145</v>
      </c>
      <c r="Y687" s="13" t="s">
        <v>143</v>
      </c>
      <c r="Z687" s="13">
        <v>7589154</v>
      </c>
      <c r="AA687" s="13">
        <v>1264</v>
      </c>
      <c r="AB687" s="13">
        <v>632</v>
      </c>
      <c r="AE687" s="51">
        <f>M687/O687</f>
        <v>10</v>
      </c>
      <c r="AG687" s="6" t="str">
        <f>C687</f>
        <v>90MB1BJ0-C1BAY0</v>
      </c>
      <c r="AH687" s="6" t="str">
        <f>IF($D687&lt;=AH$4,"",IF(AND($D686=AH$4,$D687&gt;AH$4),$F686,AH686))</f>
        <v>59MB1BJB-MB0A02S</v>
      </c>
      <c r="AI687" s="6" t="str">
        <f>IF($D687&lt;=AI$4,"",IF(AND($D686=AI$4,$D687&gt;AI$4),$F686,AI686))</f>
        <v/>
      </c>
      <c r="AJ687" s="6" t="str">
        <f>IF($D687&lt;=AJ$4,"",IF(AND($D686=AJ$4,$D687&gt;AJ$4),$F686,AJ686))</f>
        <v/>
      </c>
      <c r="AK687" s="6" t="str">
        <f>IF($D687&lt;=AK$4,"",IF(AND($D686=AK$4,$D687&gt;AK$4),$F686,AK686))</f>
        <v/>
      </c>
      <c r="AL687" s="6" t="str">
        <f>IF($D687&lt;=AL$4,"",IF(AND($D686=AL$4,$D687&gt;AL$4),$F686,AL686))</f>
        <v/>
      </c>
      <c r="AM687" s="6" t="str">
        <f>IF($D687&lt;=AM$4,"",IF(AND($D686=AM$4,$D687&gt;AM$4),$F686,AM686))</f>
        <v/>
      </c>
      <c r="AN687" s="6" t="str">
        <f>IF($D687&lt;=AN$4,"",IF(AND($D686=AN$4,$D687&gt;AN$4),$F686,AN686))</f>
        <v/>
      </c>
      <c r="AO687" s="6" t="str">
        <f>CONCATENATE(AG687," | ",AH687," | ",AI687," | ",AJ687," | ",AK687," | ",AL687," | ",AM687," | ",AN687)</f>
        <v xml:space="preserve">90MB1BJ0-C1BAY0 | 59MB1BJB-MB0A02S |  |  |  |  |  | </v>
      </c>
      <c r="AP687" s="6">
        <f>IF(TRIM(H687)="",100,J687)</f>
        <v>0</v>
      </c>
      <c r="AQ687" s="4"/>
      <c r="AR687" s="6" t="b">
        <f>NOT(TRIM(W687)&lt;&gt;"F")</f>
        <v>1</v>
      </c>
      <c r="AS687" s="6" t="str">
        <f>$B687&amp;" | "&amp;$AO687&amp;" | "&amp;IF(TRIM(H687)="","uniq"&amp;ROW(),TRIM(H687))</f>
        <v>461E | 90MB1BJ0-C1BAY0 | 59MB1BJB-MB0A02S |  |  |  |  |  |  | M7</v>
      </c>
      <c r="AT687" s="63">
        <f>IF(NOT(AR687),IF(TRIM($H687)="","Assembly","Phantom Alt"),VLOOKUP(F687,ZPCS04!B:G,6,0))</f>
        <v>1111</v>
      </c>
      <c r="AU687" s="7"/>
      <c r="AV687" s="38">
        <f ca="1">IF(TRIM($W687)="F",OFFSET($A$5,MATCH($AS687,$AS$5:$AS687,0)-1,0),$A687)</f>
        <v>684</v>
      </c>
      <c r="AW687" s="38">
        <f ca="1">IFERROR(OFFSET(ZPCS04!$A$1,MATCH(F687,ZPCS04!B:B,0)-1,0),100)</f>
        <v>2</v>
      </c>
      <c r="AX687" s="7"/>
      <c r="AY687" s="6" t="b">
        <f>SUMIF(AS:AS,AS687,AP:AP)=100</f>
        <v>1</v>
      </c>
      <c r="AZ687" s="6" t="b">
        <f>SUMIF(AS:AS,AS687,AE:AE)/COUNTIF(AS:AS,AS687)=AE687</f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>C687&amp;" | "&amp;F687</f>
        <v>90MB1BJ0-C1BAY0 | 11G232147114360</v>
      </c>
      <c r="BE687" s="55" t="str">
        <f ca="1">C687&amp;" | "&amp;OFFSET($AF687,0,8-COUNTBLANK($AG687:$AN687))</f>
        <v>90MB1BJ0-C1BAY0 | 59MB1BJB-MB0A02S</v>
      </c>
      <c r="BF687" s="57">
        <f ca="1">IFERROR(VLOOKUP($BE687,$BD$5:$BF686,3,0)*$AE687,VLOOKUP($C687,Demanda!$A:$B,2,0)*$AE687)*IF(AT687="Phantom Alt",$BC687,TRUE)</f>
        <v>10000</v>
      </c>
      <c r="BG687" s="57">
        <f ca="1">BF687*(AP687/100)</f>
        <v>0</v>
      </c>
      <c r="BH687" s="57">
        <f>SUMIF(Invoice!A:A,F687,Invoice!B:B)</f>
        <v>0</v>
      </c>
      <c r="BI687" s="57">
        <f ca="1">SUMIF(AS:AS,AS687,BG:BG)</f>
        <v>10000</v>
      </c>
      <c r="BJ687" s="57">
        <f ca="1">MIN((BI687-SUMIF($AS$5:AS686,AS687,$BJ$5:BJ686)),MAX(0,BH687-SUMIF($F$5:F686,F687,$BJ$5:BJ686)))</f>
        <v>0</v>
      </c>
      <c r="BK687" s="57">
        <f ca="1">(-SUMIF(AS:AS,AS687,BG:BG)+SUMIF(AS:AS,AS687,BJ:BJ))*(AP687=100)*AR687</f>
        <v>0</v>
      </c>
      <c r="BL687" s="57">
        <f ca="1">MAX(0,SUMIF(Invoice!A:A,F687,Invoice!B:B)-SUMIF(F:F,F687,BJ:BJ))*(COUNTIF(F:F,F687)=COUNTIF($F$5:F687,F687))</f>
        <v>0</v>
      </c>
    </row>
    <row r="688" spans="1:64" hidden="1">
      <c r="A688" s="43">
        <v>688</v>
      </c>
      <c r="B688" s="13" t="s">
        <v>147</v>
      </c>
      <c r="C688" s="13" t="s">
        <v>146</v>
      </c>
      <c r="D688" s="13">
        <v>2</v>
      </c>
      <c r="E688" s="13">
        <v>2270</v>
      </c>
      <c r="F688" s="71" t="s">
        <v>1620</v>
      </c>
      <c r="G688" s="71" t="s">
        <v>1614</v>
      </c>
      <c r="H688" s="13" t="s">
        <v>1615</v>
      </c>
      <c r="I688" s="13" t="s">
        <v>55</v>
      </c>
      <c r="J688" s="28">
        <v>0</v>
      </c>
      <c r="K688" s="13" t="s">
        <v>1428</v>
      </c>
      <c r="L688" s="13" t="s">
        <v>53</v>
      </c>
      <c r="M688" s="13">
        <v>10</v>
      </c>
      <c r="O688" s="13">
        <v>1</v>
      </c>
      <c r="P688" s="13">
        <v>2</v>
      </c>
      <c r="Q688" s="13">
        <v>4</v>
      </c>
      <c r="R688" s="13" t="s">
        <v>122</v>
      </c>
      <c r="S688" s="13" t="s">
        <v>122</v>
      </c>
      <c r="T688" s="13">
        <v>44901</v>
      </c>
      <c r="U688" s="13">
        <v>2958465</v>
      </c>
      <c r="V688" s="13" t="s">
        <v>282</v>
      </c>
      <c r="W688" s="13" t="s">
        <v>145</v>
      </c>
      <c r="Y688" s="13" t="s">
        <v>143</v>
      </c>
      <c r="Z688" s="13">
        <v>7589154</v>
      </c>
      <c r="AA688" s="13">
        <v>1262</v>
      </c>
      <c r="AB688" s="13">
        <v>631</v>
      </c>
      <c r="AE688" s="51">
        <f>M688/O688</f>
        <v>10</v>
      </c>
      <c r="AG688" s="6" t="str">
        <f>C688</f>
        <v>90MB1BJ0-C1BAY0</v>
      </c>
      <c r="AH688" s="6" t="str">
        <f>IF($D688&lt;=AH$4,"",IF(AND($D687=AH$4,$D688&gt;AH$4),$F687,AH687))</f>
        <v>59MB1BJB-MB0A02S</v>
      </c>
      <c r="AI688" s="6" t="str">
        <f>IF($D688&lt;=AI$4,"",IF(AND($D687=AI$4,$D688&gt;AI$4),$F687,AI687))</f>
        <v/>
      </c>
      <c r="AJ688" s="6" t="str">
        <f>IF($D688&lt;=AJ$4,"",IF(AND($D687=AJ$4,$D688&gt;AJ$4),$F687,AJ687))</f>
        <v/>
      </c>
      <c r="AK688" s="6" t="str">
        <f>IF($D688&lt;=AK$4,"",IF(AND($D687=AK$4,$D688&gt;AK$4),$F687,AK687))</f>
        <v/>
      </c>
      <c r="AL688" s="6" t="str">
        <f>IF($D688&lt;=AL$4,"",IF(AND($D687=AL$4,$D688&gt;AL$4),$F687,AL687))</f>
        <v/>
      </c>
      <c r="AM688" s="6" t="str">
        <f>IF($D688&lt;=AM$4,"",IF(AND($D687=AM$4,$D688&gt;AM$4),$F687,AM687))</f>
        <v/>
      </c>
      <c r="AN688" s="6" t="str">
        <f>IF($D688&lt;=AN$4,"",IF(AND($D687=AN$4,$D688&gt;AN$4),$F687,AN687))</f>
        <v/>
      </c>
      <c r="AO688" s="6" t="str">
        <f>CONCATENATE(AG688," | ",AH688," | ",AI688," | ",AJ688," | ",AK688," | ",AL688," | ",AM688," | ",AN688)</f>
        <v xml:space="preserve">90MB1BJ0-C1BAY0 | 59MB1BJB-MB0A02S |  |  |  |  |  | </v>
      </c>
      <c r="AP688" s="6">
        <f>IF(TRIM(H688)="",100,J688)</f>
        <v>0</v>
      </c>
      <c r="AQ688" s="4"/>
      <c r="AR688" s="6" t="b">
        <f>NOT(TRIM(W688)&lt;&gt;"F")</f>
        <v>1</v>
      </c>
      <c r="AS688" s="6" t="str">
        <f>$B688&amp;" | "&amp;$AO688&amp;" | "&amp;IF(TRIM(H688)="","uniq"&amp;ROW(),TRIM(H688))</f>
        <v>461E | 90MB1BJ0-C1BAY0 | 59MB1BJB-MB0A02S |  |  |  |  |  |  | M7</v>
      </c>
      <c r="AT688" s="63">
        <f>IF(NOT(AR688),IF(TRIM($H688)="","Assembly","Phantom Alt"),VLOOKUP(F688,ZPCS04!B:G,6,0))</f>
        <v>1111</v>
      </c>
      <c r="AU688" s="7"/>
      <c r="AV688" s="38">
        <f ca="1">IF(TRIM($W688)="F",OFFSET($A$5,MATCH($AS688,$AS$5:$AS688,0)-1,0),$A688)</f>
        <v>684</v>
      </c>
      <c r="AW688" s="38">
        <f ca="1">IFERROR(OFFSET(ZPCS04!$A$1,MATCH(F688,ZPCS04!B:B,0)-1,0),100)</f>
        <v>2</v>
      </c>
      <c r="AX688" s="7"/>
      <c r="AY688" s="6" t="b">
        <f>SUMIF(AS:AS,AS688,AP:AP)=100</f>
        <v>1</v>
      </c>
      <c r="AZ688" s="6" t="b">
        <f>SUMIF(AS:AS,AS688,AE:AE)/COUNTIF(AS:AS,AS688)=AE688</f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>C688&amp;" | "&amp;F688</f>
        <v>90MB1BJ0-C1BAY0 | 11G232147114390</v>
      </c>
      <c r="BE688" s="55" t="str">
        <f ca="1">C688&amp;" | "&amp;OFFSET($AF688,0,8-COUNTBLANK($AG688:$AN688))</f>
        <v>90MB1BJ0-C1BAY0 | 59MB1BJB-MB0A02S</v>
      </c>
      <c r="BF688" s="57">
        <f ca="1">IFERROR(VLOOKUP($BE688,$BD$5:$BF687,3,0)*$AE688,VLOOKUP($C688,Demanda!$A:$B,2,0)*$AE688)*IF(AT688="Phantom Alt",$BC688,TRUE)</f>
        <v>10000</v>
      </c>
      <c r="BG688" s="57">
        <f ca="1">BF688*(AP688/100)</f>
        <v>0</v>
      </c>
      <c r="BH688" s="57">
        <f>SUMIF(Invoice!A:A,F688,Invoice!B:B)</f>
        <v>0</v>
      </c>
      <c r="BI688" s="57">
        <f ca="1">SUMIF(AS:AS,AS688,BG:BG)</f>
        <v>10000</v>
      </c>
      <c r="BJ688" s="57">
        <f ca="1">MIN((BI688-SUMIF($AS$5:AS687,AS688,$BJ$5:BJ687)),MAX(0,BH688-SUMIF($F$5:F687,F688,$BJ$5:BJ687)))</f>
        <v>0</v>
      </c>
      <c r="BK688" s="57">
        <f ca="1">(-SUMIF(AS:AS,AS688,BG:BG)+SUMIF(AS:AS,AS688,BJ:BJ))*(AP688=100)*AR688</f>
        <v>0</v>
      </c>
      <c r="BL688" s="57">
        <f ca="1">MAX(0,SUMIF(Invoice!A:A,F688,Invoice!B:B)-SUMIF(F:F,F688,BJ:BJ))*(COUNTIF(F:F,F688)=COUNTIF($F$5:F688,F688))</f>
        <v>0</v>
      </c>
    </row>
    <row r="689" spans="1:64" hidden="1">
      <c r="A689" s="43">
        <v>693</v>
      </c>
      <c r="B689" s="13" t="s">
        <v>147</v>
      </c>
      <c r="C689" s="13" t="s">
        <v>146</v>
      </c>
      <c r="D689" s="13">
        <v>2</v>
      </c>
      <c r="E689" s="13">
        <v>2280</v>
      </c>
      <c r="F689" s="71" t="s">
        <v>1628</v>
      </c>
      <c r="G689" s="71" t="s">
        <v>1622</v>
      </c>
      <c r="H689" s="13" t="s">
        <v>1623</v>
      </c>
      <c r="I689" s="13" t="s">
        <v>55</v>
      </c>
      <c r="J689" s="28">
        <v>0</v>
      </c>
      <c r="K689" s="13" t="s">
        <v>1428</v>
      </c>
      <c r="L689" s="13" t="s">
        <v>53</v>
      </c>
      <c r="M689" s="13">
        <v>2</v>
      </c>
      <c r="O689" s="13">
        <v>1</v>
      </c>
      <c r="P689" s="13">
        <v>2</v>
      </c>
      <c r="Q689" s="13">
        <v>3</v>
      </c>
      <c r="R689" s="13" t="s">
        <v>122</v>
      </c>
      <c r="S689" s="13" t="s">
        <v>122</v>
      </c>
      <c r="T689" s="13">
        <v>44901</v>
      </c>
      <c r="U689" s="13">
        <v>2958465</v>
      </c>
      <c r="V689" s="13" t="s">
        <v>282</v>
      </c>
      <c r="W689" s="13" t="s">
        <v>145</v>
      </c>
      <c r="Y689" s="13" t="s">
        <v>143</v>
      </c>
      <c r="Z689" s="13">
        <v>7589154</v>
      </c>
      <c r="AA689" s="13">
        <v>1270</v>
      </c>
      <c r="AB689" s="13">
        <v>635</v>
      </c>
      <c r="AE689" s="51">
        <f>M689/O689</f>
        <v>2</v>
      </c>
      <c r="AG689" s="6" t="str">
        <f>C689</f>
        <v>90MB1BJ0-C1BAY0</v>
      </c>
      <c r="AH689" s="6" t="str">
        <f>IF($D689&lt;=AH$4,"",IF(AND($D688=AH$4,$D689&gt;AH$4),$F688,AH688))</f>
        <v>59MB1BJB-MB0A02S</v>
      </c>
      <c r="AI689" s="6" t="str">
        <f>IF($D689&lt;=AI$4,"",IF(AND($D688=AI$4,$D689&gt;AI$4),$F688,AI688))</f>
        <v/>
      </c>
      <c r="AJ689" s="6" t="str">
        <f>IF($D689&lt;=AJ$4,"",IF(AND($D688=AJ$4,$D689&gt;AJ$4),$F688,AJ688))</f>
        <v/>
      </c>
      <c r="AK689" s="6" t="str">
        <f>IF($D689&lt;=AK$4,"",IF(AND($D688=AK$4,$D689&gt;AK$4),$F688,AK688))</f>
        <v/>
      </c>
      <c r="AL689" s="6" t="str">
        <f>IF($D689&lt;=AL$4,"",IF(AND($D688=AL$4,$D689&gt;AL$4),$F688,AL688))</f>
        <v/>
      </c>
      <c r="AM689" s="6" t="str">
        <f>IF($D689&lt;=AM$4,"",IF(AND($D688=AM$4,$D689&gt;AM$4),$F688,AM688))</f>
        <v/>
      </c>
      <c r="AN689" s="6" t="str">
        <f>IF($D689&lt;=AN$4,"",IF(AND($D688=AN$4,$D689&gt;AN$4),$F688,AN688))</f>
        <v/>
      </c>
      <c r="AO689" s="6" t="str">
        <f>CONCATENATE(AG689," | ",AH689," | ",AI689," | ",AJ689," | ",AK689," | ",AL689," | ",AM689," | ",AN689)</f>
        <v xml:space="preserve">90MB1BJ0-C1BAY0 | 59MB1BJB-MB0A02S |  |  |  |  |  | </v>
      </c>
      <c r="AP689" s="6">
        <f>IF(TRIM(H689)="",100,J689)</f>
        <v>0</v>
      </c>
      <c r="AQ689" s="4"/>
      <c r="AR689" s="6" t="b">
        <f>NOT(TRIM(W689)&lt;&gt;"F")</f>
        <v>1</v>
      </c>
      <c r="AS689" s="6" t="str">
        <f>$B689&amp;" | "&amp;$AO689&amp;" | "&amp;IF(TRIM(H689)="","uniq"&amp;ROW(),TRIM(H689))</f>
        <v>461E | 90MB1BJ0-C1BAY0 | 59MB1BJB-MB0A02S |  |  |  |  |  |  | M8</v>
      </c>
      <c r="AT689" s="63">
        <f>IF(NOT(AR689),IF(TRIM($H689)="","Assembly","Phantom Alt"),VLOOKUP(F689,ZPCS04!B:G,6,0))</f>
        <v>889</v>
      </c>
      <c r="AU689" s="7"/>
      <c r="AV689" s="38">
        <f ca="1">IF(TRIM($W689)="F",OFFSET($A$5,MATCH($AS689,$AS$5:$AS689,0)-1,0),$A689)</f>
        <v>693</v>
      </c>
      <c r="AW689" s="38">
        <f ca="1">IFERROR(OFFSET(ZPCS04!$A$1,MATCH(F689,ZPCS04!B:B,0)-1,0),100)</f>
        <v>1.9999999000000002</v>
      </c>
      <c r="AX689" s="7"/>
      <c r="AY689" s="6" t="b">
        <f>SUMIF(AS:AS,AS689,AP:AP)=100</f>
        <v>1</v>
      </c>
      <c r="AZ689" s="6" t="b">
        <f>SUMIF(AS:AS,AS689,AE:AE)/COUNTIF(AS:AS,AS689)=AE689</f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>C689&amp;" | "&amp;F689</f>
        <v>90MB1BJ0-C1BAY0 | 11G232147311390</v>
      </c>
      <c r="BE689" s="55" t="str">
        <f ca="1">C689&amp;" | "&amp;OFFSET($AF689,0,8-COUNTBLANK($AG689:$AN689))</f>
        <v>90MB1BJ0-C1BAY0 | 59MB1BJB-MB0A02S</v>
      </c>
      <c r="BF689" s="57">
        <f ca="1">IFERROR(VLOOKUP($BE689,$BD$5:$BF688,3,0)*$AE689,VLOOKUP($C689,Demanda!$A:$B,2,0)*$AE689)*IF(AT689="Phantom Alt",$BC689,TRUE)</f>
        <v>2000</v>
      </c>
      <c r="BG689" s="57">
        <f ca="1">BF689*(AP689/100)</f>
        <v>0</v>
      </c>
      <c r="BH689" s="57">
        <f>SUMIF(Invoice!A:A,F689,Invoice!B:B)</f>
        <v>10000</v>
      </c>
      <c r="BI689" s="57">
        <f ca="1">SUMIF(AS:AS,AS689,BG:BG)</f>
        <v>2000</v>
      </c>
      <c r="BJ689" s="57">
        <f ca="1">MIN((BI689-SUMIF($AS$5:AS688,AS689,$BJ$5:BJ688)),MAX(0,BH689-SUMIF($F$5:F688,F689,$BJ$5:BJ688)))</f>
        <v>2000</v>
      </c>
      <c r="BK689" s="57">
        <f ca="1">(-SUMIF(AS:AS,AS689,BG:BG)+SUMIF(AS:AS,AS689,BJ:BJ))*(AP689=100)*AR689</f>
        <v>0</v>
      </c>
      <c r="BL689" s="57">
        <f ca="1">MAX(0,SUMIF(Invoice!A:A,F689,Invoice!B:B)-SUMIF(F:F,F689,BJ:BJ))*(COUNTIF(F:F,F689)=COUNTIF($F$5:F689,F689))</f>
        <v>8000</v>
      </c>
    </row>
    <row r="690" spans="1:64" hidden="1">
      <c r="A690" s="43">
        <v>689</v>
      </c>
      <c r="B690" s="13" t="s">
        <v>147</v>
      </c>
      <c r="C690" s="13" t="s">
        <v>146</v>
      </c>
      <c r="D690" s="13">
        <v>2</v>
      </c>
      <c r="E690" s="13">
        <v>2280</v>
      </c>
      <c r="F690" s="71" t="s">
        <v>1621</v>
      </c>
      <c r="G690" s="71" t="s">
        <v>1622</v>
      </c>
      <c r="H690" s="13" t="s">
        <v>1623</v>
      </c>
      <c r="I690" s="13" t="s">
        <v>55</v>
      </c>
      <c r="J690" s="28">
        <v>0</v>
      </c>
      <c r="K690" s="13" t="s">
        <v>1428</v>
      </c>
      <c r="L690" s="13" t="s">
        <v>53</v>
      </c>
      <c r="M690" s="13">
        <v>2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44901</v>
      </c>
      <c r="U690" s="13">
        <v>2958465</v>
      </c>
      <c r="V690" s="13" t="s">
        <v>282</v>
      </c>
      <c r="W690" s="13" t="s">
        <v>145</v>
      </c>
      <c r="Y690" s="13" t="s">
        <v>143</v>
      </c>
      <c r="Z690" s="13">
        <v>7589154</v>
      </c>
      <c r="AA690" s="13">
        <v>1272</v>
      </c>
      <c r="AB690" s="13">
        <v>636</v>
      </c>
      <c r="AE690" s="51">
        <f>M690/O690</f>
        <v>2</v>
      </c>
      <c r="AG690" s="6" t="str">
        <f>C690</f>
        <v>90MB1BJ0-C1BAY0</v>
      </c>
      <c r="AH690" s="6" t="str">
        <f>IF($D690&lt;=AH$4,"",IF(AND($D689=AH$4,$D690&gt;AH$4),$F689,AH689))</f>
        <v>59MB1BJB-MB0A02S</v>
      </c>
      <c r="AI690" s="6" t="str">
        <f>IF($D690&lt;=AI$4,"",IF(AND($D689=AI$4,$D690&gt;AI$4),$F689,AI689))</f>
        <v/>
      </c>
      <c r="AJ690" s="6" t="str">
        <f>IF($D690&lt;=AJ$4,"",IF(AND($D689=AJ$4,$D690&gt;AJ$4),$F689,AJ689))</f>
        <v/>
      </c>
      <c r="AK690" s="6" t="str">
        <f>IF($D690&lt;=AK$4,"",IF(AND($D689=AK$4,$D690&gt;AK$4),$F689,AK689))</f>
        <v/>
      </c>
      <c r="AL690" s="6" t="str">
        <f>IF($D690&lt;=AL$4,"",IF(AND($D689=AL$4,$D690&gt;AL$4),$F689,AL689))</f>
        <v/>
      </c>
      <c r="AM690" s="6" t="str">
        <f>IF($D690&lt;=AM$4,"",IF(AND($D689=AM$4,$D690&gt;AM$4),$F689,AM689))</f>
        <v/>
      </c>
      <c r="AN690" s="6" t="str">
        <f>IF($D690&lt;=AN$4,"",IF(AND($D689=AN$4,$D690&gt;AN$4),$F689,AN689))</f>
        <v/>
      </c>
      <c r="AO690" s="6" t="str">
        <f>CONCATENATE(AG690," | ",AH690," | ",AI690," | ",AJ690," | ",AK690," | ",AL690," | ",AM690," | ",AN690)</f>
        <v xml:space="preserve">90MB1BJ0-C1BAY0 | 59MB1BJB-MB0A02S |  |  |  |  |  | </v>
      </c>
      <c r="AP690" s="6">
        <f>IF(TRIM(H690)="",100,J690)</f>
        <v>0</v>
      </c>
      <c r="AQ690" s="4"/>
      <c r="AR690" s="6" t="b">
        <f>NOT(TRIM(W690)&lt;&gt;"F")</f>
        <v>1</v>
      </c>
      <c r="AS690" s="6" t="str">
        <f>$B690&amp;" | "&amp;$AO690&amp;" | "&amp;IF(TRIM(H690)="","uniq"&amp;ROW(),TRIM(H690))</f>
        <v>461E | 90MB1BJ0-C1BAY0 | 59MB1BJB-MB0A02S |  |  |  |  |  |  | M8</v>
      </c>
      <c r="AT690" s="63">
        <f>IF(NOT(AR690),IF(TRIM($H690)="","Assembly","Phantom Alt"),VLOOKUP(F690,ZPCS04!B:G,6,0))</f>
        <v>889</v>
      </c>
      <c r="AU690" s="7"/>
      <c r="AV690" s="38">
        <f ca="1">IF(TRIM($W690)="F",OFFSET($A$5,MATCH($AS690,$AS$5:$AS690,0)-1,0),$A690)</f>
        <v>693</v>
      </c>
      <c r="AW690" s="38">
        <f ca="1">IFERROR(OFFSET(ZPCS04!$A$1,MATCH(F690,ZPCS04!B:B,0)-1,0),100)</f>
        <v>2</v>
      </c>
      <c r="AX690" s="7"/>
      <c r="AY690" s="6" t="b">
        <f>SUMIF(AS:AS,AS690,AP:AP)=100</f>
        <v>1</v>
      </c>
      <c r="AZ690" s="6" t="b">
        <f>SUMIF(AS:AS,AS690,AE:AE)/COUNTIF(AS:AS,AS690)=AE690</f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>C690&amp;" | "&amp;F690</f>
        <v>90MB1BJ0-C1BAY0 | 11G232147311070</v>
      </c>
      <c r="BE690" s="55" t="str">
        <f ca="1">C690&amp;" | "&amp;OFFSET($AF690,0,8-COUNTBLANK($AG690:$AN690))</f>
        <v>90MB1BJ0-C1BAY0 | 59MB1BJB-MB0A02S</v>
      </c>
      <c r="BF690" s="57">
        <f ca="1">IFERROR(VLOOKUP($BE690,$BD$5:$BF689,3,0)*$AE690,VLOOKUP($C690,Demanda!$A:$B,2,0)*$AE690)*IF(AT690="Phantom Alt",$BC690,TRUE)</f>
        <v>2000</v>
      </c>
      <c r="BG690" s="57">
        <f ca="1">BF690*(AP690/100)</f>
        <v>0</v>
      </c>
      <c r="BH690" s="57">
        <f>SUMIF(Invoice!A:A,F690,Invoice!B:B)</f>
        <v>0</v>
      </c>
      <c r="BI690" s="57">
        <f ca="1">SUMIF(AS:AS,AS690,BG:BG)</f>
        <v>2000</v>
      </c>
      <c r="BJ690" s="57">
        <f ca="1">MIN((BI690-SUMIF($AS$5:AS689,AS690,$BJ$5:BJ689)),MAX(0,BH690-SUMIF($F$5:F689,F690,$BJ$5:BJ689)))</f>
        <v>0</v>
      </c>
      <c r="BK690" s="57">
        <f ca="1">(-SUMIF(AS:AS,AS690,BG:BG)+SUMIF(AS:AS,AS690,BJ:BJ))*(AP690=100)*AR690</f>
        <v>0</v>
      </c>
      <c r="BL690" s="57">
        <f ca="1">MAX(0,SUMIF(Invoice!A:A,F690,Invoice!B:B)-SUMIF(F:F,F690,BJ:BJ))*(COUNTIF(F:F,F690)=COUNTIF($F$5:F690,F690))</f>
        <v>0</v>
      </c>
    </row>
    <row r="691" spans="1:64" hidden="1">
      <c r="A691" s="43">
        <v>690</v>
      </c>
      <c r="B691" s="13" t="s">
        <v>147</v>
      </c>
      <c r="C691" s="13" t="s">
        <v>146</v>
      </c>
      <c r="D691" s="13">
        <v>2</v>
      </c>
      <c r="E691" s="13">
        <v>2280</v>
      </c>
      <c r="F691" s="71" t="s">
        <v>1624</v>
      </c>
      <c r="G691" s="71" t="s">
        <v>1625</v>
      </c>
      <c r="H691" s="13" t="s">
        <v>1623</v>
      </c>
      <c r="I691" s="13" t="s">
        <v>54</v>
      </c>
      <c r="J691" s="28">
        <v>100</v>
      </c>
      <c r="K691" s="13" t="s">
        <v>1428</v>
      </c>
      <c r="L691" s="13" t="s">
        <v>53</v>
      </c>
      <c r="M691" s="13">
        <v>2</v>
      </c>
      <c r="N691" s="13">
        <v>2</v>
      </c>
      <c r="O691" s="13">
        <v>1</v>
      </c>
      <c r="P691" s="13">
        <v>2</v>
      </c>
      <c r="Q691" s="13">
        <v>1</v>
      </c>
      <c r="R691" s="13" t="s">
        <v>122</v>
      </c>
      <c r="S691" s="13" t="s">
        <v>122</v>
      </c>
      <c r="T691" s="13">
        <v>44901</v>
      </c>
      <c r="U691" s="13">
        <v>2958465</v>
      </c>
      <c r="V691" s="13" t="s">
        <v>282</v>
      </c>
      <c r="W691" s="13" t="s">
        <v>145</v>
      </c>
      <c r="Y691" s="13" t="s">
        <v>143</v>
      </c>
      <c r="Z691" s="13">
        <v>7589154</v>
      </c>
      <c r="AA691" s="13">
        <v>1266</v>
      </c>
      <c r="AB691" s="13">
        <v>633</v>
      </c>
      <c r="AE691" s="51">
        <f>M691/O691</f>
        <v>2</v>
      </c>
      <c r="AG691" s="6" t="str">
        <f>C691</f>
        <v>90MB1BJ0-C1BAY0</v>
      </c>
      <c r="AH691" s="6" t="str">
        <f>IF($D691&lt;=AH$4,"",IF(AND($D690=AH$4,$D691&gt;AH$4),$F690,AH690))</f>
        <v>59MB1BJB-MB0A02S</v>
      </c>
      <c r="AI691" s="6" t="str">
        <f>IF($D691&lt;=AI$4,"",IF(AND($D690=AI$4,$D691&gt;AI$4),$F690,AI690))</f>
        <v/>
      </c>
      <c r="AJ691" s="6" t="str">
        <f>IF($D691&lt;=AJ$4,"",IF(AND($D690=AJ$4,$D691&gt;AJ$4),$F690,AJ690))</f>
        <v/>
      </c>
      <c r="AK691" s="6" t="str">
        <f>IF($D691&lt;=AK$4,"",IF(AND($D690=AK$4,$D691&gt;AK$4),$F690,AK690))</f>
        <v/>
      </c>
      <c r="AL691" s="6" t="str">
        <f>IF($D691&lt;=AL$4,"",IF(AND($D690=AL$4,$D691&gt;AL$4),$F690,AL690))</f>
        <v/>
      </c>
      <c r="AM691" s="6" t="str">
        <f>IF($D691&lt;=AM$4,"",IF(AND($D690=AM$4,$D691&gt;AM$4),$F690,AM690))</f>
        <v/>
      </c>
      <c r="AN691" s="6" t="str">
        <f>IF($D691&lt;=AN$4,"",IF(AND($D690=AN$4,$D691&gt;AN$4),$F690,AN690))</f>
        <v/>
      </c>
      <c r="AO691" s="6" t="str">
        <f>CONCATENATE(AG691," | ",AH691," | ",AI691," | ",AJ691," | ",AK691," | ",AL691," | ",AM691," | ",AN691)</f>
        <v xml:space="preserve">90MB1BJ0-C1BAY0 | 59MB1BJB-MB0A02S |  |  |  |  |  | </v>
      </c>
      <c r="AP691" s="6">
        <f>IF(TRIM(H691)="",100,J691)</f>
        <v>100</v>
      </c>
      <c r="AQ691" s="4"/>
      <c r="AR691" s="6" t="b">
        <f>NOT(TRIM(W691)&lt;&gt;"F")</f>
        <v>1</v>
      </c>
      <c r="AS691" s="6" t="str">
        <f>$B691&amp;" | "&amp;$AO691&amp;" | "&amp;IF(TRIM(H691)="","uniq"&amp;ROW(),TRIM(H691))</f>
        <v>461E | 90MB1BJ0-C1BAY0 | 59MB1BJB-MB0A02S |  |  |  |  |  |  | M8</v>
      </c>
      <c r="AT691" s="63">
        <f>IF(NOT(AR691),IF(TRIM($H691)="","Assembly","Phantom Alt"),VLOOKUP(F691,ZPCS04!B:G,6,0))</f>
        <v>889</v>
      </c>
      <c r="AU691" s="7"/>
      <c r="AV691" s="38">
        <f ca="1">IF(TRIM($W691)="F",OFFSET($A$5,MATCH($AS691,$AS$5:$AS691,0)-1,0),$A691)</f>
        <v>693</v>
      </c>
      <c r="AW691" s="38">
        <f ca="1">IFERROR(OFFSET(ZPCS04!$A$1,MATCH(F691,ZPCS04!B:B,0)-1,0),100)</f>
        <v>2</v>
      </c>
      <c r="AX691" s="7"/>
      <c r="AY691" s="6" t="b">
        <f>SUMIF(AS:AS,AS691,AP:AP)=100</f>
        <v>1</v>
      </c>
      <c r="AZ691" s="6" t="b">
        <f>SUMIF(AS:AS,AS691,AE:AE)/COUNTIF(AS:AS,AS691)=AE691</f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>C691&amp;" | "&amp;F691</f>
        <v>90MB1BJ0-C1BAY0 | 11G232147311150</v>
      </c>
      <c r="BE691" s="55" t="str">
        <f ca="1">C691&amp;" | "&amp;OFFSET($AF691,0,8-COUNTBLANK($AG691:$AN691))</f>
        <v>90MB1BJ0-C1BAY0 | 59MB1BJB-MB0A02S</v>
      </c>
      <c r="BF691" s="57">
        <f ca="1">IFERROR(VLOOKUP($BE691,$BD$5:$BF690,3,0)*$AE691,VLOOKUP($C691,Demanda!$A:$B,2,0)*$AE691)*IF(AT691="Phantom Alt",$BC691,TRUE)</f>
        <v>2000</v>
      </c>
      <c r="BG691" s="57">
        <f ca="1">BF691*(AP691/100)</f>
        <v>2000</v>
      </c>
      <c r="BH691" s="57">
        <f>SUMIF(Invoice!A:A,F691,Invoice!B:B)</f>
        <v>0</v>
      </c>
      <c r="BI691" s="57">
        <f ca="1">SUMIF(AS:AS,AS691,BG:BG)</f>
        <v>2000</v>
      </c>
      <c r="BJ691" s="57">
        <f ca="1">MIN((BI691-SUMIF($AS$5:AS690,AS691,$BJ$5:BJ690)),MAX(0,BH691-SUMIF($F$5:F690,F691,$BJ$5:BJ690)))</f>
        <v>0</v>
      </c>
      <c r="BK691" s="57">
        <f ca="1">(-SUMIF(AS:AS,AS691,BG:BG)+SUMIF(AS:AS,AS691,BJ:BJ))*(AP691=100)*AR691</f>
        <v>0</v>
      </c>
      <c r="BL691" s="57">
        <f ca="1">MAX(0,SUMIF(Invoice!A:A,F691,Invoice!B:B)-SUMIF(F:F,F691,BJ:BJ))*(COUNTIF(F:F,F691)=COUNTIF($F$5:F691,F691))</f>
        <v>0</v>
      </c>
    </row>
    <row r="692" spans="1:64" hidden="1">
      <c r="A692" s="43">
        <v>691</v>
      </c>
      <c r="B692" s="13" t="s">
        <v>147</v>
      </c>
      <c r="C692" s="13" t="s">
        <v>146</v>
      </c>
      <c r="D692" s="13">
        <v>2</v>
      </c>
      <c r="E692" s="13">
        <v>2280</v>
      </c>
      <c r="F692" s="71" t="s">
        <v>1626</v>
      </c>
      <c r="G692" s="71" t="s">
        <v>1625</v>
      </c>
      <c r="H692" s="13" t="s">
        <v>1623</v>
      </c>
      <c r="I692" s="13" t="s">
        <v>55</v>
      </c>
      <c r="J692" s="28">
        <v>0</v>
      </c>
      <c r="K692" s="13" t="s">
        <v>1428</v>
      </c>
      <c r="L692" s="13" t="s">
        <v>53</v>
      </c>
      <c r="M692" s="13">
        <v>2</v>
      </c>
      <c r="O692" s="13">
        <v>1</v>
      </c>
      <c r="P692" s="13">
        <v>2</v>
      </c>
      <c r="Q692" s="13">
        <v>5</v>
      </c>
      <c r="R692" s="13" t="s">
        <v>122</v>
      </c>
      <c r="S692" s="13" t="s">
        <v>122</v>
      </c>
      <c r="T692" s="13">
        <v>44901</v>
      </c>
      <c r="U692" s="13">
        <v>2958465</v>
      </c>
      <c r="V692" s="13" t="s">
        <v>282</v>
      </c>
      <c r="W692" s="13" t="s">
        <v>145</v>
      </c>
      <c r="Y692" s="13" t="s">
        <v>143</v>
      </c>
      <c r="Z692" s="13">
        <v>7589154</v>
      </c>
      <c r="AA692" s="13">
        <v>1274</v>
      </c>
      <c r="AB692" s="13">
        <v>637</v>
      </c>
      <c r="AE692" s="51">
        <f>M692/O692</f>
        <v>2</v>
      </c>
      <c r="AG692" s="6" t="str">
        <f>C692</f>
        <v>90MB1BJ0-C1BAY0</v>
      </c>
      <c r="AH692" s="6" t="str">
        <f>IF($D692&lt;=AH$4,"",IF(AND($D691=AH$4,$D692&gt;AH$4),$F691,AH691))</f>
        <v>59MB1BJB-MB0A02S</v>
      </c>
      <c r="AI692" s="6" t="str">
        <f>IF($D692&lt;=AI$4,"",IF(AND($D691=AI$4,$D692&gt;AI$4),$F691,AI691))</f>
        <v/>
      </c>
      <c r="AJ692" s="6" t="str">
        <f>IF($D692&lt;=AJ$4,"",IF(AND($D691=AJ$4,$D692&gt;AJ$4),$F691,AJ691))</f>
        <v/>
      </c>
      <c r="AK692" s="6" t="str">
        <f>IF($D692&lt;=AK$4,"",IF(AND($D691=AK$4,$D692&gt;AK$4),$F691,AK691))</f>
        <v/>
      </c>
      <c r="AL692" s="6" t="str">
        <f>IF($D692&lt;=AL$4,"",IF(AND($D691=AL$4,$D692&gt;AL$4),$F691,AL691))</f>
        <v/>
      </c>
      <c r="AM692" s="6" t="str">
        <f>IF($D692&lt;=AM$4,"",IF(AND($D691=AM$4,$D692&gt;AM$4),$F691,AM691))</f>
        <v/>
      </c>
      <c r="AN692" s="6" t="str">
        <f>IF($D692&lt;=AN$4,"",IF(AND($D691=AN$4,$D692&gt;AN$4),$F691,AN691))</f>
        <v/>
      </c>
      <c r="AO692" s="6" t="str">
        <f>CONCATENATE(AG692," | ",AH692," | ",AI692," | ",AJ692," | ",AK692," | ",AL692," | ",AM692," | ",AN692)</f>
        <v xml:space="preserve">90MB1BJ0-C1BAY0 | 59MB1BJB-MB0A02S |  |  |  |  |  | </v>
      </c>
      <c r="AP692" s="6">
        <f>IF(TRIM(H692)="",100,J692)</f>
        <v>0</v>
      </c>
      <c r="AQ692" s="4"/>
      <c r="AR692" s="6" t="b">
        <f>NOT(TRIM(W692)&lt;&gt;"F")</f>
        <v>1</v>
      </c>
      <c r="AS692" s="6" t="str">
        <f>$B692&amp;" | "&amp;$AO692&amp;" | "&amp;IF(TRIM(H692)="","uniq"&amp;ROW(),TRIM(H692))</f>
        <v>461E | 90MB1BJ0-C1BAY0 | 59MB1BJB-MB0A02S |  |  |  |  |  |  | M8</v>
      </c>
      <c r="AT692" s="63">
        <f>IF(NOT(AR692),IF(TRIM($H692)="","Assembly","Phantom Alt"),VLOOKUP(F692,ZPCS04!B:G,6,0))</f>
        <v>889</v>
      </c>
      <c r="AU692" s="7"/>
      <c r="AV692" s="38">
        <f ca="1">IF(TRIM($W692)="F",OFFSET($A$5,MATCH($AS692,$AS$5:$AS692,0)-1,0),$A692)</f>
        <v>693</v>
      </c>
      <c r="AW692" s="38">
        <f ca="1">IFERROR(OFFSET(ZPCS04!$A$1,MATCH(F692,ZPCS04!B:B,0)-1,0),100)</f>
        <v>2</v>
      </c>
      <c r="AX692" s="7"/>
      <c r="AY692" s="6" t="b">
        <f>SUMIF(AS:AS,AS692,AP:AP)=100</f>
        <v>1</v>
      </c>
      <c r="AZ692" s="6" t="b">
        <f>SUMIF(AS:AS,AS692,AE:AE)/COUNTIF(AS:AS,AS692)=AE692</f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>C692&amp;" | "&amp;F692</f>
        <v>90MB1BJ0-C1BAY0 | 11G232147311320</v>
      </c>
      <c r="BE692" s="55" t="str">
        <f ca="1">C692&amp;" | "&amp;OFFSET($AF692,0,8-COUNTBLANK($AG692:$AN692))</f>
        <v>90MB1BJ0-C1BAY0 | 59MB1BJB-MB0A02S</v>
      </c>
      <c r="BF692" s="57">
        <f ca="1">IFERROR(VLOOKUP($BE692,$BD$5:$BF691,3,0)*$AE692,VLOOKUP($C692,Demanda!$A:$B,2,0)*$AE692)*IF(AT692="Phantom Alt",$BC692,TRUE)</f>
        <v>2000</v>
      </c>
      <c r="BG692" s="57">
        <f ca="1">BF692*(AP692/100)</f>
        <v>0</v>
      </c>
      <c r="BH692" s="57">
        <f>SUMIF(Invoice!A:A,F692,Invoice!B:B)</f>
        <v>0</v>
      </c>
      <c r="BI692" s="57">
        <f ca="1">SUMIF(AS:AS,AS692,BG:BG)</f>
        <v>2000</v>
      </c>
      <c r="BJ692" s="57">
        <f ca="1">MIN((BI692-SUMIF($AS$5:AS691,AS692,$BJ$5:BJ691)),MAX(0,BH692-SUMIF($F$5:F691,F692,$BJ$5:BJ691)))</f>
        <v>0</v>
      </c>
      <c r="BK692" s="57">
        <f ca="1">(-SUMIF(AS:AS,AS692,BG:BG)+SUMIF(AS:AS,AS692,BJ:BJ))*(AP692=100)*AR692</f>
        <v>0</v>
      </c>
      <c r="BL692" s="57">
        <f ca="1">MAX(0,SUMIF(Invoice!A:A,F692,Invoice!B:B)-SUMIF(F:F,F692,BJ:BJ))*(COUNTIF(F:F,F692)=COUNTIF($F$5:F692,F692))</f>
        <v>0</v>
      </c>
    </row>
    <row r="693" spans="1:64" hidden="1">
      <c r="A693" s="43">
        <v>692</v>
      </c>
      <c r="B693" s="13" t="s">
        <v>147</v>
      </c>
      <c r="C693" s="13" t="s">
        <v>146</v>
      </c>
      <c r="D693" s="13">
        <v>2</v>
      </c>
      <c r="E693" s="13">
        <v>2280</v>
      </c>
      <c r="F693" s="71" t="s">
        <v>1627</v>
      </c>
      <c r="G693" s="71" t="s">
        <v>1622</v>
      </c>
      <c r="H693" s="13" t="s">
        <v>1623</v>
      </c>
      <c r="I693" s="13" t="s">
        <v>55</v>
      </c>
      <c r="J693" s="28">
        <v>0</v>
      </c>
      <c r="K693" s="13" t="s">
        <v>1428</v>
      </c>
      <c r="L693" s="13" t="s">
        <v>53</v>
      </c>
      <c r="M693" s="13">
        <v>2</v>
      </c>
      <c r="O693" s="13">
        <v>1</v>
      </c>
      <c r="P693" s="13">
        <v>2</v>
      </c>
      <c r="Q693" s="13">
        <v>2</v>
      </c>
      <c r="R693" s="13" t="s">
        <v>122</v>
      </c>
      <c r="S693" s="13" t="s">
        <v>122</v>
      </c>
      <c r="T693" s="13">
        <v>44901</v>
      </c>
      <c r="U693" s="13">
        <v>2958465</v>
      </c>
      <c r="V693" s="13" t="s">
        <v>282</v>
      </c>
      <c r="W693" s="13" t="s">
        <v>145</v>
      </c>
      <c r="Y693" s="13" t="s">
        <v>143</v>
      </c>
      <c r="Z693" s="13">
        <v>7589154</v>
      </c>
      <c r="AA693" s="13">
        <v>1268</v>
      </c>
      <c r="AB693" s="13">
        <v>634</v>
      </c>
      <c r="AE693" s="51">
        <f>M693/O693</f>
        <v>2</v>
      </c>
      <c r="AG693" s="6" t="str">
        <f>C693</f>
        <v>90MB1BJ0-C1BAY0</v>
      </c>
      <c r="AH693" s="6" t="str">
        <f>IF($D693&lt;=AH$4,"",IF(AND($D692=AH$4,$D693&gt;AH$4),$F692,AH692))</f>
        <v>59MB1BJB-MB0A02S</v>
      </c>
      <c r="AI693" s="6" t="str">
        <f>IF($D693&lt;=AI$4,"",IF(AND($D692=AI$4,$D693&gt;AI$4),$F692,AI692))</f>
        <v/>
      </c>
      <c r="AJ693" s="6" t="str">
        <f>IF($D693&lt;=AJ$4,"",IF(AND($D692=AJ$4,$D693&gt;AJ$4),$F692,AJ692))</f>
        <v/>
      </c>
      <c r="AK693" s="6" t="str">
        <f>IF($D693&lt;=AK$4,"",IF(AND($D692=AK$4,$D693&gt;AK$4),$F692,AK692))</f>
        <v/>
      </c>
      <c r="AL693" s="6" t="str">
        <f>IF($D693&lt;=AL$4,"",IF(AND($D692=AL$4,$D693&gt;AL$4),$F692,AL692))</f>
        <v/>
      </c>
      <c r="AM693" s="6" t="str">
        <f>IF($D693&lt;=AM$4,"",IF(AND($D692=AM$4,$D693&gt;AM$4),$F692,AM692))</f>
        <v/>
      </c>
      <c r="AN693" s="6" t="str">
        <f>IF($D693&lt;=AN$4,"",IF(AND($D692=AN$4,$D693&gt;AN$4),$F692,AN692))</f>
        <v/>
      </c>
      <c r="AO693" s="6" t="str">
        <f>CONCATENATE(AG693," | ",AH693," | ",AI693," | ",AJ693," | ",AK693," | ",AL693," | ",AM693," | ",AN693)</f>
        <v xml:space="preserve">90MB1BJ0-C1BAY0 | 59MB1BJB-MB0A02S |  |  |  |  |  | </v>
      </c>
      <c r="AP693" s="6">
        <f>IF(TRIM(H693)="",100,J693)</f>
        <v>0</v>
      </c>
      <c r="AQ693" s="4"/>
      <c r="AR693" s="6" t="b">
        <f>NOT(TRIM(W693)&lt;&gt;"F")</f>
        <v>1</v>
      </c>
      <c r="AS693" s="6" t="str">
        <f>$B693&amp;" | "&amp;$AO693&amp;" | "&amp;IF(TRIM(H693)="","uniq"&amp;ROW(),TRIM(H693))</f>
        <v>461E | 90MB1BJ0-C1BAY0 | 59MB1BJB-MB0A02S |  |  |  |  |  |  | M8</v>
      </c>
      <c r="AT693" s="63">
        <f>IF(NOT(AR693),IF(TRIM($H693)="","Assembly","Phantom Alt"),VLOOKUP(F693,ZPCS04!B:G,6,0))</f>
        <v>889</v>
      </c>
      <c r="AU693" s="7"/>
      <c r="AV693" s="38">
        <f ca="1">IF(TRIM($W693)="F",OFFSET($A$5,MATCH($AS693,$AS$5:$AS693,0)-1,0),$A693)</f>
        <v>693</v>
      </c>
      <c r="AW693" s="38">
        <f ca="1">IFERROR(OFFSET(ZPCS04!$A$1,MATCH(F693,ZPCS04!B:B,0)-1,0),100)</f>
        <v>2</v>
      </c>
      <c r="AX693" s="7"/>
      <c r="AY693" s="6" t="b">
        <f>SUMIF(AS:AS,AS693,AP:AP)=100</f>
        <v>1</v>
      </c>
      <c r="AZ693" s="6" t="b">
        <f>SUMIF(AS:AS,AS693,AE:AE)/COUNTIF(AS:AS,AS693)=AE693</f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>C693&amp;" | "&amp;F693</f>
        <v>90MB1BJ0-C1BAY0 | 11G232147311360</v>
      </c>
      <c r="BE693" s="55" t="str">
        <f ca="1">C693&amp;" | "&amp;OFFSET($AF693,0,8-COUNTBLANK($AG693:$AN693))</f>
        <v>90MB1BJ0-C1BAY0 | 59MB1BJB-MB0A02S</v>
      </c>
      <c r="BF693" s="57">
        <f ca="1">IFERROR(VLOOKUP($BE693,$BD$5:$BF692,3,0)*$AE693,VLOOKUP($C693,Demanda!$A:$B,2,0)*$AE693)*IF(AT693="Phantom Alt",$BC693,TRUE)</f>
        <v>2000</v>
      </c>
      <c r="BG693" s="57">
        <f ca="1">BF693*(AP693/100)</f>
        <v>0</v>
      </c>
      <c r="BH693" s="57">
        <f>SUMIF(Invoice!A:A,F693,Invoice!B:B)</f>
        <v>0</v>
      </c>
      <c r="BI693" s="57">
        <f ca="1">SUMIF(AS:AS,AS693,BG:BG)</f>
        <v>2000</v>
      </c>
      <c r="BJ693" s="57">
        <f ca="1">MIN((BI693-SUMIF($AS$5:AS692,AS693,$BJ$5:BJ692)),MAX(0,BH693-SUMIF($F$5:F692,F693,$BJ$5:BJ692)))</f>
        <v>0</v>
      </c>
      <c r="BK693" s="57">
        <f ca="1">(-SUMIF(AS:AS,AS693,BG:BG)+SUMIF(AS:AS,AS693,BJ:BJ))*(AP693=100)*AR693</f>
        <v>0</v>
      </c>
      <c r="BL693" s="57">
        <f ca="1">MAX(0,SUMIF(Invoice!A:A,F693,Invoice!B:B)-SUMIF(F:F,F693,BJ:BJ))*(COUNTIF(F:F,F693)=COUNTIF($F$5:F693,F693))</f>
        <v>0</v>
      </c>
    </row>
    <row r="694" spans="1:64" hidden="1">
      <c r="A694" s="43">
        <v>698</v>
      </c>
      <c r="B694" s="13" t="s">
        <v>147</v>
      </c>
      <c r="C694" s="13" t="s">
        <v>146</v>
      </c>
      <c r="D694" s="13">
        <v>2</v>
      </c>
      <c r="E694" s="13">
        <v>2290</v>
      </c>
      <c r="F694" s="71" t="s">
        <v>1638</v>
      </c>
      <c r="G694" s="71" t="s">
        <v>1639</v>
      </c>
      <c r="H694" s="13" t="s">
        <v>1631</v>
      </c>
      <c r="I694" s="13" t="s">
        <v>54</v>
      </c>
      <c r="J694" s="28">
        <v>100</v>
      </c>
      <c r="K694" s="13" t="s">
        <v>1428</v>
      </c>
      <c r="L694" s="13" t="s">
        <v>53</v>
      </c>
      <c r="M694" s="13">
        <v>1</v>
      </c>
      <c r="N694" s="13">
        <v>1</v>
      </c>
      <c r="O694" s="13">
        <v>1</v>
      </c>
      <c r="P694" s="13">
        <v>2</v>
      </c>
      <c r="Q694" s="13">
        <v>1</v>
      </c>
      <c r="R694" s="13" t="s">
        <v>122</v>
      </c>
      <c r="S694" s="13" t="s">
        <v>122</v>
      </c>
      <c r="T694" s="13">
        <v>44901</v>
      </c>
      <c r="U694" s="13">
        <v>2958465</v>
      </c>
      <c r="V694" s="13" t="s">
        <v>282</v>
      </c>
      <c r="W694" s="13" t="s">
        <v>145</v>
      </c>
      <c r="Y694" s="13" t="s">
        <v>143</v>
      </c>
      <c r="Z694" s="13">
        <v>7589154</v>
      </c>
      <c r="AA694" s="13">
        <v>1276</v>
      </c>
      <c r="AB694" s="13">
        <v>638</v>
      </c>
      <c r="AE694" s="51">
        <f>M694/O694</f>
        <v>1</v>
      </c>
      <c r="AG694" s="6" t="str">
        <f>C694</f>
        <v>90MB1BJ0-C1BAY0</v>
      </c>
      <c r="AH694" s="6" t="str">
        <f>IF($D694&lt;=AH$4,"",IF(AND($D693=AH$4,$D694&gt;AH$4),$F693,AH693))</f>
        <v>59MB1BJB-MB0A02S</v>
      </c>
      <c r="AI694" s="6" t="str">
        <f>IF($D694&lt;=AI$4,"",IF(AND($D693=AI$4,$D694&gt;AI$4),$F693,AI693))</f>
        <v/>
      </c>
      <c r="AJ694" s="6" t="str">
        <f>IF($D694&lt;=AJ$4,"",IF(AND($D693=AJ$4,$D694&gt;AJ$4),$F693,AJ693))</f>
        <v/>
      </c>
      <c r="AK694" s="6" t="str">
        <f>IF($D694&lt;=AK$4,"",IF(AND($D693=AK$4,$D694&gt;AK$4),$F693,AK693))</f>
        <v/>
      </c>
      <c r="AL694" s="6" t="str">
        <f>IF($D694&lt;=AL$4,"",IF(AND($D693=AL$4,$D694&gt;AL$4),$F693,AL693))</f>
        <v/>
      </c>
      <c r="AM694" s="6" t="str">
        <f>IF($D694&lt;=AM$4,"",IF(AND($D693=AM$4,$D694&gt;AM$4),$F693,AM693))</f>
        <v/>
      </c>
      <c r="AN694" s="6" t="str">
        <f>IF($D694&lt;=AN$4,"",IF(AND($D693=AN$4,$D694&gt;AN$4),$F693,AN693))</f>
        <v/>
      </c>
      <c r="AO694" s="6" t="str">
        <f>CONCATENATE(AG694," | ",AH694," | ",AI694," | ",AJ694," | ",AK694," | ",AL694," | ",AM694," | ",AN694)</f>
        <v xml:space="preserve">90MB1BJ0-C1BAY0 | 59MB1BJB-MB0A02S |  |  |  |  |  | </v>
      </c>
      <c r="AP694" s="6">
        <f>IF(TRIM(H694)="",100,J694)</f>
        <v>100</v>
      </c>
      <c r="AQ694" s="4"/>
      <c r="AR694" s="6" t="b">
        <f>NOT(TRIM(W694)&lt;&gt;"F")</f>
        <v>1</v>
      </c>
      <c r="AS694" s="6" t="str">
        <f>$B694&amp;" | "&amp;$AO694&amp;" | "&amp;IF(TRIM(H694)="","uniq"&amp;ROW(),TRIM(H694))</f>
        <v>461E | 90MB1BJ0-C1BAY0 | 59MB1BJB-MB0A02S |  |  |  |  |  |  | M9</v>
      </c>
      <c r="AT694" s="63">
        <f>IF(NOT(AR694),IF(TRIM($H694)="","Assembly","Phantom Alt"),VLOOKUP(F694,ZPCS04!B:G,6,0))</f>
        <v>1043</v>
      </c>
      <c r="AU694" s="7"/>
      <c r="AV694" s="38">
        <f ca="1">IF(TRIM($W694)="F",OFFSET($A$5,MATCH($AS694,$AS$5:$AS694,0)-1,0),$A694)</f>
        <v>698</v>
      </c>
      <c r="AW694" s="38">
        <f ca="1">IFERROR(OFFSET(ZPCS04!$A$1,MATCH(F694,ZPCS04!B:B,0)-1,0),100)</f>
        <v>1.9999999000000002</v>
      </c>
      <c r="AX694" s="7"/>
      <c r="AY694" s="6" t="b">
        <f>SUMIF(AS:AS,AS694,AP:AP)=100</f>
        <v>1</v>
      </c>
      <c r="AZ694" s="6" t="b">
        <f>SUMIF(AS:AS,AS694,AE:AE)/COUNTIF(AS:AS,AS694)=AE694</f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>C694&amp;" | "&amp;F694</f>
        <v>90MB1BJ0-C1BAY0 | 11G232168114390</v>
      </c>
      <c r="BE694" s="55" t="str">
        <f ca="1">C694&amp;" | "&amp;OFFSET($AF694,0,8-COUNTBLANK($AG694:$AN694))</f>
        <v>90MB1BJ0-C1BAY0 | 59MB1BJB-MB0A02S</v>
      </c>
      <c r="BF694" s="57">
        <f ca="1">IFERROR(VLOOKUP($BE694,$BD$5:$BF693,3,0)*$AE694,VLOOKUP($C694,Demanda!$A:$B,2,0)*$AE694)*IF(AT694="Phantom Alt",$BC694,TRUE)</f>
        <v>1000</v>
      </c>
      <c r="BG694" s="57">
        <f ca="1">BF694*(AP694/100)</f>
        <v>1000</v>
      </c>
      <c r="BH694" s="57">
        <f>SUMIF(Invoice!A:A,F694,Invoice!B:B)</f>
        <v>10000</v>
      </c>
      <c r="BI694" s="57">
        <f ca="1">SUMIF(AS:AS,AS694,BG:BG)</f>
        <v>1000</v>
      </c>
      <c r="BJ694" s="57">
        <f ca="1">MIN((BI694-SUMIF($AS$5:AS693,AS694,$BJ$5:BJ693)),MAX(0,BH694-SUMIF($F$5:F693,F694,$BJ$5:BJ693)))</f>
        <v>1000</v>
      </c>
      <c r="BK694" s="57">
        <f ca="1">(-SUMIF(AS:AS,AS694,BG:BG)+SUMIF(AS:AS,AS694,BJ:BJ))*(AP694=100)*AR694</f>
        <v>0</v>
      </c>
      <c r="BL694" s="57">
        <f ca="1">MAX(0,SUMIF(Invoice!A:A,F694,Invoice!B:B)-SUMIF(F:F,F694,BJ:BJ))*(COUNTIF(F:F,F694)=COUNTIF($F$5:F694,F694))</f>
        <v>9000</v>
      </c>
    </row>
    <row r="695" spans="1:64" hidden="1">
      <c r="A695" s="43">
        <v>694</v>
      </c>
      <c r="B695" s="13" t="s">
        <v>147</v>
      </c>
      <c r="C695" s="13" t="s">
        <v>146</v>
      </c>
      <c r="D695" s="13">
        <v>2</v>
      </c>
      <c r="E695" s="13">
        <v>2290</v>
      </c>
      <c r="F695" s="71" t="s">
        <v>1629</v>
      </c>
      <c r="G695" s="71" t="s">
        <v>1630</v>
      </c>
      <c r="H695" s="13" t="s">
        <v>1631</v>
      </c>
      <c r="I695" s="13" t="s">
        <v>55</v>
      </c>
      <c r="J695" s="28">
        <v>0</v>
      </c>
      <c r="K695" s="13" t="s">
        <v>1428</v>
      </c>
      <c r="L695" s="13" t="s">
        <v>53</v>
      </c>
      <c r="M695" s="13">
        <v>1</v>
      </c>
      <c r="O695" s="13">
        <v>1</v>
      </c>
      <c r="P695" s="13">
        <v>2</v>
      </c>
      <c r="Q695" s="13">
        <v>5</v>
      </c>
      <c r="R695" s="13" t="s">
        <v>122</v>
      </c>
      <c r="S695" s="13" t="s">
        <v>122</v>
      </c>
      <c r="T695" s="13">
        <v>44901</v>
      </c>
      <c r="U695" s="13">
        <v>2958465</v>
      </c>
      <c r="V695" s="13" t="s">
        <v>282</v>
      </c>
      <c r="W695" s="13" t="s">
        <v>145</v>
      </c>
      <c r="Y695" s="13" t="s">
        <v>143</v>
      </c>
      <c r="Z695" s="13">
        <v>7589154</v>
      </c>
      <c r="AA695" s="13">
        <v>1284</v>
      </c>
      <c r="AB695" s="13">
        <v>642</v>
      </c>
      <c r="AE695" s="51">
        <f>M695/O695</f>
        <v>1</v>
      </c>
      <c r="AG695" s="6" t="str">
        <f>C695</f>
        <v>90MB1BJ0-C1BAY0</v>
      </c>
      <c r="AH695" s="6" t="str">
        <f>IF($D695&lt;=AH$4,"",IF(AND($D694=AH$4,$D695&gt;AH$4),$F694,AH694))</f>
        <v>59MB1BJB-MB0A02S</v>
      </c>
      <c r="AI695" s="6" t="str">
        <f>IF($D695&lt;=AI$4,"",IF(AND($D694=AI$4,$D695&gt;AI$4),$F694,AI694))</f>
        <v/>
      </c>
      <c r="AJ695" s="6" t="str">
        <f>IF($D695&lt;=AJ$4,"",IF(AND($D694=AJ$4,$D695&gt;AJ$4),$F694,AJ694))</f>
        <v/>
      </c>
      <c r="AK695" s="6" t="str">
        <f>IF($D695&lt;=AK$4,"",IF(AND($D694=AK$4,$D695&gt;AK$4),$F694,AK694))</f>
        <v/>
      </c>
      <c r="AL695" s="6" t="str">
        <f>IF($D695&lt;=AL$4,"",IF(AND($D694=AL$4,$D695&gt;AL$4),$F694,AL694))</f>
        <v/>
      </c>
      <c r="AM695" s="6" t="str">
        <f>IF($D695&lt;=AM$4,"",IF(AND($D694=AM$4,$D695&gt;AM$4),$F694,AM694))</f>
        <v/>
      </c>
      <c r="AN695" s="6" t="str">
        <f>IF($D695&lt;=AN$4,"",IF(AND($D694=AN$4,$D695&gt;AN$4),$F694,AN694))</f>
        <v/>
      </c>
      <c r="AO695" s="6" t="str">
        <f>CONCATENATE(AG695," | ",AH695," | ",AI695," | ",AJ695," | ",AK695," | ",AL695," | ",AM695," | ",AN695)</f>
        <v xml:space="preserve">90MB1BJ0-C1BAY0 | 59MB1BJB-MB0A02S |  |  |  |  |  | </v>
      </c>
      <c r="AP695" s="6">
        <f>IF(TRIM(H695)="",100,J695)</f>
        <v>0</v>
      </c>
      <c r="AQ695" s="4"/>
      <c r="AR695" s="6" t="b">
        <f>NOT(TRIM(W695)&lt;&gt;"F")</f>
        <v>1</v>
      </c>
      <c r="AS695" s="6" t="str">
        <f>$B695&amp;" | "&amp;$AO695&amp;" | "&amp;IF(TRIM(H695)="","uniq"&amp;ROW(),TRIM(H695))</f>
        <v>461E | 90MB1BJ0-C1BAY0 | 59MB1BJB-MB0A02S |  |  |  |  |  |  | M9</v>
      </c>
      <c r="AT695" s="63">
        <f>IF(NOT(AR695),IF(TRIM($H695)="","Assembly","Phantom Alt"),VLOOKUP(F695,ZPCS04!B:G,6,0))</f>
        <v>1043</v>
      </c>
      <c r="AU695" s="7"/>
      <c r="AV695" s="38">
        <f ca="1">IF(TRIM($W695)="F",OFFSET($A$5,MATCH($AS695,$AS$5:$AS695,0)-1,0),$A695)</f>
        <v>698</v>
      </c>
      <c r="AW695" s="38">
        <f ca="1">IFERROR(OFFSET(ZPCS04!$A$1,MATCH(F695,ZPCS04!B:B,0)-1,0),100)</f>
        <v>2</v>
      </c>
      <c r="AX695" s="7"/>
      <c r="AY695" s="6" t="b">
        <f>SUMIF(AS:AS,AS695,AP:AP)=100</f>
        <v>1</v>
      </c>
      <c r="AZ695" s="6" t="b">
        <f>SUMIF(AS:AS,AS695,AE:AE)/COUNTIF(AS:AS,AS695)=AE695</f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>C695&amp;" | "&amp;F695</f>
        <v>90MB1BJ0-C1BAY0 | 11G232168114070</v>
      </c>
      <c r="BE695" s="55" t="str">
        <f ca="1">C695&amp;" | "&amp;OFFSET($AF695,0,8-COUNTBLANK($AG695:$AN695))</f>
        <v>90MB1BJ0-C1BAY0 | 59MB1BJB-MB0A02S</v>
      </c>
      <c r="BF695" s="57">
        <f ca="1">IFERROR(VLOOKUP($BE695,$BD$5:$BF694,3,0)*$AE695,VLOOKUP($C695,Demanda!$A:$B,2,0)*$AE695)*IF(AT695="Phantom Alt",$BC695,TRUE)</f>
        <v>1000</v>
      </c>
      <c r="BG695" s="57">
        <f ca="1">BF695*(AP695/100)</f>
        <v>0</v>
      </c>
      <c r="BH695" s="57">
        <f>SUMIF(Invoice!A:A,F695,Invoice!B:B)</f>
        <v>0</v>
      </c>
      <c r="BI695" s="57">
        <f ca="1">SUMIF(AS:AS,AS695,BG:BG)</f>
        <v>1000</v>
      </c>
      <c r="BJ695" s="57">
        <f ca="1">MIN((BI695-SUMIF($AS$5:AS694,AS695,$BJ$5:BJ694)),MAX(0,BH695-SUMIF($F$5:F694,F695,$BJ$5:BJ694)))</f>
        <v>0</v>
      </c>
      <c r="BK695" s="57">
        <f ca="1">(-SUMIF(AS:AS,AS695,BG:BG)+SUMIF(AS:AS,AS695,BJ:BJ))*(AP695=100)*AR695</f>
        <v>0</v>
      </c>
      <c r="BL695" s="57">
        <f ca="1">MAX(0,SUMIF(Invoice!A:A,F695,Invoice!B:B)-SUMIF(F:F,F695,BJ:BJ))*(COUNTIF(F:F,F695)=COUNTIF($F$5:F695,F695))</f>
        <v>0</v>
      </c>
    </row>
    <row r="696" spans="1:64" hidden="1">
      <c r="A696" s="43">
        <v>695</v>
      </c>
      <c r="B696" s="13" t="s">
        <v>147</v>
      </c>
      <c r="C696" s="13" t="s">
        <v>146</v>
      </c>
      <c r="D696" s="13">
        <v>2</v>
      </c>
      <c r="E696" s="13">
        <v>2290</v>
      </c>
      <c r="F696" s="71" t="s">
        <v>1632</v>
      </c>
      <c r="G696" s="71" t="s">
        <v>1633</v>
      </c>
      <c r="H696" s="13" t="s">
        <v>1631</v>
      </c>
      <c r="I696" s="13" t="s">
        <v>55</v>
      </c>
      <c r="J696" s="28">
        <v>0</v>
      </c>
      <c r="K696" s="13" t="s">
        <v>1428</v>
      </c>
      <c r="L696" s="13" t="s">
        <v>53</v>
      </c>
      <c r="M696" s="13">
        <v>1</v>
      </c>
      <c r="O696" s="13">
        <v>1</v>
      </c>
      <c r="P696" s="13">
        <v>2</v>
      </c>
      <c r="Q696" s="13">
        <v>2</v>
      </c>
      <c r="R696" s="13" t="s">
        <v>122</v>
      </c>
      <c r="S696" s="13" t="s">
        <v>122</v>
      </c>
      <c r="T696" s="13">
        <v>44901</v>
      </c>
      <c r="U696" s="13">
        <v>2958465</v>
      </c>
      <c r="V696" s="13" t="s">
        <v>282</v>
      </c>
      <c r="W696" s="13" t="s">
        <v>145</v>
      </c>
      <c r="Y696" s="13" t="s">
        <v>143</v>
      </c>
      <c r="Z696" s="13">
        <v>7589154</v>
      </c>
      <c r="AA696" s="13">
        <v>1278</v>
      </c>
      <c r="AB696" s="13">
        <v>639</v>
      </c>
      <c r="AE696" s="51">
        <f>M696/O696</f>
        <v>1</v>
      </c>
      <c r="AG696" s="6" t="str">
        <f>C696</f>
        <v>90MB1BJ0-C1BAY0</v>
      </c>
      <c r="AH696" s="6" t="str">
        <f>IF($D696&lt;=AH$4,"",IF(AND($D695=AH$4,$D696&gt;AH$4),$F695,AH695))</f>
        <v>59MB1BJB-MB0A02S</v>
      </c>
      <c r="AI696" s="6" t="str">
        <f>IF($D696&lt;=AI$4,"",IF(AND($D695=AI$4,$D696&gt;AI$4),$F695,AI695))</f>
        <v/>
      </c>
      <c r="AJ696" s="6" t="str">
        <f>IF($D696&lt;=AJ$4,"",IF(AND($D695=AJ$4,$D696&gt;AJ$4),$F695,AJ695))</f>
        <v/>
      </c>
      <c r="AK696" s="6" t="str">
        <f>IF($D696&lt;=AK$4,"",IF(AND($D695=AK$4,$D696&gt;AK$4),$F695,AK695))</f>
        <v/>
      </c>
      <c r="AL696" s="6" t="str">
        <f>IF($D696&lt;=AL$4,"",IF(AND($D695=AL$4,$D696&gt;AL$4),$F695,AL695))</f>
        <v/>
      </c>
      <c r="AM696" s="6" t="str">
        <f>IF($D696&lt;=AM$4,"",IF(AND($D695=AM$4,$D696&gt;AM$4),$F695,AM695))</f>
        <v/>
      </c>
      <c r="AN696" s="6" t="str">
        <f>IF($D696&lt;=AN$4,"",IF(AND($D695=AN$4,$D696&gt;AN$4),$F695,AN695))</f>
        <v/>
      </c>
      <c r="AO696" s="6" t="str">
        <f>CONCATENATE(AG696," | ",AH696," | ",AI696," | ",AJ696," | ",AK696," | ",AL696," | ",AM696," | ",AN696)</f>
        <v xml:space="preserve">90MB1BJ0-C1BAY0 | 59MB1BJB-MB0A02S |  |  |  |  |  | </v>
      </c>
      <c r="AP696" s="6">
        <f>IF(TRIM(H696)="",100,J696)</f>
        <v>0</v>
      </c>
      <c r="AQ696" s="4"/>
      <c r="AR696" s="6" t="b">
        <f>NOT(TRIM(W696)&lt;&gt;"F")</f>
        <v>1</v>
      </c>
      <c r="AS696" s="6" t="str">
        <f>$B696&amp;" | "&amp;$AO696&amp;" | "&amp;IF(TRIM(H696)="","uniq"&amp;ROW(),TRIM(H696))</f>
        <v>461E | 90MB1BJ0-C1BAY0 | 59MB1BJB-MB0A02S |  |  |  |  |  |  | M9</v>
      </c>
      <c r="AT696" s="63">
        <f>IF(NOT(AR696),IF(TRIM($H696)="","Assembly","Phantom Alt"),VLOOKUP(F696,ZPCS04!B:G,6,0))</f>
        <v>1043</v>
      </c>
      <c r="AU696" s="7"/>
      <c r="AV696" s="38">
        <f ca="1">IF(TRIM($W696)="F",OFFSET($A$5,MATCH($AS696,$AS$5:$AS696,0)-1,0),$A696)</f>
        <v>698</v>
      </c>
      <c r="AW696" s="38">
        <f ca="1">IFERROR(OFFSET(ZPCS04!$A$1,MATCH(F696,ZPCS04!B:B,0)-1,0),100)</f>
        <v>2</v>
      </c>
      <c r="AX696" s="7"/>
      <c r="AY696" s="6" t="b">
        <f>SUMIF(AS:AS,AS696,AP:AP)=100</f>
        <v>1</v>
      </c>
      <c r="AZ696" s="6" t="b">
        <f>SUMIF(AS:AS,AS696,AE:AE)/COUNTIF(AS:AS,AS696)=AE696</f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>C696&amp;" | "&amp;F696</f>
        <v>90MB1BJ0-C1BAY0 | 11G232168114150</v>
      </c>
      <c r="BE696" s="55" t="str">
        <f ca="1">C696&amp;" | "&amp;OFFSET($AF696,0,8-COUNTBLANK($AG696:$AN696))</f>
        <v>90MB1BJ0-C1BAY0 | 59MB1BJB-MB0A02S</v>
      </c>
      <c r="BF696" s="57">
        <f ca="1">IFERROR(VLOOKUP($BE696,$BD$5:$BF695,3,0)*$AE696,VLOOKUP($C696,Demanda!$A:$B,2,0)*$AE696)*IF(AT696="Phantom Alt",$BC696,TRUE)</f>
        <v>1000</v>
      </c>
      <c r="BG696" s="57">
        <f ca="1">BF696*(AP696/100)</f>
        <v>0</v>
      </c>
      <c r="BH696" s="57">
        <f>SUMIF(Invoice!A:A,F696,Invoice!B:B)</f>
        <v>0</v>
      </c>
      <c r="BI696" s="57">
        <f ca="1">SUMIF(AS:AS,AS696,BG:BG)</f>
        <v>1000</v>
      </c>
      <c r="BJ696" s="57">
        <f ca="1">MIN((BI696-SUMIF($AS$5:AS695,AS696,$BJ$5:BJ695)),MAX(0,BH696-SUMIF($F$5:F695,F696,$BJ$5:BJ695)))</f>
        <v>0</v>
      </c>
      <c r="BK696" s="57">
        <f ca="1">(-SUMIF(AS:AS,AS696,BG:BG)+SUMIF(AS:AS,AS696,BJ:BJ))*(AP696=100)*AR696</f>
        <v>0</v>
      </c>
      <c r="BL696" s="57">
        <f ca="1">MAX(0,SUMIF(Invoice!A:A,F696,Invoice!B:B)-SUMIF(F:F,F696,BJ:BJ))*(COUNTIF(F:F,F696)=COUNTIF($F$5:F696,F696))</f>
        <v>0</v>
      </c>
    </row>
    <row r="697" spans="1:64" hidden="1">
      <c r="A697" s="43">
        <v>696</v>
      </c>
      <c r="B697" s="13" t="s">
        <v>147</v>
      </c>
      <c r="C697" s="13" t="s">
        <v>146</v>
      </c>
      <c r="D697" s="13">
        <v>2</v>
      </c>
      <c r="E697" s="13">
        <v>2290</v>
      </c>
      <c r="F697" s="71" t="s">
        <v>1634</v>
      </c>
      <c r="G697" s="71" t="s">
        <v>1635</v>
      </c>
      <c r="H697" s="13" t="s">
        <v>1631</v>
      </c>
      <c r="I697" s="13" t="s">
        <v>55</v>
      </c>
      <c r="J697" s="28">
        <v>0</v>
      </c>
      <c r="K697" s="13" t="s">
        <v>1428</v>
      </c>
      <c r="L697" s="13" t="s">
        <v>53</v>
      </c>
      <c r="M697" s="13">
        <v>1</v>
      </c>
      <c r="O697" s="13">
        <v>1</v>
      </c>
      <c r="P697" s="13">
        <v>2</v>
      </c>
      <c r="Q697" s="13">
        <v>4</v>
      </c>
      <c r="R697" s="13" t="s">
        <v>122</v>
      </c>
      <c r="S697" s="13" t="s">
        <v>122</v>
      </c>
      <c r="T697" s="13">
        <v>44901</v>
      </c>
      <c r="U697" s="13">
        <v>2958465</v>
      </c>
      <c r="V697" s="13" t="s">
        <v>282</v>
      </c>
      <c r="W697" s="13" t="s">
        <v>145</v>
      </c>
      <c r="Y697" s="13" t="s">
        <v>143</v>
      </c>
      <c r="Z697" s="13">
        <v>7589154</v>
      </c>
      <c r="AA697" s="13">
        <v>1282</v>
      </c>
      <c r="AB697" s="13">
        <v>641</v>
      </c>
      <c r="AE697" s="51">
        <f>M697/O697</f>
        <v>1</v>
      </c>
      <c r="AG697" s="6" t="str">
        <f>C697</f>
        <v>90MB1BJ0-C1BAY0</v>
      </c>
      <c r="AH697" s="6" t="str">
        <f>IF($D697&lt;=AH$4,"",IF(AND($D696=AH$4,$D697&gt;AH$4),$F696,AH696))</f>
        <v>59MB1BJB-MB0A02S</v>
      </c>
      <c r="AI697" s="6" t="str">
        <f>IF($D697&lt;=AI$4,"",IF(AND($D696=AI$4,$D697&gt;AI$4),$F696,AI696))</f>
        <v/>
      </c>
      <c r="AJ697" s="6" t="str">
        <f>IF($D697&lt;=AJ$4,"",IF(AND($D696=AJ$4,$D697&gt;AJ$4),$F696,AJ696))</f>
        <v/>
      </c>
      <c r="AK697" s="6" t="str">
        <f>IF($D697&lt;=AK$4,"",IF(AND($D696=AK$4,$D697&gt;AK$4),$F696,AK696))</f>
        <v/>
      </c>
      <c r="AL697" s="6" t="str">
        <f>IF($D697&lt;=AL$4,"",IF(AND($D696=AL$4,$D697&gt;AL$4),$F696,AL696))</f>
        <v/>
      </c>
      <c r="AM697" s="6" t="str">
        <f>IF($D697&lt;=AM$4,"",IF(AND($D696=AM$4,$D697&gt;AM$4),$F696,AM696))</f>
        <v/>
      </c>
      <c r="AN697" s="6" t="str">
        <f>IF($D697&lt;=AN$4,"",IF(AND($D696=AN$4,$D697&gt;AN$4),$F696,AN696))</f>
        <v/>
      </c>
      <c r="AO697" s="6" t="str">
        <f>CONCATENATE(AG697," | ",AH697," | ",AI697," | ",AJ697," | ",AK697," | ",AL697," | ",AM697," | ",AN697)</f>
        <v xml:space="preserve">90MB1BJ0-C1BAY0 | 59MB1BJB-MB0A02S |  |  |  |  |  | </v>
      </c>
      <c r="AP697" s="6">
        <f>IF(TRIM(H697)="",100,J697)</f>
        <v>0</v>
      </c>
      <c r="AQ697" s="4"/>
      <c r="AR697" s="6" t="b">
        <f>NOT(TRIM(W697)&lt;&gt;"F")</f>
        <v>1</v>
      </c>
      <c r="AS697" s="6" t="str">
        <f>$B697&amp;" | "&amp;$AO697&amp;" | "&amp;IF(TRIM(H697)="","uniq"&amp;ROW(),TRIM(H697))</f>
        <v>461E | 90MB1BJ0-C1BAY0 | 59MB1BJB-MB0A02S |  |  |  |  |  |  | M9</v>
      </c>
      <c r="AT697" s="63">
        <f>IF(NOT(AR697),IF(TRIM($H697)="","Assembly","Phantom Alt"),VLOOKUP(F697,ZPCS04!B:G,6,0))</f>
        <v>1043</v>
      </c>
      <c r="AU697" s="7"/>
      <c r="AV697" s="38">
        <f ca="1">IF(TRIM($W697)="F",OFFSET($A$5,MATCH($AS697,$AS$5:$AS697,0)-1,0),$A697)</f>
        <v>698</v>
      </c>
      <c r="AW697" s="38">
        <f ca="1">IFERROR(OFFSET(ZPCS04!$A$1,MATCH(F697,ZPCS04!B:B,0)-1,0),100)</f>
        <v>2</v>
      </c>
      <c r="AX697" s="7"/>
      <c r="AY697" s="6" t="b">
        <f>SUMIF(AS:AS,AS697,AP:AP)=100</f>
        <v>1</v>
      </c>
      <c r="AZ697" s="6" t="b">
        <f>SUMIF(AS:AS,AS697,AE:AE)/COUNTIF(AS:AS,AS697)=AE697</f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>C697&amp;" | "&amp;F697</f>
        <v>90MB1BJ0-C1BAY0 | 11G232168114320</v>
      </c>
      <c r="BE697" s="55" t="str">
        <f ca="1">C697&amp;" | "&amp;OFFSET($AF697,0,8-COUNTBLANK($AG697:$AN697))</f>
        <v>90MB1BJ0-C1BAY0 | 59MB1BJB-MB0A02S</v>
      </c>
      <c r="BF697" s="57">
        <f ca="1">IFERROR(VLOOKUP($BE697,$BD$5:$BF696,3,0)*$AE697,VLOOKUP($C697,Demanda!$A:$B,2,0)*$AE697)*IF(AT697="Phantom Alt",$BC697,TRUE)</f>
        <v>1000</v>
      </c>
      <c r="BG697" s="57">
        <f ca="1">BF697*(AP697/100)</f>
        <v>0</v>
      </c>
      <c r="BH697" s="57">
        <f>SUMIF(Invoice!A:A,F697,Invoice!B:B)</f>
        <v>0</v>
      </c>
      <c r="BI697" s="57">
        <f ca="1">SUMIF(AS:AS,AS697,BG:BG)</f>
        <v>1000</v>
      </c>
      <c r="BJ697" s="57">
        <f ca="1">MIN((BI697-SUMIF($AS$5:AS696,AS697,$BJ$5:BJ696)),MAX(0,BH697-SUMIF($F$5:F696,F697,$BJ$5:BJ696)))</f>
        <v>0</v>
      </c>
      <c r="BK697" s="57">
        <f ca="1">(-SUMIF(AS:AS,AS697,BG:BG)+SUMIF(AS:AS,AS697,BJ:BJ))*(AP697=100)*AR697</f>
        <v>0</v>
      </c>
      <c r="BL697" s="57">
        <f ca="1">MAX(0,SUMIF(Invoice!A:A,F697,Invoice!B:B)-SUMIF(F:F,F697,BJ:BJ))*(COUNTIF(F:F,F697)=COUNTIF($F$5:F697,F697))</f>
        <v>0</v>
      </c>
    </row>
    <row r="698" spans="1:64" hidden="1">
      <c r="A698" s="43">
        <v>697</v>
      </c>
      <c r="B698" s="13" t="s">
        <v>147</v>
      </c>
      <c r="C698" s="13" t="s">
        <v>146</v>
      </c>
      <c r="D698" s="13">
        <v>2</v>
      </c>
      <c r="E698" s="13">
        <v>2290</v>
      </c>
      <c r="F698" s="71" t="s">
        <v>1636</v>
      </c>
      <c r="G698" s="71" t="s">
        <v>1637</v>
      </c>
      <c r="H698" s="13" t="s">
        <v>1631</v>
      </c>
      <c r="I698" s="13" t="s">
        <v>55</v>
      </c>
      <c r="J698" s="28">
        <v>0</v>
      </c>
      <c r="K698" s="13" t="s">
        <v>1428</v>
      </c>
      <c r="L698" s="13" t="s">
        <v>53</v>
      </c>
      <c r="M698" s="13">
        <v>1</v>
      </c>
      <c r="O698" s="13">
        <v>1</v>
      </c>
      <c r="P698" s="13">
        <v>2</v>
      </c>
      <c r="Q698" s="13">
        <v>3</v>
      </c>
      <c r="R698" s="13" t="s">
        <v>122</v>
      </c>
      <c r="S698" s="13" t="s">
        <v>122</v>
      </c>
      <c r="T698" s="13">
        <v>44901</v>
      </c>
      <c r="U698" s="13">
        <v>2958465</v>
      </c>
      <c r="V698" s="13" t="s">
        <v>282</v>
      </c>
      <c r="W698" s="13" t="s">
        <v>145</v>
      </c>
      <c r="Y698" s="13" t="s">
        <v>143</v>
      </c>
      <c r="Z698" s="13">
        <v>7589154</v>
      </c>
      <c r="AA698" s="13">
        <v>1280</v>
      </c>
      <c r="AB698" s="13">
        <v>640</v>
      </c>
      <c r="AE698" s="51">
        <f>M698/O698</f>
        <v>1</v>
      </c>
      <c r="AG698" s="6" t="str">
        <f>C698</f>
        <v>90MB1BJ0-C1BAY0</v>
      </c>
      <c r="AH698" s="6" t="str">
        <f>IF($D698&lt;=AH$4,"",IF(AND($D697=AH$4,$D698&gt;AH$4),$F697,AH697))</f>
        <v>59MB1BJB-MB0A02S</v>
      </c>
      <c r="AI698" s="6" t="str">
        <f>IF($D698&lt;=AI$4,"",IF(AND($D697=AI$4,$D698&gt;AI$4),$F697,AI697))</f>
        <v/>
      </c>
      <c r="AJ698" s="6" t="str">
        <f>IF($D698&lt;=AJ$4,"",IF(AND($D697=AJ$4,$D698&gt;AJ$4),$F697,AJ697))</f>
        <v/>
      </c>
      <c r="AK698" s="6" t="str">
        <f>IF($D698&lt;=AK$4,"",IF(AND($D697=AK$4,$D698&gt;AK$4),$F697,AK697))</f>
        <v/>
      </c>
      <c r="AL698" s="6" t="str">
        <f>IF($D698&lt;=AL$4,"",IF(AND($D697=AL$4,$D698&gt;AL$4),$F697,AL697))</f>
        <v/>
      </c>
      <c r="AM698" s="6" t="str">
        <f>IF($D698&lt;=AM$4,"",IF(AND($D697=AM$4,$D698&gt;AM$4),$F697,AM697))</f>
        <v/>
      </c>
      <c r="AN698" s="6" t="str">
        <f>IF($D698&lt;=AN$4,"",IF(AND($D697=AN$4,$D698&gt;AN$4),$F697,AN697))</f>
        <v/>
      </c>
      <c r="AO698" s="6" t="str">
        <f>CONCATENATE(AG698," | ",AH698," | ",AI698," | ",AJ698," | ",AK698," | ",AL698," | ",AM698," | ",AN698)</f>
        <v xml:space="preserve">90MB1BJ0-C1BAY0 | 59MB1BJB-MB0A02S |  |  |  |  |  | </v>
      </c>
      <c r="AP698" s="6">
        <f>IF(TRIM(H698)="",100,J698)</f>
        <v>0</v>
      </c>
      <c r="AQ698" s="4"/>
      <c r="AR698" s="6" t="b">
        <f>NOT(TRIM(W698)&lt;&gt;"F")</f>
        <v>1</v>
      </c>
      <c r="AS698" s="6" t="str">
        <f>$B698&amp;" | "&amp;$AO698&amp;" | "&amp;IF(TRIM(H698)="","uniq"&amp;ROW(),TRIM(H698))</f>
        <v>461E | 90MB1BJ0-C1BAY0 | 59MB1BJB-MB0A02S |  |  |  |  |  |  | M9</v>
      </c>
      <c r="AT698" s="63">
        <f>IF(NOT(AR698),IF(TRIM($H698)="","Assembly","Phantom Alt"),VLOOKUP(F698,ZPCS04!B:G,6,0))</f>
        <v>1043</v>
      </c>
      <c r="AU698" s="7"/>
      <c r="AV698" s="38">
        <f ca="1">IF(TRIM($W698)="F",OFFSET($A$5,MATCH($AS698,$AS$5:$AS698,0)-1,0),$A698)</f>
        <v>698</v>
      </c>
      <c r="AW698" s="38">
        <f ca="1">IFERROR(OFFSET(ZPCS04!$A$1,MATCH(F698,ZPCS04!B:B,0)-1,0),100)</f>
        <v>2</v>
      </c>
      <c r="AX698" s="7"/>
      <c r="AY698" s="6" t="b">
        <f>SUMIF(AS:AS,AS698,AP:AP)=100</f>
        <v>1</v>
      </c>
      <c r="AZ698" s="6" t="b">
        <f>SUMIF(AS:AS,AS698,AE:AE)/COUNTIF(AS:AS,AS698)=AE698</f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>C698&amp;" | "&amp;F698</f>
        <v>90MB1BJ0-C1BAY0 | 11G232168114360</v>
      </c>
      <c r="BE698" s="55" t="str">
        <f ca="1">C698&amp;" | "&amp;OFFSET($AF698,0,8-COUNTBLANK($AG698:$AN698))</f>
        <v>90MB1BJ0-C1BAY0 | 59MB1BJB-MB0A02S</v>
      </c>
      <c r="BF698" s="57">
        <f ca="1">IFERROR(VLOOKUP($BE698,$BD$5:$BF697,3,0)*$AE698,VLOOKUP($C698,Demanda!$A:$B,2,0)*$AE698)*IF(AT698="Phantom Alt",$BC698,TRUE)</f>
        <v>1000</v>
      </c>
      <c r="BG698" s="57">
        <f ca="1">BF698*(AP698/100)</f>
        <v>0</v>
      </c>
      <c r="BH698" s="57">
        <f>SUMIF(Invoice!A:A,F698,Invoice!B:B)</f>
        <v>0</v>
      </c>
      <c r="BI698" s="57">
        <f ca="1">SUMIF(AS:AS,AS698,BG:BG)</f>
        <v>1000</v>
      </c>
      <c r="BJ698" s="57">
        <f ca="1">MIN((BI698-SUMIF($AS$5:AS697,AS698,$BJ$5:BJ697)),MAX(0,BH698-SUMIF($F$5:F697,F698,$BJ$5:BJ697)))</f>
        <v>0</v>
      </c>
      <c r="BK698" s="57">
        <f ca="1">(-SUMIF(AS:AS,AS698,BG:BG)+SUMIF(AS:AS,AS698,BJ:BJ))*(AP698=100)*AR698</f>
        <v>0</v>
      </c>
      <c r="BL698" s="57">
        <f ca="1">MAX(0,SUMIF(Invoice!A:A,F698,Invoice!B:B)-SUMIF(F:F,F698,BJ:BJ))*(COUNTIF(F:F,F698)=COUNTIF($F$5:F698,F698))</f>
        <v>0</v>
      </c>
    </row>
    <row r="699" spans="1:64" hidden="1">
      <c r="A699" s="43">
        <v>704</v>
      </c>
      <c r="B699" s="13" t="s">
        <v>147</v>
      </c>
      <c r="C699" s="13" t="s">
        <v>146</v>
      </c>
      <c r="D699" s="13">
        <v>2</v>
      </c>
      <c r="E699" s="13">
        <v>2300</v>
      </c>
      <c r="F699" s="71" t="s">
        <v>1651</v>
      </c>
      <c r="G699" s="71" t="s">
        <v>1652</v>
      </c>
      <c r="H699" s="13" t="s">
        <v>1642</v>
      </c>
      <c r="I699" s="13" t="s">
        <v>55</v>
      </c>
      <c r="J699" s="28">
        <v>0</v>
      </c>
      <c r="K699" s="13" t="s">
        <v>1428</v>
      </c>
      <c r="L699" s="13" t="s">
        <v>53</v>
      </c>
      <c r="M699" s="13">
        <v>1</v>
      </c>
      <c r="O699" s="13">
        <v>1</v>
      </c>
      <c r="P699" s="13">
        <v>2</v>
      </c>
      <c r="Q699" s="13">
        <v>5</v>
      </c>
      <c r="R699" s="13" t="s">
        <v>122</v>
      </c>
      <c r="S699" s="13" t="s">
        <v>122</v>
      </c>
      <c r="T699" s="13">
        <v>44901</v>
      </c>
      <c r="U699" s="13">
        <v>2958465</v>
      </c>
      <c r="V699" s="13" t="s">
        <v>282</v>
      </c>
      <c r="W699" s="13" t="s">
        <v>145</v>
      </c>
      <c r="Y699" s="13" t="s">
        <v>143</v>
      </c>
      <c r="Z699" s="13">
        <v>7589154</v>
      </c>
      <c r="AA699" s="13">
        <v>1294</v>
      </c>
      <c r="AB699" s="13">
        <v>647</v>
      </c>
      <c r="AE699" s="51">
        <f>M699/O699</f>
        <v>1</v>
      </c>
      <c r="AG699" s="6" t="str">
        <f>C699</f>
        <v>90MB1BJ0-C1BAY0</v>
      </c>
      <c r="AH699" s="6" t="str">
        <f>IF($D699&lt;=AH$4,"",IF(AND($D698=AH$4,$D699&gt;AH$4),$F698,AH698))</f>
        <v>59MB1BJB-MB0A02S</v>
      </c>
      <c r="AI699" s="6" t="str">
        <f>IF($D699&lt;=AI$4,"",IF(AND($D698=AI$4,$D699&gt;AI$4),$F698,AI698))</f>
        <v/>
      </c>
      <c r="AJ699" s="6" t="str">
        <f>IF($D699&lt;=AJ$4,"",IF(AND($D698=AJ$4,$D699&gt;AJ$4),$F698,AJ698))</f>
        <v/>
      </c>
      <c r="AK699" s="6" t="str">
        <f>IF($D699&lt;=AK$4,"",IF(AND($D698=AK$4,$D699&gt;AK$4),$F698,AK698))</f>
        <v/>
      </c>
      <c r="AL699" s="6" t="str">
        <f>IF($D699&lt;=AL$4,"",IF(AND($D698=AL$4,$D699&gt;AL$4),$F698,AL698))</f>
        <v/>
      </c>
      <c r="AM699" s="6" t="str">
        <f>IF($D699&lt;=AM$4,"",IF(AND($D698=AM$4,$D699&gt;AM$4),$F698,AM698))</f>
        <v/>
      </c>
      <c r="AN699" s="6" t="str">
        <f>IF($D699&lt;=AN$4,"",IF(AND($D698=AN$4,$D699&gt;AN$4),$F698,AN698))</f>
        <v/>
      </c>
      <c r="AO699" s="6" t="str">
        <f>CONCATENATE(AG699," | ",AH699," | ",AI699," | ",AJ699," | ",AK699," | ",AL699," | ",AM699," | ",AN699)</f>
        <v xml:space="preserve">90MB1BJ0-C1BAY0 | 59MB1BJB-MB0A02S |  |  |  |  |  | </v>
      </c>
      <c r="AP699" s="6">
        <f>IF(TRIM(H699)="",100,J699)</f>
        <v>0</v>
      </c>
      <c r="AQ699" s="4"/>
      <c r="AR699" s="6" t="b">
        <f>NOT(TRIM(W699)&lt;&gt;"F")</f>
        <v>1</v>
      </c>
      <c r="AS699" s="6" t="str">
        <f>$B699&amp;" | "&amp;$AO699&amp;" | "&amp;IF(TRIM(H699)="","uniq"&amp;ROW(),TRIM(H699))</f>
        <v>461E | 90MB1BJ0-C1BAY0 | 59MB1BJB-MB0A02S |  |  |  |  |  |  | N0</v>
      </c>
      <c r="AT699" s="63">
        <f>IF(NOT(AR699),IF(TRIM($H699)="","Assembly","Phantom Alt"),VLOOKUP(F699,ZPCS04!B:G,6,0))</f>
        <v>996</v>
      </c>
      <c r="AU699" s="7"/>
      <c r="AV699" s="38">
        <f ca="1">IF(TRIM($W699)="F",OFFSET($A$5,MATCH($AS699,$AS$5:$AS699,0)-1,0),$A699)</f>
        <v>704</v>
      </c>
      <c r="AW699" s="38">
        <f ca="1">IFERROR(OFFSET(ZPCS04!$A$1,MATCH(F699,ZPCS04!B:B,0)-1,0),100)</f>
        <v>1.9999999000000002</v>
      </c>
      <c r="AX699" s="7"/>
      <c r="AY699" s="6" t="b">
        <f>SUMIF(AS:AS,AS699,AP:AP)=100</f>
        <v>1</v>
      </c>
      <c r="AZ699" s="6" t="b">
        <f>SUMIF(AS:AS,AS699,AE:AE)/COUNTIF(AS:AS,AS699)=AE699</f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>C699&amp;" | "&amp;F699</f>
        <v>90MB1BJ0-C1BAY0 | 11G232210411390</v>
      </c>
      <c r="BE699" s="55" t="str">
        <f ca="1">C699&amp;" | "&amp;OFFSET($AF699,0,8-COUNTBLANK($AG699:$AN699))</f>
        <v>90MB1BJ0-C1BAY0 | 59MB1BJB-MB0A02S</v>
      </c>
      <c r="BF699" s="57">
        <f ca="1">IFERROR(VLOOKUP($BE699,$BD$5:$BF698,3,0)*$AE699,VLOOKUP($C699,Demanda!$A:$B,2,0)*$AE699)*IF(AT699="Phantom Alt",$BC699,TRUE)</f>
        <v>1000</v>
      </c>
      <c r="BG699" s="57">
        <f ca="1">BF699*(AP699/100)</f>
        <v>0</v>
      </c>
      <c r="BH699" s="57">
        <f>SUMIF(Invoice!A:A,F699,Invoice!B:B)</f>
        <v>10000</v>
      </c>
      <c r="BI699" s="57">
        <f ca="1">SUMIF(AS:AS,AS699,BG:BG)</f>
        <v>1000</v>
      </c>
      <c r="BJ699" s="57">
        <f ca="1">MIN((BI699-SUMIF($AS$5:AS698,AS699,$BJ$5:BJ698)),MAX(0,BH699-SUMIF($F$5:F698,F699,$BJ$5:BJ698)))</f>
        <v>1000</v>
      </c>
      <c r="BK699" s="57">
        <f ca="1">(-SUMIF(AS:AS,AS699,BG:BG)+SUMIF(AS:AS,AS699,BJ:BJ))*(AP699=100)*AR699</f>
        <v>0</v>
      </c>
      <c r="BL699" s="57">
        <f ca="1">MAX(0,SUMIF(Invoice!A:A,F699,Invoice!B:B)-SUMIF(F:F,F699,BJ:BJ))*(COUNTIF(F:F,F699)=COUNTIF($F$5:F699,F699))</f>
        <v>9000</v>
      </c>
    </row>
    <row r="700" spans="1:64" hidden="1">
      <c r="A700" s="43">
        <v>699</v>
      </c>
      <c r="B700" s="13" t="s">
        <v>147</v>
      </c>
      <c r="C700" s="13" t="s">
        <v>146</v>
      </c>
      <c r="D700" s="13">
        <v>2</v>
      </c>
      <c r="E700" s="13">
        <v>2300</v>
      </c>
      <c r="F700" s="71" t="s">
        <v>1640</v>
      </c>
      <c r="G700" s="71" t="s">
        <v>1641</v>
      </c>
      <c r="H700" s="13" t="s">
        <v>1642</v>
      </c>
      <c r="I700" s="13" t="s">
        <v>55</v>
      </c>
      <c r="J700" s="28">
        <v>0</v>
      </c>
      <c r="K700" s="13" t="s">
        <v>150</v>
      </c>
      <c r="L700" s="13" t="s">
        <v>53</v>
      </c>
      <c r="M700" s="13">
        <v>1</v>
      </c>
      <c r="O700" s="13">
        <v>1</v>
      </c>
      <c r="P700" s="13">
        <v>2</v>
      </c>
      <c r="Q700" s="13">
        <v>6</v>
      </c>
      <c r="R700" s="13" t="s">
        <v>73</v>
      </c>
      <c r="S700" s="13" t="s">
        <v>73</v>
      </c>
      <c r="T700" s="13">
        <v>44901</v>
      </c>
      <c r="U700" s="13">
        <v>2958465</v>
      </c>
      <c r="V700" s="13" t="s">
        <v>282</v>
      </c>
      <c r="W700" s="13" t="s">
        <v>145</v>
      </c>
      <c r="Y700" s="13" t="s">
        <v>143</v>
      </c>
      <c r="Z700" s="13">
        <v>7589154</v>
      </c>
      <c r="AA700" s="13">
        <v>1296</v>
      </c>
      <c r="AB700" s="13">
        <v>648</v>
      </c>
      <c r="AE700" s="51">
        <f>M700/O700</f>
        <v>1</v>
      </c>
      <c r="AG700" s="6" t="str">
        <f>C700</f>
        <v>90MB1BJ0-C1BAY0</v>
      </c>
      <c r="AH700" s="6" t="str">
        <f>IF($D700&lt;=AH$4,"",IF(AND($D699=AH$4,$D700&gt;AH$4),$F699,AH699))</f>
        <v>59MB1BJB-MB0A02S</v>
      </c>
      <c r="AI700" s="6" t="str">
        <f>IF($D700&lt;=AI$4,"",IF(AND($D699=AI$4,$D700&gt;AI$4),$F699,AI699))</f>
        <v/>
      </c>
      <c r="AJ700" s="6" t="str">
        <f>IF($D700&lt;=AJ$4,"",IF(AND($D699=AJ$4,$D700&gt;AJ$4),$F699,AJ699))</f>
        <v/>
      </c>
      <c r="AK700" s="6" t="str">
        <f>IF($D700&lt;=AK$4,"",IF(AND($D699=AK$4,$D700&gt;AK$4),$F699,AK699))</f>
        <v/>
      </c>
      <c r="AL700" s="6" t="str">
        <f>IF($D700&lt;=AL$4,"",IF(AND($D699=AL$4,$D700&gt;AL$4),$F699,AL699))</f>
        <v/>
      </c>
      <c r="AM700" s="6" t="str">
        <f>IF($D700&lt;=AM$4,"",IF(AND($D699=AM$4,$D700&gt;AM$4),$F699,AM699))</f>
        <v/>
      </c>
      <c r="AN700" s="6" t="str">
        <f>IF($D700&lt;=AN$4,"",IF(AND($D699=AN$4,$D700&gt;AN$4),$F699,AN699))</f>
        <v/>
      </c>
      <c r="AO700" s="6" t="str">
        <f>CONCATENATE(AG700," | ",AH700," | ",AI700," | ",AJ700," | ",AK700," | ",AL700," | ",AM700," | ",AN700)</f>
        <v xml:space="preserve">90MB1BJ0-C1BAY0 | 59MB1BJB-MB0A02S |  |  |  |  |  | </v>
      </c>
      <c r="AP700" s="6">
        <f>IF(TRIM(H700)="",100,J700)</f>
        <v>0</v>
      </c>
      <c r="AQ700" s="4"/>
      <c r="AR700" s="6" t="b">
        <f>NOT(TRIM(W700)&lt;&gt;"F")</f>
        <v>1</v>
      </c>
      <c r="AS700" s="6" t="str">
        <f>$B700&amp;" | "&amp;$AO700&amp;" | "&amp;IF(TRIM(H700)="","uniq"&amp;ROW(),TRIM(H700))</f>
        <v>461E | 90MB1BJ0-C1BAY0 | 59MB1BJB-MB0A02S |  |  |  |  |  |  | N0</v>
      </c>
      <c r="AT700" s="63">
        <f>IF(NOT(AR700),IF(TRIM($H700)="","Assembly","Phantom Alt"),VLOOKUP(F700,ZPCS04!B:G,6,0))</f>
        <v>996</v>
      </c>
      <c r="AU700" s="7"/>
      <c r="AV700" s="38">
        <f ca="1">IF(TRIM($W700)="F",OFFSET($A$5,MATCH($AS700,$AS$5:$AS700,0)-1,0),$A700)</f>
        <v>704</v>
      </c>
      <c r="AW700" s="38">
        <f ca="1">IFERROR(OFFSET(ZPCS04!$A$1,MATCH(F700,ZPCS04!B:B,0)-1,0),100)</f>
        <v>2</v>
      </c>
      <c r="AX700" s="7"/>
      <c r="AY700" s="6" t="b">
        <f>SUMIF(AS:AS,AS700,AP:AP)=100</f>
        <v>1</v>
      </c>
      <c r="AZ700" s="6" t="b">
        <f>SUMIF(AS:AS,AS700,AE:AE)/COUNTIF(AS:AS,AS700)=AE700</f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>C700&amp;" | "&amp;F700</f>
        <v>90MB1BJ0-C1BAY0 | 11203-0232Q000</v>
      </c>
      <c r="BE700" s="55" t="str">
        <f ca="1">C700&amp;" | "&amp;OFFSET($AF700,0,8-COUNTBLANK($AG700:$AN700))</f>
        <v>90MB1BJ0-C1BAY0 | 59MB1BJB-MB0A02S</v>
      </c>
      <c r="BF700" s="57">
        <f ca="1">IFERROR(VLOOKUP($BE700,$BD$5:$BF699,3,0)*$AE700,VLOOKUP($C700,Demanda!$A:$B,2,0)*$AE700)*IF(AT700="Phantom Alt",$BC700,TRUE)</f>
        <v>1000</v>
      </c>
      <c r="BG700" s="57">
        <f ca="1">BF700*(AP700/100)</f>
        <v>0</v>
      </c>
      <c r="BH700" s="57">
        <f>SUMIF(Invoice!A:A,F700,Invoice!B:B)</f>
        <v>0</v>
      </c>
      <c r="BI700" s="57">
        <f ca="1">SUMIF(AS:AS,AS700,BG:BG)</f>
        <v>1000</v>
      </c>
      <c r="BJ700" s="57">
        <f ca="1">MIN((BI700-SUMIF($AS$5:AS699,AS700,$BJ$5:BJ699)),MAX(0,BH700-SUMIF($F$5:F699,F700,$BJ$5:BJ699)))</f>
        <v>0</v>
      </c>
      <c r="BK700" s="57">
        <f ca="1">(-SUMIF(AS:AS,AS700,BG:BG)+SUMIF(AS:AS,AS700,BJ:BJ))*(AP700=100)*AR700</f>
        <v>0</v>
      </c>
      <c r="BL700" s="57">
        <f ca="1">MAX(0,SUMIF(Invoice!A:A,F700,Invoice!B:B)-SUMIF(F:F,F700,BJ:BJ))*(COUNTIF(F:F,F700)=COUNTIF($F$5:F700,F700))</f>
        <v>0</v>
      </c>
    </row>
    <row r="701" spans="1:64" hidden="1">
      <c r="A701" s="43">
        <v>700</v>
      </c>
      <c r="B701" s="13" t="s">
        <v>147</v>
      </c>
      <c r="C701" s="13" t="s">
        <v>146</v>
      </c>
      <c r="D701" s="13">
        <v>2</v>
      </c>
      <c r="E701" s="13">
        <v>2300</v>
      </c>
      <c r="F701" s="71" t="s">
        <v>1643</v>
      </c>
      <c r="G701" s="71" t="s">
        <v>1644</v>
      </c>
      <c r="H701" s="13" t="s">
        <v>1642</v>
      </c>
      <c r="I701" s="13" t="s">
        <v>55</v>
      </c>
      <c r="J701" s="28">
        <v>0</v>
      </c>
      <c r="K701" s="13" t="s">
        <v>1428</v>
      </c>
      <c r="L701" s="13" t="s">
        <v>53</v>
      </c>
      <c r="M701" s="13">
        <v>1</v>
      </c>
      <c r="O701" s="13">
        <v>1</v>
      </c>
      <c r="P701" s="13">
        <v>2</v>
      </c>
      <c r="Q701" s="13">
        <v>2</v>
      </c>
      <c r="R701" s="13" t="s">
        <v>122</v>
      </c>
      <c r="S701" s="13" t="s">
        <v>122</v>
      </c>
      <c r="T701" s="13">
        <v>44901</v>
      </c>
      <c r="U701" s="13">
        <v>2958465</v>
      </c>
      <c r="V701" s="13" t="s">
        <v>282</v>
      </c>
      <c r="W701" s="13" t="s">
        <v>145</v>
      </c>
      <c r="Y701" s="13" t="s">
        <v>143</v>
      </c>
      <c r="Z701" s="13">
        <v>7589154</v>
      </c>
      <c r="AA701" s="13">
        <v>1288</v>
      </c>
      <c r="AB701" s="13">
        <v>644</v>
      </c>
      <c r="AE701" s="51">
        <f>M701/O701</f>
        <v>1</v>
      </c>
      <c r="AG701" s="6" t="str">
        <f>C701</f>
        <v>90MB1BJ0-C1BAY0</v>
      </c>
      <c r="AH701" s="6" t="str">
        <f>IF($D701&lt;=AH$4,"",IF(AND($D700=AH$4,$D701&gt;AH$4),$F700,AH700))</f>
        <v>59MB1BJB-MB0A02S</v>
      </c>
      <c r="AI701" s="6" t="str">
        <f>IF($D701&lt;=AI$4,"",IF(AND($D700=AI$4,$D701&gt;AI$4),$F700,AI700))</f>
        <v/>
      </c>
      <c r="AJ701" s="6" t="str">
        <f>IF($D701&lt;=AJ$4,"",IF(AND($D700=AJ$4,$D701&gt;AJ$4),$F700,AJ700))</f>
        <v/>
      </c>
      <c r="AK701" s="6" t="str">
        <f>IF($D701&lt;=AK$4,"",IF(AND($D700=AK$4,$D701&gt;AK$4),$F700,AK700))</f>
        <v/>
      </c>
      <c r="AL701" s="6" t="str">
        <f>IF($D701&lt;=AL$4,"",IF(AND($D700=AL$4,$D701&gt;AL$4),$F700,AL700))</f>
        <v/>
      </c>
      <c r="AM701" s="6" t="str">
        <f>IF($D701&lt;=AM$4,"",IF(AND($D700=AM$4,$D701&gt;AM$4),$F700,AM700))</f>
        <v/>
      </c>
      <c r="AN701" s="6" t="str">
        <f>IF($D701&lt;=AN$4,"",IF(AND($D700=AN$4,$D701&gt;AN$4),$F700,AN700))</f>
        <v/>
      </c>
      <c r="AO701" s="6" t="str">
        <f>CONCATENATE(AG701," | ",AH701," | ",AI701," | ",AJ701," | ",AK701," | ",AL701," | ",AM701," | ",AN701)</f>
        <v xml:space="preserve">90MB1BJ0-C1BAY0 | 59MB1BJB-MB0A02S |  |  |  |  |  | </v>
      </c>
      <c r="AP701" s="6">
        <f>IF(TRIM(H701)="",100,J701)</f>
        <v>0</v>
      </c>
      <c r="AQ701" s="4"/>
      <c r="AR701" s="6" t="b">
        <f>NOT(TRIM(W701)&lt;&gt;"F")</f>
        <v>1</v>
      </c>
      <c r="AS701" s="6" t="str">
        <f>$B701&amp;" | "&amp;$AO701&amp;" | "&amp;IF(TRIM(H701)="","uniq"&amp;ROW(),TRIM(H701))</f>
        <v>461E | 90MB1BJ0-C1BAY0 | 59MB1BJB-MB0A02S |  |  |  |  |  |  | N0</v>
      </c>
      <c r="AT701" s="63">
        <f>IF(NOT(AR701),IF(TRIM($H701)="","Assembly","Phantom Alt"),VLOOKUP(F701,ZPCS04!B:G,6,0))</f>
        <v>996</v>
      </c>
      <c r="AU701" s="7"/>
      <c r="AV701" s="38">
        <f ca="1">IF(TRIM($W701)="F",OFFSET($A$5,MATCH($AS701,$AS$5:$AS701,0)-1,0),$A701)</f>
        <v>704</v>
      </c>
      <c r="AW701" s="38">
        <f ca="1">IFERROR(OFFSET(ZPCS04!$A$1,MATCH(F701,ZPCS04!B:B,0)-1,0),100)</f>
        <v>2</v>
      </c>
      <c r="AX701" s="7"/>
      <c r="AY701" s="6" t="b">
        <f>SUMIF(AS:AS,AS701,AP:AP)=100</f>
        <v>1</v>
      </c>
      <c r="AZ701" s="6" t="b">
        <f>SUMIF(AS:AS,AS701,AE:AE)/COUNTIF(AS:AS,AS701)=AE701</f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>C701&amp;" | "&amp;F701</f>
        <v>90MB1BJ0-C1BAY0 | 11G232210411070</v>
      </c>
      <c r="BE701" s="55" t="str">
        <f ca="1">C701&amp;" | "&amp;OFFSET($AF701,0,8-COUNTBLANK($AG701:$AN701))</f>
        <v>90MB1BJ0-C1BAY0 | 59MB1BJB-MB0A02S</v>
      </c>
      <c r="BF701" s="57">
        <f ca="1">IFERROR(VLOOKUP($BE701,$BD$5:$BF700,3,0)*$AE701,VLOOKUP($C701,Demanda!$A:$B,2,0)*$AE701)*IF(AT701="Phantom Alt",$BC701,TRUE)</f>
        <v>1000</v>
      </c>
      <c r="BG701" s="57">
        <f ca="1">BF701*(AP701/100)</f>
        <v>0</v>
      </c>
      <c r="BH701" s="57">
        <f>SUMIF(Invoice!A:A,F701,Invoice!B:B)</f>
        <v>0</v>
      </c>
      <c r="BI701" s="57">
        <f ca="1">SUMIF(AS:AS,AS701,BG:BG)</f>
        <v>1000</v>
      </c>
      <c r="BJ701" s="57">
        <f ca="1">MIN((BI701-SUMIF($AS$5:AS700,AS701,$BJ$5:BJ700)),MAX(0,BH701-SUMIF($F$5:F700,F701,$BJ$5:BJ700)))</f>
        <v>0</v>
      </c>
      <c r="BK701" s="57">
        <f ca="1">(-SUMIF(AS:AS,AS701,BG:BG)+SUMIF(AS:AS,AS701,BJ:BJ))*(AP701=100)*AR701</f>
        <v>0</v>
      </c>
      <c r="BL701" s="57">
        <f ca="1">MAX(0,SUMIF(Invoice!A:A,F701,Invoice!B:B)-SUMIF(F:F,F701,BJ:BJ))*(COUNTIF(F:F,F701)=COUNTIF($F$5:F701,F701))</f>
        <v>0</v>
      </c>
    </row>
    <row r="702" spans="1:64" hidden="1">
      <c r="A702" s="43">
        <v>701</v>
      </c>
      <c r="B702" s="13" t="s">
        <v>147</v>
      </c>
      <c r="C702" s="13" t="s">
        <v>146</v>
      </c>
      <c r="D702" s="13">
        <v>2</v>
      </c>
      <c r="E702" s="13">
        <v>2300</v>
      </c>
      <c r="F702" s="71" t="s">
        <v>1645</v>
      </c>
      <c r="G702" s="71" t="s">
        <v>1646</v>
      </c>
      <c r="H702" s="13" t="s">
        <v>1642</v>
      </c>
      <c r="I702" s="13" t="s">
        <v>54</v>
      </c>
      <c r="J702" s="28">
        <v>100</v>
      </c>
      <c r="K702" s="13" t="s">
        <v>1428</v>
      </c>
      <c r="L702" s="13" t="s">
        <v>53</v>
      </c>
      <c r="M702" s="13">
        <v>1</v>
      </c>
      <c r="N702" s="13">
        <v>1</v>
      </c>
      <c r="O702" s="13">
        <v>1</v>
      </c>
      <c r="P702" s="13">
        <v>2</v>
      </c>
      <c r="Q702" s="13">
        <v>1</v>
      </c>
      <c r="R702" s="13" t="s">
        <v>122</v>
      </c>
      <c r="S702" s="13" t="s">
        <v>122</v>
      </c>
      <c r="T702" s="13">
        <v>44901</v>
      </c>
      <c r="U702" s="13">
        <v>2958465</v>
      </c>
      <c r="V702" s="13" t="s">
        <v>282</v>
      </c>
      <c r="W702" s="13" t="s">
        <v>145</v>
      </c>
      <c r="Y702" s="13" t="s">
        <v>143</v>
      </c>
      <c r="Z702" s="13">
        <v>7589154</v>
      </c>
      <c r="AA702" s="13">
        <v>1286</v>
      </c>
      <c r="AB702" s="13">
        <v>643</v>
      </c>
      <c r="AE702" s="51">
        <f>M702/O702</f>
        <v>1</v>
      </c>
      <c r="AG702" s="6" t="str">
        <f>C702</f>
        <v>90MB1BJ0-C1BAY0</v>
      </c>
      <c r="AH702" s="6" t="str">
        <f>IF($D702&lt;=AH$4,"",IF(AND($D701=AH$4,$D702&gt;AH$4),$F701,AH701))</f>
        <v>59MB1BJB-MB0A02S</v>
      </c>
      <c r="AI702" s="6" t="str">
        <f>IF($D702&lt;=AI$4,"",IF(AND($D701=AI$4,$D702&gt;AI$4),$F701,AI701))</f>
        <v/>
      </c>
      <c r="AJ702" s="6" t="str">
        <f>IF($D702&lt;=AJ$4,"",IF(AND($D701=AJ$4,$D702&gt;AJ$4),$F701,AJ701))</f>
        <v/>
      </c>
      <c r="AK702" s="6" t="str">
        <f>IF($D702&lt;=AK$4,"",IF(AND($D701=AK$4,$D702&gt;AK$4),$F701,AK701))</f>
        <v/>
      </c>
      <c r="AL702" s="6" t="str">
        <f>IF($D702&lt;=AL$4,"",IF(AND($D701=AL$4,$D702&gt;AL$4),$F701,AL701))</f>
        <v/>
      </c>
      <c r="AM702" s="6" t="str">
        <f>IF($D702&lt;=AM$4,"",IF(AND($D701=AM$4,$D702&gt;AM$4),$F701,AM701))</f>
        <v/>
      </c>
      <c r="AN702" s="6" t="str">
        <f>IF($D702&lt;=AN$4,"",IF(AND($D701=AN$4,$D702&gt;AN$4),$F701,AN701))</f>
        <v/>
      </c>
      <c r="AO702" s="6" t="str">
        <f>CONCATENATE(AG702," | ",AH702," | ",AI702," | ",AJ702," | ",AK702," | ",AL702," | ",AM702," | ",AN702)</f>
        <v xml:space="preserve">90MB1BJ0-C1BAY0 | 59MB1BJB-MB0A02S |  |  |  |  |  | </v>
      </c>
      <c r="AP702" s="6">
        <f>IF(TRIM(H702)="",100,J702)</f>
        <v>100</v>
      </c>
      <c r="AQ702" s="4"/>
      <c r="AR702" s="6" t="b">
        <f>NOT(TRIM(W702)&lt;&gt;"F")</f>
        <v>1</v>
      </c>
      <c r="AS702" s="6" t="str">
        <f>$B702&amp;" | "&amp;$AO702&amp;" | "&amp;IF(TRIM(H702)="","uniq"&amp;ROW(),TRIM(H702))</f>
        <v>461E | 90MB1BJ0-C1BAY0 | 59MB1BJB-MB0A02S |  |  |  |  |  |  | N0</v>
      </c>
      <c r="AT702" s="63">
        <f>IF(NOT(AR702),IF(TRIM($H702)="","Assembly","Phantom Alt"),VLOOKUP(F702,ZPCS04!B:G,6,0))</f>
        <v>996</v>
      </c>
      <c r="AU702" s="7"/>
      <c r="AV702" s="38">
        <f ca="1">IF(TRIM($W702)="F",OFFSET($A$5,MATCH($AS702,$AS$5:$AS702,0)-1,0),$A702)</f>
        <v>704</v>
      </c>
      <c r="AW702" s="38">
        <f ca="1">IFERROR(OFFSET(ZPCS04!$A$1,MATCH(F702,ZPCS04!B:B,0)-1,0),100)</f>
        <v>2</v>
      </c>
      <c r="AX702" s="7"/>
      <c r="AY702" s="6" t="b">
        <f>SUMIF(AS:AS,AS702,AP:AP)=100</f>
        <v>1</v>
      </c>
      <c r="AZ702" s="6" t="b">
        <f>SUMIF(AS:AS,AS702,AE:AE)/COUNTIF(AS:AS,AS702)=AE702</f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>C702&amp;" | "&amp;F702</f>
        <v>90MB1BJ0-C1BAY0 | 11G232210411150</v>
      </c>
      <c r="BE702" s="55" t="str">
        <f ca="1">C702&amp;" | "&amp;OFFSET($AF702,0,8-COUNTBLANK($AG702:$AN702))</f>
        <v>90MB1BJ0-C1BAY0 | 59MB1BJB-MB0A02S</v>
      </c>
      <c r="BF702" s="57">
        <f ca="1">IFERROR(VLOOKUP($BE702,$BD$5:$BF701,3,0)*$AE702,VLOOKUP($C702,Demanda!$A:$B,2,0)*$AE702)*IF(AT702="Phantom Alt",$BC702,TRUE)</f>
        <v>1000</v>
      </c>
      <c r="BG702" s="57">
        <f ca="1">BF702*(AP702/100)</f>
        <v>1000</v>
      </c>
      <c r="BH702" s="57">
        <f>SUMIF(Invoice!A:A,F702,Invoice!B:B)</f>
        <v>0</v>
      </c>
      <c r="BI702" s="57">
        <f ca="1">SUMIF(AS:AS,AS702,BG:BG)</f>
        <v>1000</v>
      </c>
      <c r="BJ702" s="57">
        <f ca="1">MIN((BI702-SUMIF($AS$5:AS701,AS702,$BJ$5:BJ701)),MAX(0,BH702-SUMIF($F$5:F701,F702,$BJ$5:BJ701)))</f>
        <v>0</v>
      </c>
      <c r="BK702" s="57">
        <f ca="1">(-SUMIF(AS:AS,AS702,BG:BG)+SUMIF(AS:AS,AS702,BJ:BJ))*(AP702=100)*AR702</f>
        <v>0</v>
      </c>
      <c r="BL702" s="57">
        <f ca="1">MAX(0,SUMIF(Invoice!A:A,F702,Invoice!B:B)-SUMIF(F:F,F702,BJ:BJ))*(COUNTIF(F:F,F702)=COUNTIF($F$5:F702,F702))</f>
        <v>0</v>
      </c>
    </row>
    <row r="703" spans="1:64" hidden="1">
      <c r="A703" s="43">
        <v>702</v>
      </c>
      <c r="B703" s="13" t="s">
        <v>147</v>
      </c>
      <c r="C703" s="13" t="s">
        <v>146</v>
      </c>
      <c r="D703" s="13">
        <v>2</v>
      </c>
      <c r="E703" s="13">
        <v>2300</v>
      </c>
      <c r="F703" s="71" t="s">
        <v>1647</v>
      </c>
      <c r="G703" s="71" t="s">
        <v>1648</v>
      </c>
      <c r="H703" s="13" t="s">
        <v>1642</v>
      </c>
      <c r="I703" s="13" t="s">
        <v>55</v>
      </c>
      <c r="J703" s="28">
        <v>0</v>
      </c>
      <c r="K703" s="13" t="s">
        <v>1428</v>
      </c>
      <c r="L703" s="13" t="s">
        <v>53</v>
      </c>
      <c r="M703" s="13">
        <v>1</v>
      </c>
      <c r="O703" s="13">
        <v>1</v>
      </c>
      <c r="P703" s="13">
        <v>2</v>
      </c>
      <c r="Q703" s="13">
        <v>3</v>
      </c>
      <c r="R703" s="13" t="s">
        <v>122</v>
      </c>
      <c r="S703" s="13" t="s">
        <v>122</v>
      </c>
      <c r="T703" s="13">
        <v>44901</v>
      </c>
      <c r="U703" s="13">
        <v>2958465</v>
      </c>
      <c r="V703" s="13" t="s">
        <v>282</v>
      </c>
      <c r="W703" s="13" t="s">
        <v>145</v>
      </c>
      <c r="Y703" s="13" t="s">
        <v>143</v>
      </c>
      <c r="Z703" s="13">
        <v>7589154</v>
      </c>
      <c r="AA703" s="13">
        <v>1290</v>
      </c>
      <c r="AB703" s="13">
        <v>645</v>
      </c>
      <c r="AE703" s="51">
        <f>M703/O703</f>
        <v>1</v>
      </c>
      <c r="AG703" s="6" t="str">
        <f>C703</f>
        <v>90MB1BJ0-C1BAY0</v>
      </c>
      <c r="AH703" s="6" t="str">
        <f>IF($D703&lt;=AH$4,"",IF(AND($D702=AH$4,$D703&gt;AH$4),$F702,AH702))</f>
        <v>59MB1BJB-MB0A02S</v>
      </c>
      <c r="AI703" s="6" t="str">
        <f>IF($D703&lt;=AI$4,"",IF(AND($D702=AI$4,$D703&gt;AI$4),$F702,AI702))</f>
        <v/>
      </c>
      <c r="AJ703" s="6" t="str">
        <f>IF($D703&lt;=AJ$4,"",IF(AND($D702=AJ$4,$D703&gt;AJ$4),$F702,AJ702))</f>
        <v/>
      </c>
      <c r="AK703" s="6" t="str">
        <f>IF($D703&lt;=AK$4,"",IF(AND($D702=AK$4,$D703&gt;AK$4),$F702,AK702))</f>
        <v/>
      </c>
      <c r="AL703" s="6" t="str">
        <f>IF($D703&lt;=AL$4,"",IF(AND($D702=AL$4,$D703&gt;AL$4),$F702,AL702))</f>
        <v/>
      </c>
      <c r="AM703" s="6" t="str">
        <f>IF($D703&lt;=AM$4,"",IF(AND($D702=AM$4,$D703&gt;AM$4),$F702,AM702))</f>
        <v/>
      </c>
      <c r="AN703" s="6" t="str">
        <f>IF($D703&lt;=AN$4,"",IF(AND($D702=AN$4,$D703&gt;AN$4),$F702,AN702))</f>
        <v/>
      </c>
      <c r="AO703" s="6" t="str">
        <f>CONCATENATE(AG703," | ",AH703," | ",AI703," | ",AJ703," | ",AK703," | ",AL703," | ",AM703," | ",AN703)</f>
        <v xml:space="preserve">90MB1BJ0-C1BAY0 | 59MB1BJB-MB0A02S |  |  |  |  |  | </v>
      </c>
      <c r="AP703" s="6">
        <f>IF(TRIM(H703)="",100,J703)</f>
        <v>0</v>
      </c>
      <c r="AQ703" s="4"/>
      <c r="AR703" s="6" t="b">
        <f>NOT(TRIM(W703)&lt;&gt;"F")</f>
        <v>1</v>
      </c>
      <c r="AS703" s="6" t="str">
        <f>$B703&amp;" | "&amp;$AO703&amp;" | "&amp;IF(TRIM(H703)="","uniq"&amp;ROW(),TRIM(H703))</f>
        <v>461E | 90MB1BJ0-C1BAY0 | 59MB1BJB-MB0A02S |  |  |  |  |  |  | N0</v>
      </c>
      <c r="AT703" s="63">
        <f>IF(NOT(AR703),IF(TRIM($H703)="","Assembly","Phantom Alt"),VLOOKUP(F703,ZPCS04!B:G,6,0))</f>
        <v>996</v>
      </c>
      <c r="AU703" s="7"/>
      <c r="AV703" s="38">
        <f ca="1">IF(TRIM($W703)="F",OFFSET($A$5,MATCH($AS703,$AS$5:$AS703,0)-1,0),$A703)</f>
        <v>704</v>
      </c>
      <c r="AW703" s="38">
        <f ca="1">IFERROR(OFFSET(ZPCS04!$A$1,MATCH(F703,ZPCS04!B:B,0)-1,0),100)</f>
        <v>2</v>
      </c>
      <c r="AX703" s="7"/>
      <c r="AY703" s="6" t="b">
        <f>SUMIF(AS:AS,AS703,AP:AP)=100</f>
        <v>1</v>
      </c>
      <c r="AZ703" s="6" t="b">
        <f>SUMIF(AS:AS,AS703,AE:AE)/COUNTIF(AS:AS,AS703)=AE703</f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>C703&amp;" | "&amp;F703</f>
        <v>90MB1BJ0-C1BAY0 | 11G232210411320</v>
      </c>
      <c r="BE703" s="55" t="str">
        <f ca="1">C703&amp;" | "&amp;OFFSET($AF703,0,8-COUNTBLANK($AG703:$AN703))</f>
        <v>90MB1BJ0-C1BAY0 | 59MB1BJB-MB0A02S</v>
      </c>
      <c r="BF703" s="57">
        <f ca="1">IFERROR(VLOOKUP($BE703,$BD$5:$BF702,3,0)*$AE703,VLOOKUP($C703,Demanda!$A:$B,2,0)*$AE703)*IF(AT703="Phantom Alt",$BC703,TRUE)</f>
        <v>1000</v>
      </c>
      <c r="BG703" s="57">
        <f ca="1">BF703*(AP703/100)</f>
        <v>0</v>
      </c>
      <c r="BH703" s="57">
        <f>SUMIF(Invoice!A:A,F703,Invoice!B:B)</f>
        <v>0</v>
      </c>
      <c r="BI703" s="57">
        <f ca="1">SUMIF(AS:AS,AS703,BG:BG)</f>
        <v>1000</v>
      </c>
      <c r="BJ703" s="57">
        <f ca="1">MIN((BI703-SUMIF($AS$5:AS702,AS703,$BJ$5:BJ702)),MAX(0,BH703-SUMIF($F$5:F702,F703,$BJ$5:BJ702)))</f>
        <v>0</v>
      </c>
      <c r="BK703" s="57">
        <f ca="1">(-SUMIF(AS:AS,AS703,BG:BG)+SUMIF(AS:AS,AS703,BJ:BJ))*(AP703=100)*AR703</f>
        <v>0</v>
      </c>
      <c r="BL703" s="57">
        <f ca="1">MAX(0,SUMIF(Invoice!A:A,F703,Invoice!B:B)-SUMIF(F:F,F703,BJ:BJ))*(COUNTIF(F:F,F703)=COUNTIF($F$5:F703,F703))</f>
        <v>0</v>
      </c>
    </row>
    <row r="704" spans="1:64" hidden="1">
      <c r="A704" s="43">
        <v>703</v>
      </c>
      <c r="B704" s="13" t="s">
        <v>147</v>
      </c>
      <c r="C704" s="13" t="s">
        <v>146</v>
      </c>
      <c r="D704" s="13">
        <v>2</v>
      </c>
      <c r="E704" s="13">
        <v>2300</v>
      </c>
      <c r="F704" s="71" t="s">
        <v>1649</v>
      </c>
      <c r="G704" s="71" t="s">
        <v>1650</v>
      </c>
      <c r="H704" s="13" t="s">
        <v>1642</v>
      </c>
      <c r="I704" s="13" t="s">
        <v>55</v>
      </c>
      <c r="J704" s="28">
        <v>0</v>
      </c>
      <c r="K704" s="13" t="s">
        <v>1428</v>
      </c>
      <c r="L704" s="13" t="s">
        <v>53</v>
      </c>
      <c r="M704" s="13">
        <v>1</v>
      </c>
      <c r="O704" s="13">
        <v>1</v>
      </c>
      <c r="P704" s="13">
        <v>2</v>
      </c>
      <c r="Q704" s="13">
        <v>4</v>
      </c>
      <c r="R704" s="13" t="s">
        <v>122</v>
      </c>
      <c r="S704" s="13" t="s">
        <v>122</v>
      </c>
      <c r="T704" s="13">
        <v>44901</v>
      </c>
      <c r="U704" s="13">
        <v>2958465</v>
      </c>
      <c r="V704" s="13" t="s">
        <v>282</v>
      </c>
      <c r="W704" s="13" t="s">
        <v>145</v>
      </c>
      <c r="Y704" s="13" t="s">
        <v>143</v>
      </c>
      <c r="Z704" s="13">
        <v>7589154</v>
      </c>
      <c r="AA704" s="13">
        <v>1292</v>
      </c>
      <c r="AB704" s="13">
        <v>646</v>
      </c>
      <c r="AE704" s="51">
        <f>M704/O704</f>
        <v>1</v>
      </c>
      <c r="AG704" s="6" t="str">
        <f>C704</f>
        <v>90MB1BJ0-C1BAY0</v>
      </c>
      <c r="AH704" s="6" t="str">
        <f>IF($D704&lt;=AH$4,"",IF(AND($D703=AH$4,$D704&gt;AH$4),$F703,AH703))</f>
        <v>59MB1BJB-MB0A02S</v>
      </c>
      <c r="AI704" s="6" t="str">
        <f>IF($D704&lt;=AI$4,"",IF(AND($D703=AI$4,$D704&gt;AI$4),$F703,AI703))</f>
        <v/>
      </c>
      <c r="AJ704" s="6" t="str">
        <f>IF($D704&lt;=AJ$4,"",IF(AND($D703=AJ$4,$D704&gt;AJ$4),$F703,AJ703))</f>
        <v/>
      </c>
      <c r="AK704" s="6" t="str">
        <f>IF($D704&lt;=AK$4,"",IF(AND($D703=AK$4,$D704&gt;AK$4),$F703,AK703))</f>
        <v/>
      </c>
      <c r="AL704" s="6" t="str">
        <f>IF($D704&lt;=AL$4,"",IF(AND($D703=AL$4,$D704&gt;AL$4),$F703,AL703))</f>
        <v/>
      </c>
      <c r="AM704" s="6" t="str">
        <f>IF($D704&lt;=AM$4,"",IF(AND($D703=AM$4,$D704&gt;AM$4),$F703,AM703))</f>
        <v/>
      </c>
      <c r="AN704" s="6" t="str">
        <f>IF($D704&lt;=AN$4,"",IF(AND($D703=AN$4,$D704&gt;AN$4),$F703,AN703))</f>
        <v/>
      </c>
      <c r="AO704" s="6" t="str">
        <f>CONCATENATE(AG704," | ",AH704," | ",AI704," | ",AJ704," | ",AK704," | ",AL704," | ",AM704," | ",AN704)</f>
        <v xml:space="preserve">90MB1BJ0-C1BAY0 | 59MB1BJB-MB0A02S |  |  |  |  |  | </v>
      </c>
      <c r="AP704" s="6">
        <f>IF(TRIM(H704)="",100,J704)</f>
        <v>0</v>
      </c>
      <c r="AQ704" s="4"/>
      <c r="AR704" s="6" t="b">
        <f>NOT(TRIM(W704)&lt;&gt;"F")</f>
        <v>1</v>
      </c>
      <c r="AS704" s="6" t="str">
        <f>$B704&amp;" | "&amp;$AO704&amp;" | "&amp;IF(TRIM(H704)="","uniq"&amp;ROW(),TRIM(H704))</f>
        <v>461E | 90MB1BJ0-C1BAY0 | 59MB1BJB-MB0A02S |  |  |  |  |  |  | N0</v>
      </c>
      <c r="AT704" s="63">
        <f>IF(NOT(AR704),IF(TRIM($H704)="","Assembly","Phantom Alt"),VLOOKUP(F704,ZPCS04!B:G,6,0))</f>
        <v>996</v>
      </c>
      <c r="AU704" s="7"/>
      <c r="AV704" s="38">
        <f ca="1">IF(TRIM($W704)="F",OFFSET($A$5,MATCH($AS704,$AS$5:$AS704,0)-1,0),$A704)</f>
        <v>704</v>
      </c>
      <c r="AW704" s="38">
        <f ca="1">IFERROR(OFFSET(ZPCS04!$A$1,MATCH(F704,ZPCS04!B:B,0)-1,0),100)</f>
        <v>2</v>
      </c>
      <c r="AX704" s="7"/>
      <c r="AY704" s="6" t="b">
        <f>SUMIF(AS:AS,AS704,AP:AP)=100</f>
        <v>1</v>
      </c>
      <c r="AZ704" s="6" t="b">
        <f>SUMIF(AS:AS,AS704,AE:AE)/COUNTIF(AS:AS,AS704)=AE704</f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>C704&amp;" | "&amp;F704</f>
        <v>90MB1BJ0-C1BAY0 | 11G232210411360</v>
      </c>
      <c r="BE704" s="55" t="str">
        <f ca="1">C704&amp;" | "&amp;OFFSET($AF704,0,8-COUNTBLANK($AG704:$AN704))</f>
        <v>90MB1BJ0-C1BAY0 | 59MB1BJB-MB0A02S</v>
      </c>
      <c r="BF704" s="57">
        <f ca="1">IFERROR(VLOOKUP($BE704,$BD$5:$BF703,3,0)*$AE704,VLOOKUP($C704,Demanda!$A:$B,2,0)*$AE704)*IF(AT704="Phantom Alt",$BC704,TRUE)</f>
        <v>1000</v>
      </c>
      <c r="BG704" s="57">
        <f ca="1">BF704*(AP704/100)</f>
        <v>0</v>
      </c>
      <c r="BH704" s="57">
        <f>SUMIF(Invoice!A:A,F704,Invoice!B:B)</f>
        <v>0</v>
      </c>
      <c r="BI704" s="57">
        <f ca="1">SUMIF(AS:AS,AS704,BG:BG)</f>
        <v>1000</v>
      </c>
      <c r="BJ704" s="57">
        <f ca="1">MIN((BI704-SUMIF($AS$5:AS703,AS704,$BJ$5:BJ703)),MAX(0,BH704-SUMIF($F$5:F703,F704,$BJ$5:BJ703)))</f>
        <v>0</v>
      </c>
      <c r="BK704" s="57">
        <f ca="1">(-SUMIF(AS:AS,AS704,BG:BG)+SUMIF(AS:AS,AS704,BJ:BJ))*(AP704=100)*AR704</f>
        <v>0</v>
      </c>
      <c r="BL704" s="57">
        <f ca="1">MAX(0,SUMIF(Invoice!A:A,F704,Invoice!B:B)-SUMIF(F:F,F704,BJ:BJ))*(COUNTIF(F:F,F704)=COUNTIF($F$5:F704,F704))</f>
        <v>0</v>
      </c>
    </row>
    <row r="705" spans="1:64" hidden="1">
      <c r="A705" s="43">
        <v>706</v>
      </c>
      <c r="B705" s="13" t="s">
        <v>147</v>
      </c>
      <c r="C705" s="13" t="s">
        <v>146</v>
      </c>
      <c r="D705" s="13">
        <v>2</v>
      </c>
      <c r="E705" s="13">
        <v>2310</v>
      </c>
      <c r="F705" s="71" t="s">
        <v>1656</v>
      </c>
      <c r="G705" s="71" t="s">
        <v>1654</v>
      </c>
      <c r="H705" s="13" t="s">
        <v>1655</v>
      </c>
      <c r="I705" s="13" t="s">
        <v>55</v>
      </c>
      <c r="J705" s="28">
        <v>0</v>
      </c>
      <c r="K705" s="13" t="s">
        <v>1428</v>
      </c>
      <c r="L705" s="13" t="s">
        <v>53</v>
      </c>
      <c r="M705" s="13">
        <v>16</v>
      </c>
      <c r="O705" s="13">
        <v>1</v>
      </c>
      <c r="P705" s="13">
        <v>2</v>
      </c>
      <c r="Q705" s="13">
        <v>3</v>
      </c>
      <c r="R705" s="13" t="s">
        <v>122</v>
      </c>
      <c r="S705" s="13" t="s">
        <v>122</v>
      </c>
      <c r="T705" s="13">
        <v>44901</v>
      </c>
      <c r="U705" s="13">
        <v>2958465</v>
      </c>
      <c r="V705" s="13" t="s">
        <v>282</v>
      </c>
      <c r="W705" s="13" t="s">
        <v>145</v>
      </c>
      <c r="Y705" s="13" t="s">
        <v>143</v>
      </c>
      <c r="Z705" s="13">
        <v>7589154</v>
      </c>
      <c r="AA705" s="13">
        <v>1302</v>
      </c>
      <c r="AB705" s="13">
        <v>651</v>
      </c>
      <c r="AE705" s="51">
        <f>M705/O705</f>
        <v>16</v>
      </c>
      <c r="AG705" s="6" t="str">
        <f>C705</f>
        <v>90MB1BJ0-C1BAY0</v>
      </c>
      <c r="AH705" s="6" t="str">
        <f>IF($D705&lt;=AH$4,"",IF(AND($D704=AH$4,$D705&gt;AH$4),$F704,AH704))</f>
        <v>59MB1BJB-MB0A02S</v>
      </c>
      <c r="AI705" s="6" t="str">
        <f>IF($D705&lt;=AI$4,"",IF(AND($D704=AI$4,$D705&gt;AI$4),$F704,AI704))</f>
        <v/>
      </c>
      <c r="AJ705" s="6" t="str">
        <f>IF($D705&lt;=AJ$4,"",IF(AND($D704=AJ$4,$D705&gt;AJ$4),$F704,AJ704))</f>
        <v/>
      </c>
      <c r="AK705" s="6" t="str">
        <f>IF($D705&lt;=AK$4,"",IF(AND($D704=AK$4,$D705&gt;AK$4),$F704,AK704))</f>
        <v/>
      </c>
      <c r="AL705" s="6" t="str">
        <f>IF($D705&lt;=AL$4,"",IF(AND($D704=AL$4,$D705&gt;AL$4),$F704,AL704))</f>
        <v/>
      </c>
      <c r="AM705" s="6" t="str">
        <f>IF($D705&lt;=AM$4,"",IF(AND($D704=AM$4,$D705&gt;AM$4),$F704,AM704))</f>
        <v/>
      </c>
      <c r="AN705" s="6" t="str">
        <f>IF($D705&lt;=AN$4,"",IF(AND($D704=AN$4,$D705&gt;AN$4),$F704,AN704))</f>
        <v/>
      </c>
      <c r="AO705" s="6" t="str">
        <f>CONCATENATE(AG705," | ",AH705," | ",AI705," | ",AJ705," | ",AK705," | ",AL705," | ",AM705," | ",AN705)</f>
        <v xml:space="preserve">90MB1BJ0-C1BAY0 | 59MB1BJB-MB0A02S |  |  |  |  |  | </v>
      </c>
      <c r="AP705" s="6">
        <f>IF(TRIM(H705)="",100,J705)</f>
        <v>0</v>
      </c>
      <c r="AQ705" s="4"/>
      <c r="AR705" s="6" t="b">
        <f>NOT(TRIM(W705)&lt;&gt;"F")</f>
        <v>1</v>
      </c>
      <c r="AS705" s="6" t="str">
        <f>$B705&amp;" | "&amp;$AO705&amp;" | "&amp;IF(TRIM(H705)="","uniq"&amp;ROW(),TRIM(H705))</f>
        <v>461E | 90MB1BJ0-C1BAY0 | 59MB1BJB-MB0A02S |  |  |  |  |  |  | N1</v>
      </c>
      <c r="AT705" s="63">
        <f>IF(NOT(AR705),IF(TRIM($H705)="","Assembly","Phantom Alt"),VLOOKUP(F705,ZPCS04!B:G,6,0))</f>
        <v>757</v>
      </c>
      <c r="AU705" s="7"/>
      <c r="AV705" s="38">
        <f ca="1">IF(TRIM($W705)="F",OFFSET($A$5,MATCH($AS705,$AS$5:$AS705,0)-1,0),$A705)</f>
        <v>706</v>
      </c>
      <c r="AW705" s="38">
        <f ca="1">IFERROR(OFFSET(ZPCS04!$A$1,MATCH(F705,ZPCS04!B:B,0)-1,0),100)</f>
        <v>1.9999997999999999</v>
      </c>
      <c r="AX705" s="7"/>
      <c r="AY705" s="6" t="b">
        <f>SUMIF(AS:AS,AS705,AP:AP)=100</f>
        <v>1</v>
      </c>
      <c r="AZ705" s="6" t="b">
        <f>SUMIF(AS:AS,AS705,AE:AE)/COUNTIF(AS:AS,AS705)=AE705</f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>C705&amp;" | "&amp;F705</f>
        <v>90MB1BJ0-C1BAY0 | 11G232210515320</v>
      </c>
      <c r="BE705" s="55" t="str">
        <f ca="1">C705&amp;" | "&amp;OFFSET($AF705,0,8-COUNTBLANK($AG705:$AN705))</f>
        <v>90MB1BJ0-C1BAY0 | 59MB1BJB-MB0A02S</v>
      </c>
      <c r="BF705" s="57">
        <f ca="1">IFERROR(VLOOKUP($BE705,$BD$5:$BF704,3,0)*$AE705,VLOOKUP($C705,Demanda!$A:$B,2,0)*$AE705)*IF(AT705="Phantom Alt",$BC705,TRUE)</f>
        <v>16000</v>
      </c>
      <c r="BG705" s="57">
        <f ca="1">BF705*(AP705/100)</f>
        <v>0</v>
      </c>
      <c r="BH705" s="57">
        <f>SUMIF(Invoice!A:A,F705,Invoice!B:B)</f>
        <v>20000</v>
      </c>
      <c r="BI705" s="57">
        <f ca="1">SUMIF(AS:AS,AS705,BG:BG)</f>
        <v>16000</v>
      </c>
      <c r="BJ705" s="57">
        <f ca="1">MIN((BI705-SUMIF($AS$5:AS704,AS705,$BJ$5:BJ704)),MAX(0,BH705-SUMIF($F$5:F704,F705,$BJ$5:BJ704)))</f>
        <v>16000</v>
      </c>
      <c r="BK705" s="57">
        <f ca="1">(-SUMIF(AS:AS,AS705,BG:BG)+SUMIF(AS:AS,AS705,BJ:BJ))*(AP705=100)*AR705</f>
        <v>0</v>
      </c>
      <c r="BL705" s="57">
        <f ca="1">MAX(0,SUMIF(Invoice!A:A,F705,Invoice!B:B)-SUMIF(F:F,F705,BJ:BJ))*(COUNTIF(F:F,F705)=COUNTIF($F$5:F705,F705))</f>
        <v>4000</v>
      </c>
    </row>
    <row r="706" spans="1:64" hidden="1">
      <c r="A706" s="43">
        <v>705</v>
      </c>
      <c r="B706" s="13" t="s">
        <v>147</v>
      </c>
      <c r="C706" s="13" t="s">
        <v>146</v>
      </c>
      <c r="D706" s="13">
        <v>2</v>
      </c>
      <c r="E706" s="13">
        <v>2310</v>
      </c>
      <c r="F706" s="71" t="s">
        <v>1653</v>
      </c>
      <c r="G706" s="71" t="s">
        <v>1654</v>
      </c>
      <c r="H706" s="13" t="s">
        <v>1655</v>
      </c>
      <c r="I706" s="13" t="s">
        <v>55</v>
      </c>
      <c r="J706" s="28">
        <v>0</v>
      </c>
      <c r="K706" s="13" t="s">
        <v>1428</v>
      </c>
      <c r="L706" s="13" t="s">
        <v>53</v>
      </c>
      <c r="M706" s="13">
        <v>16</v>
      </c>
      <c r="O706" s="13">
        <v>1</v>
      </c>
      <c r="P706" s="13">
        <v>2</v>
      </c>
      <c r="Q706" s="13">
        <v>4</v>
      </c>
      <c r="R706" s="13" t="s">
        <v>122</v>
      </c>
      <c r="S706" s="13" t="s">
        <v>122</v>
      </c>
      <c r="T706" s="13">
        <v>44901</v>
      </c>
      <c r="U706" s="13">
        <v>2958465</v>
      </c>
      <c r="V706" s="13" t="s">
        <v>282</v>
      </c>
      <c r="W706" s="13" t="s">
        <v>145</v>
      </c>
      <c r="Y706" s="13" t="s">
        <v>143</v>
      </c>
      <c r="Z706" s="13">
        <v>7589154</v>
      </c>
      <c r="AA706" s="13">
        <v>1304</v>
      </c>
      <c r="AB706" s="13">
        <v>652</v>
      </c>
      <c r="AE706" s="51">
        <f>M706/O706</f>
        <v>16</v>
      </c>
      <c r="AG706" s="6" t="str">
        <f>C706</f>
        <v>90MB1BJ0-C1BAY0</v>
      </c>
      <c r="AH706" s="6" t="str">
        <f>IF($D706&lt;=AH$4,"",IF(AND($D705=AH$4,$D706&gt;AH$4),$F705,AH705))</f>
        <v>59MB1BJB-MB0A02S</v>
      </c>
      <c r="AI706" s="6" t="str">
        <f>IF($D706&lt;=AI$4,"",IF(AND($D705=AI$4,$D706&gt;AI$4),$F705,AI705))</f>
        <v/>
      </c>
      <c r="AJ706" s="6" t="str">
        <f>IF($D706&lt;=AJ$4,"",IF(AND($D705=AJ$4,$D706&gt;AJ$4),$F705,AJ705))</f>
        <v/>
      </c>
      <c r="AK706" s="6" t="str">
        <f>IF($D706&lt;=AK$4,"",IF(AND($D705=AK$4,$D706&gt;AK$4),$F705,AK705))</f>
        <v/>
      </c>
      <c r="AL706" s="6" t="str">
        <f>IF($D706&lt;=AL$4,"",IF(AND($D705=AL$4,$D706&gt;AL$4),$F705,AL705))</f>
        <v/>
      </c>
      <c r="AM706" s="6" t="str">
        <f>IF($D706&lt;=AM$4,"",IF(AND($D705=AM$4,$D706&gt;AM$4),$F705,AM705))</f>
        <v/>
      </c>
      <c r="AN706" s="6" t="str">
        <f>IF($D706&lt;=AN$4,"",IF(AND($D705=AN$4,$D706&gt;AN$4),$F705,AN705))</f>
        <v/>
      </c>
      <c r="AO706" s="6" t="str">
        <f>CONCATENATE(AG706," | ",AH706," | ",AI706," | ",AJ706," | ",AK706," | ",AL706," | ",AM706," | ",AN706)</f>
        <v xml:space="preserve">90MB1BJ0-C1BAY0 | 59MB1BJB-MB0A02S |  |  |  |  |  | </v>
      </c>
      <c r="AP706" s="6">
        <f>IF(TRIM(H706)="",100,J706)</f>
        <v>0</v>
      </c>
      <c r="AQ706" s="4"/>
      <c r="AR706" s="6" t="b">
        <f>NOT(TRIM(W706)&lt;&gt;"F")</f>
        <v>1</v>
      </c>
      <c r="AS706" s="6" t="str">
        <f>$B706&amp;" | "&amp;$AO706&amp;" | "&amp;IF(TRIM(H706)="","uniq"&amp;ROW(),TRIM(H706))</f>
        <v>461E | 90MB1BJ0-C1BAY0 | 59MB1BJB-MB0A02S |  |  |  |  |  |  | N1</v>
      </c>
      <c r="AT706" s="63">
        <f>IF(NOT(AR706),IF(TRIM($H706)="","Assembly","Phantom Alt"),VLOOKUP(F706,ZPCS04!B:G,6,0))</f>
        <v>757</v>
      </c>
      <c r="AU706" s="7"/>
      <c r="AV706" s="38">
        <f ca="1">IF(TRIM($W706)="F",OFFSET($A$5,MATCH($AS706,$AS$5:$AS706,0)-1,0),$A706)</f>
        <v>706</v>
      </c>
      <c r="AW706" s="38">
        <f ca="1">IFERROR(OFFSET(ZPCS04!$A$1,MATCH(F706,ZPCS04!B:B,0)-1,0),100)</f>
        <v>2</v>
      </c>
      <c r="AX706" s="7"/>
      <c r="AY706" s="6" t="b">
        <f>SUMIF(AS:AS,AS706,AP:AP)=100</f>
        <v>1</v>
      </c>
      <c r="AZ706" s="6" t="b">
        <f>SUMIF(AS:AS,AS706,AE:AE)/COUNTIF(AS:AS,AS706)=AE706</f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>C706&amp;" | "&amp;F706</f>
        <v>90MB1BJ0-C1BAY0 | 11G232210515150</v>
      </c>
      <c r="BE706" s="55" t="str">
        <f ca="1">C706&amp;" | "&amp;OFFSET($AF706,0,8-COUNTBLANK($AG706:$AN706))</f>
        <v>90MB1BJ0-C1BAY0 | 59MB1BJB-MB0A02S</v>
      </c>
      <c r="BF706" s="57">
        <f ca="1">IFERROR(VLOOKUP($BE706,$BD$5:$BF705,3,0)*$AE706,VLOOKUP($C706,Demanda!$A:$B,2,0)*$AE706)*IF(AT706="Phantom Alt",$BC706,TRUE)</f>
        <v>16000</v>
      </c>
      <c r="BG706" s="57">
        <f ca="1">BF706*(AP706/100)</f>
        <v>0</v>
      </c>
      <c r="BH706" s="57">
        <f>SUMIF(Invoice!A:A,F706,Invoice!B:B)</f>
        <v>0</v>
      </c>
      <c r="BI706" s="57">
        <f ca="1">SUMIF(AS:AS,AS706,BG:BG)</f>
        <v>16000</v>
      </c>
      <c r="BJ706" s="57">
        <f ca="1">MIN((BI706-SUMIF($AS$5:AS705,AS706,$BJ$5:BJ705)),MAX(0,BH706-SUMIF($F$5:F705,F706,$BJ$5:BJ705)))</f>
        <v>0</v>
      </c>
      <c r="BK706" s="57">
        <f ca="1">(-SUMIF(AS:AS,AS706,BG:BG)+SUMIF(AS:AS,AS706,BJ:BJ))*(AP706=100)*AR706</f>
        <v>0</v>
      </c>
      <c r="BL706" s="57">
        <f ca="1">MAX(0,SUMIF(Invoice!A:A,F706,Invoice!B:B)-SUMIF(F:F,F706,BJ:BJ))*(COUNTIF(F:F,F706)=COUNTIF($F$5:F706,F706))</f>
        <v>0</v>
      </c>
    </row>
    <row r="707" spans="1:64" hidden="1">
      <c r="A707" s="43">
        <v>707</v>
      </c>
      <c r="B707" s="13" t="s">
        <v>147</v>
      </c>
      <c r="C707" s="13" t="s">
        <v>146</v>
      </c>
      <c r="D707" s="13">
        <v>2</v>
      </c>
      <c r="E707" s="13">
        <v>2310</v>
      </c>
      <c r="F707" s="71" t="s">
        <v>1657</v>
      </c>
      <c r="G707" s="71" t="s">
        <v>1654</v>
      </c>
      <c r="H707" s="13" t="s">
        <v>1655</v>
      </c>
      <c r="I707" s="13" t="s">
        <v>54</v>
      </c>
      <c r="J707" s="28">
        <v>100</v>
      </c>
      <c r="K707" s="13" t="s">
        <v>1428</v>
      </c>
      <c r="L707" s="13" t="s">
        <v>53</v>
      </c>
      <c r="M707" s="13">
        <v>16</v>
      </c>
      <c r="N707" s="13">
        <v>16</v>
      </c>
      <c r="O707" s="13">
        <v>1</v>
      </c>
      <c r="P707" s="13">
        <v>2</v>
      </c>
      <c r="Q707" s="13">
        <v>1</v>
      </c>
      <c r="R707" s="13" t="s">
        <v>122</v>
      </c>
      <c r="S707" s="13" t="s">
        <v>122</v>
      </c>
      <c r="T707" s="13">
        <v>44901</v>
      </c>
      <c r="U707" s="13">
        <v>2958465</v>
      </c>
      <c r="V707" s="13" t="s">
        <v>282</v>
      </c>
      <c r="W707" s="13" t="s">
        <v>145</v>
      </c>
      <c r="Y707" s="13" t="s">
        <v>143</v>
      </c>
      <c r="Z707" s="13">
        <v>7589154</v>
      </c>
      <c r="AA707" s="13">
        <v>1298</v>
      </c>
      <c r="AB707" s="13">
        <v>649</v>
      </c>
      <c r="AE707" s="51">
        <f>M707/O707</f>
        <v>16</v>
      </c>
      <c r="AG707" s="6" t="str">
        <f>C707</f>
        <v>90MB1BJ0-C1BAY0</v>
      </c>
      <c r="AH707" s="6" t="str">
        <f>IF($D707&lt;=AH$4,"",IF(AND($D706=AH$4,$D707&gt;AH$4),$F706,AH706))</f>
        <v>59MB1BJB-MB0A02S</v>
      </c>
      <c r="AI707" s="6" t="str">
        <f>IF($D707&lt;=AI$4,"",IF(AND($D706=AI$4,$D707&gt;AI$4),$F706,AI706))</f>
        <v/>
      </c>
      <c r="AJ707" s="6" t="str">
        <f>IF($D707&lt;=AJ$4,"",IF(AND($D706=AJ$4,$D707&gt;AJ$4),$F706,AJ706))</f>
        <v/>
      </c>
      <c r="AK707" s="6" t="str">
        <f>IF($D707&lt;=AK$4,"",IF(AND($D706=AK$4,$D707&gt;AK$4),$F706,AK706))</f>
        <v/>
      </c>
      <c r="AL707" s="6" t="str">
        <f>IF($D707&lt;=AL$4,"",IF(AND($D706=AL$4,$D707&gt;AL$4),$F706,AL706))</f>
        <v/>
      </c>
      <c r="AM707" s="6" t="str">
        <f>IF($D707&lt;=AM$4,"",IF(AND($D706=AM$4,$D707&gt;AM$4),$F706,AM706))</f>
        <v/>
      </c>
      <c r="AN707" s="6" t="str">
        <f>IF($D707&lt;=AN$4,"",IF(AND($D706=AN$4,$D707&gt;AN$4),$F706,AN706))</f>
        <v/>
      </c>
      <c r="AO707" s="6" t="str">
        <f>CONCATENATE(AG707," | ",AH707," | ",AI707," | ",AJ707," | ",AK707," | ",AL707," | ",AM707," | ",AN707)</f>
        <v xml:space="preserve">90MB1BJ0-C1BAY0 | 59MB1BJB-MB0A02S |  |  |  |  |  | </v>
      </c>
      <c r="AP707" s="6">
        <f>IF(TRIM(H707)="",100,J707)</f>
        <v>100</v>
      </c>
      <c r="AQ707" s="4"/>
      <c r="AR707" s="6" t="b">
        <f>NOT(TRIM(W707)&lt;&gt;"F")</f>
        <v>1</v>
      </c>
      <c r="AS707" s="6" t="str">
        <f>$B707&amp;" | "&amp;$AO707&amp;" | "&amp;IF(TRIM(H707)="","uniq"&amp;ROW(),TRIM(H707))</f>
        <v>461E | 90MB1BJ0-C1BAY0 | 59MB1BJB-MB0A02S |  |  |  |  |  |  | N1</v>
      </c>
      <c r="AT707" s="63">
        <f>IF(NOT(AR707),IF(TRIM($H707)="","Assembly","Phantom Alt"),VLOOKUP(F707,ZPCS04!B:G,6,0))</f>
        <v>757</v>
      </c>
      <c r="AU707" s="7"/>
      <c r="AV707" s="38">
        <f ca="1">IF(TRIM($W707)="F",OFFSET($A$5,MATCH($AS707,$AS$5:$AS707,0)-1,0),$A707)</f>
        <v>706</v>
      </c>
      <c r="AW707" s="38">
        <f ca="1">IFERROR(OFFSET(ZPCS04!$A$1,MATCH(F707,ZPCS04!B:B,0)-1,0),100)</f>
        <v>2</v>
      </c>
      <c r="AX707" s="7"/>
      <c r="AY707" s="6" t="b">
        <f>SUMIF(AS:AS,AS707,AP:AP)=100</f>
        <v>1</v>
      </c>
      <c r="AZ707" s="6" t="b">
        <f>SUMIF(AS:AS,AS707,AE:AE)/COUNTIF(AS:AS,AS707)=AE707</f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>C707&amp;" | "&amp;F707</f>
        <v>90MB1BJ0-C1BAY0 | 11G232210515360</v>
      </c>
      <c r="BE707" s="55" t="str">
        <f ca="1">C707&amp;" | "&amp;OFFSET($AF707,0,8-COUNTBLANK($AG707:$AN707))</f>
        <v>90MB1BJ0-C1BAY0 | 59MB1BJB-MB0A02S</v>
      </c>
      <c r="BF707" s="57">
        <f ca="1">IFERROR(VLOOKUP($BE707,$BD$5:$BF706,3,0)*$AE707,VLOOKUP($C707,Demanda!$A:$B,2,0)*$AE707)*IF(AT707="Phantom Alt",$BC707,TRUE)</f>
        <v>16000</v>
      </c>
      <c r="BG707" s="57">
        <f ca="1">BF707*(AP707/100)</f>
        <v>16000</v>
      </c>
      <c r="BH707" s="57">
        <f>SUMIF(Invoice!A:A,F707,Invoice!B:B)</f>
        <v>0</v>
      </c>
      <c r="BI707" s="57">
        <f ca="1">SUMIF(AS:AS,AS707,BG:BG)</f>
        <v>16000</v>
      </c>
      <c r="BJ707" s="57">
        <f ca="1">MIN((BI707-SUMIF($AS$5:AS706,AS707,$BJ$5:BJ706)),MAX(0,BH707-SUMIF($F$5:F706,F707,$BJ$5:BJ706)))</f>
        <v>0</v>
      </c>
      <c r="BK707" s="57">
        <f ca="1">(-SUMIF(AS:AS,AS707,BG:BG)+SUMIF(AS:AS,AS707,BJ:BJ))*(AP707=100)*AR707</f>
        <v>0</v>
      </c>
      <c r="BL707" s="57">
        <f ca="1">MAX(0,SUMIF(Invoice!A:A,F707,Invoice!B:B)-SUMIF(F:F,F707,BJ:BJ))*(COUNTIF(F:F,F707)=COUNTIF($F$5:F707,F707))</f>
        <v>0</v>
      </c>
    </row>
    <row r="708" spans="1:64" hidden="1">
      <c r="A708" s="43">
        <v>708</v>
      </c>
      <c r="B708" s="13" t="s">
        <v>147</v>
      </c>
      <c r="C708" s="13" t="s">
        <v>146</v>
      </c>
      <c r="D708" s="13">
        <v>2</v>
      </c>
      <c r="E708" s="13">
        <v>2310</v>
      </c>
      <c r="F708" s="71" t="s">
        <v>1658</v>
      </c>
      <c r="G708" s="71" t="s">
        <v>1654</v>
      </c>
      <c r="H708" s="13" t="s">
        <v>1655</v>
      </c>
      <c r="I708" s="13" t="s">
        <v>55</v>
      </c>
      <c r="J708" s="28">
        <v>0</v>
      </c>
      <c r="K708" s="13" t="s">
        <v>1428</v>
      </c>
      <c r="L708" s="13" t="s">
        <v>53</v>
      </c>
      <c r="M708" s="13">
        <v>16</v>
      </c>
      <c r="O708" s="13">
        <v>1</v>
      </c>
      <c r="P708" s="13">
        <v>2</v>
      </c>
      <c r="Q708" s="13">
        <v>2</v>
      </c>
      <c r="R708" s="13" t="s">
        <v>122</v>
      </c>
      <c r="S708" s="13" t="s">
        <v>122</v>
      </c>
      <c r="T708" s="13">
        <v>44901</v>
      </c>
      <c r="U708" s="13">
        <v>2958465</v>
      </c>
      <c r="V708" s="13" t="s">
        <v>282</v>
      </c>
      <c r="W708" s="13" t="s">
        <v>145</v>
      </c>
      <c r="Y708" s="13" t="s">
        <v>143</v>
      </c>
      <c r="Z708" s="13">
        <v>7589154</v>
      </c>
      <c r="AA708" s="13">
        <v>1300</v>
      </c>
      <c r="AB708" s="13">
        <v>650</v>
      </c>
      <c r="AE708" s="51">
        <f>M708/O708</f>
        <v>16</v>
      </c>
      <c r="AG708" s="6" t="str">
        <f>C708</f>
        <v>90MB1BJ0-C1BAY0</v>
      </c>
      <c r="AH708" s="6" t="str">
        <f>IF($D708&lt;=AH$4,"",IF(AND($D707=AH$4,$D708&gt;AH$4),$F707,AH707))</f>
        <v>59MB1BJB-MB0A02S</v>
      </c>
      <c r="AI708" s="6" t="str">
        <f>IF($D708&lt;=AI$4,"",IF(AND($D707=AI$4,$D708&gt;AI$4),$F707,AI707))</f>
        <v/>
      </c>
      <c r="AJ708" s="6" t="str">
        <f>IF($D708&lt;=AJ$4,"",IF(AND($D707=AJ$4,$D708&gt;AJ$4),$F707,AJ707))</f>
        <v/>
      </c>
      <c r="AK708" s="6" t="str">
        <f>IF($D708&lt;=AK$4,"",IF(AND($D707=AK$4,$D708&gt;AK$4),$F707,AK707))</f>
        <v/>
      </c>
      <c r="AL708" s="6" t="str">
        <f>IF($D708&lt;=AL$4,"",IF(AND($D707=AL$4,$D708&gt;AL$4),$F707,AL707))</f>
        <v/>
      </c>
      <c r="AM708" s="6" t="str">
        <f>IF($D708&lt;=AM$4,"",IF(AND($D707=AM$4,$D708&gt;AM$4),$F707,AM707))</f>
        <v/>
      </c>
      <c r="AN708" s="6" t="str">
        <f>IF($D708&lt;=AN$4,"",IF(AND($D707=AN$4,$D708&gt;AN$4),$F707,AN707))</f>
        <v/>
      </c>
      <c r="AO708" s="6" t="str">
        <f>CONCATENATE(AG708," | ",AH708," | ",AI708," | ",AJ708," | ",AK708," | ",AL708," | ",AM708," | ",AN708)</f>
        <v xml:space="preserve">90MB1BJ0-C1BAY0 | 59MB1BJB-MB0A02S |  |  |  |  |  | </v>
      </c>
      <c r="AP708" s="6">
        <f>IF(TRIM(H708)="",100,J708)</f>
        <v>0</v>
      </c>
      <c r="AQ708" s="4"/>
      <c r="AR708" s="6" t="b">
        <f>NOT(TRIM(W708)&lt;&gt;"F")</f>
        <v>1</v>
      </c>
      <c r="AS708" s="6" t="str">
        <f>$B708&amp;" | "&amp;$AO708&amp;" | "&amp;IF(TRIM(H708)="","uniq"&amp;ROW(),TRIM(H708))</f>
        <v>461E | 90MB1BJ0-C1BAY0 | 59MB1BJB-MB0A02S |  |  |  |  |  |  | N1</v>
      </c>
      <c r="AT708" s="63">
        <f>IF(NOT(AR708),IF(TRIM($H708)="","Assembly","Phantom Alt"),VLOOKUP(F708,ZPCS04!B:G,6,0))</f>
        <v>757</v>
      </c>
      <c r="AU708" s="7"/>
      <c r="AV708" s="38">
        <f ca="1">IF(TRIM($W708)="F",OFFSET($A$5,MATCH($AS708,$AS$5:$AS708,0)-1,0),$A708)</f>
        <v>706</v>
      </c>
      <c r="AW708" s="38">
        <f ca="1">IFERROR(OFFSET(ZPCS04!$A$1,MATCH(F708,ZPCS04!B:B,0)-1,0),100)</f>
        <v>2</v>
      </c>
      <c r="AX708" s="7"/>
      <c r="AY708" s="6" t="b">
        <f>SUMIF(AS:AS,AS708,AP:AP)=100</f>
        <v>1</v>
      </c>
      <c r="AZ708" s="6" t="b">
        <f>SUMIF(AS:AS,AS708,AE:AE)/COUNTIF(AS:AS,AS708)=AE708</f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>C708&amp;" | "&amp;F708</f>
        <v>90MB1BJ0-C1BAY0 | 11G232210515390</v>
      </c>
      <c r="BE708" s="55" t="str">
        <f ca="1">C708&amp;" | "&amp;OFFSET($AF708,0,8-COUNTBLANK($AG708:$AN708))</f>
        <v>90MB1BJ0-C1BAY0 | 59MB1BJB-MB0A02S</v>
      </c>
      <c r="BF708" s="57">
        <f ca="1">IFERROR(VLOOKUP($BE708,$BD$5:$BF707,3,0)*$AE708,VLOOKUP($C708,Demanda!$A:$B,2,0)*$AE708)*IF(AT708="Phantom Alt",$BC708,TRUE)</f>
        <v>16000</v>
      </c>
      <c r="BG708" s="57">
        <f ca="1">BF708*(AP708/100)</f>
        <v>0</v>
      </c>
      <c r="BH708" s="57">
        <f>SUMIF(Invoice!A:A,F708,Invoice!B:B)</f>
        <v>0</v>
      </c>
      <c r="BI708" s="57">
        <f ca="1">SUMIF(AS:AS,AS708,BG:BG)</f>
        <v>16000</v>
      </c>
      <c r="BJ708" s="57">
        <f ca="1">MIN((BI708-SUMIF($AS$5:AS707,AS708,$BJ$5:BJ707)),MAX(0,BH708-SUMIF($F$5:F707,F708,$BJ$5:BJ707)))</f>
        <v>0</v>
      </c>
      <c r="BK708" s="57">
        <f ca="1">(-SUMIF(AS:AS,AS708,BG:BG)+SUMIF(AS:AS,AS708,BJ:BJ))*(AP708=100)*AR708</f>
        <v>0</v>
      </c>
      <c r="BL708" s="57">
        <f ca="1">MAX(0,SUMIF(Invoice!A:A,F708,Invoice!B:B)-SUMIF(F:F,F708,BJ:BJ))*(COUNTIF(F:F,F708)=COUNTIF($F$5:F708,F708))</f>
        <v>0</v>
      </c>
    </row>
    <row r="709" spans="1:64" hidden="1">
      <c r="A709" s="43">
        <v>709</v>
      </c>
      <c r="B709" s="13" t="s">
        <v>147</v>
      </c>
      <c r="C709" s="13" t="s">
        <v>146</v>
      </c>
      <c r="D709" s="13">
        <v>2</v>
      </c>
      <c r="E709" s="13">
        <v>2320</v>
      </c>
      <c r="F709" s="71" t="s">
        <v>1659</v>
      </c>
      <c r="G709" s="71" t="s">
        <v>1660</v>
      </c>
      <c r="H709" s="13" t="s">
        <v>1661</v>
      </c>
      <c r="I709" s="13" t="s">
        <v>55</v>
      </c>
      <c r="J709" s="28">
        <v>0</v>
      </c>
      <c r="K709" s="13" t="s">
        <v>1428</v>
      </c>
      <c r="L709" s="13" t="s">
        <v>53</v>
      </c>
      <c r="M709" s="13">
        <v>5</v>
      </c>
      <c r="O709" s="13">
        <v>1</v>
      </c>
      <c r="P709" s="13">
        <v>2</v>
      </c>
      <c r="Q709" s="13">
        <v>3</v>
      </c>
      <c r="R709" s="13" t="s">
        <v>122</v>
      </c>
      <c r="S709" s="13" t="s">
        <v>122</v>
      </c>
      <c r="T709" s="13">
        <v>44901</v>
      </c>
      <c r="U709" s="13">
        <v>2958465</v>
      </c>
      <c r="V709" s="13" t="s">
        <v>282</v>
      </c>
      <c r="W709" s="13" t="s">
        <v>145</v>
      </c>
      <c r="Y709" s="13" t="s">
        <v>143</v>
      </c>
      <c r="Z709" s="13">
        <v>7589154</v>
      </c>
      <c r="AA709" s="13">
        <v>1310</v>
      </c>
      <c r="AB709" s="13">
        <v>655</v>
      </c>
      <c r="AE709" s="51">
        <f>M709/O709</f>
        <v>5</v>
      </c>
      <c r="AG709" s="6" t="str">
        <f>C709</f>
        <v>90MB1BJ0-C1BAY0</v>
      </c>
      <c r="AH709" s="6" t="str">
        <f>IF($D709&lt;=AH$4,"",IF(AND($D708=AH$4,$D709&gt;AH$4),$F708,AH708))</f>
        <v>59MB1BJB-MB0A02S</v>
      </c>
      <c r="AI709" s="6" t="str">
        <f>IF($D709&lt;=AI$4,"",IF(AND($D708=AI$4,$D709&gt;AI$4),$F708,AI708))</f>
        <v/>
      </c>
      <c r="AJ709" s="6" t="str">
        <f>IF($D709&lt;=AJ$4,"",IF(AND($D708=AJ$4,$D709&gt;AJ$4),$F708,AJ708))</f>
        <v/>
      </c>
      <c r="AK709" s="6" t="str">
        <f>IF($D709&lt;=AK$4,"",IF(AND($D708=AK$4,$D709&gt;AK$4),$F708,AK708))</f>
        <v/>
      </c>
      <c r="AL709" s="6" t="str">
        <f>IF($D709&lt;=AL$4,"",IF(AND($D708=AL$4,$D709&gt;AL$4),$F708,AL708))</f>
        <v/>
      </c>
      <c r="AM709" s="6" t="str">
        <f>IF($D709&lt;=AM$4,"",IF(AND($D708=AM$4,$D709&gt;AM$4),$F708,AM708))</f>
        <v/>
      </c>
      <c r="AN709" s="6" t="str">
        <f>IF($D709&lt;=AN$4,"",IF(AND($D708=AN$4,$D709&gt;AN$4),$F708,AN708))</f>
        <v/>
      </c>
      <c r="AO709" s="6" t="str">
        <f>CONCATENATE(AG709," | ",AH709," | ",AI709," | ",AJ709," | ",AK709," | ",AL709," | ",AM709," | ",AN709)</f>
        <v xml:space="preserve">90MB1BJ0-C1BAY0 | 59MB1BJB-MB0A02S |  |  |  |  |  | </v>
      </c>
      <c r="AP709" s="6">
        <f>IF(TRIM(H709)="",100,J709)</f>
        <v>0</v>
      </c>
      <c r="AQ709" s="4"/>
      <c r="AR709" s="6" t="b">
        <f>NOT(TRIM(W709)&lt;&gt;"F")</f>
        <v>1</v>
      </c>
      <c r="AS709" s="6" t="str">
        <f>$B709&amp;" | "&amp;$AO709&amp;" | "&amp;IF(TRIM(H709)="","uniq"&amp;ROW(),TRIM(H709))</f>
        <v>461E | 90MB1BJ0-C1BAY0 | 59MB1BJB-MB0A02S |  |  |  |  |  |  | N2</v>
      </c>
      <c r="AT709" s="63">
        <f>IF(NOT(AR709),IF(TRIM($H709)="","Assembly","Phantom Alt"),VLOOKUP(F709,ZPCS04!B:G,6,0))</f>
        <v>891</v>
      </c>
      <c r="AU709" s="7"/>
      <c r="AV709" s="38">
        <f ca="1">IF(TRIM($W709)="F",OFFSET($A$5,MATCH($AS709,$AS$5:$AS709,0)-1,0),$A709)</f>
        <v>709</v>
      </c>
      <c r="AW709" s="38">
        <f ca="1">IFERROR(OFFSET(ZPCS04!$A$1,MATCH(F709,ZPCS04!B:B,0)-1,0),100)</f>
        <v>1.9999999000000002</v>
      </c>
      <c r="AX709" s="7"/>
      <c r="AY709" s="6" t="b">
        <f>SUMIF(AS:AS,AS709,AP:AP)=100</f>
        <v>1</v>
      </c>
      <c r="AZ709" s="6" t="b">
        <f>SUMIF(AS:AS,AS709,AE:AE)/COUNTIF(AS:AS,AS709)=AE709</f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>C709&amp;" | "&amp;F709</f>
        <v>90MB1BJ0-C1BAY0 | 11G232210516150</v>
      </c>
      <c r="BE709" s="55" t="str">
        <f ca="1">C709&amp;" | "&amp;OFFSET($AF709,0,8-COUNTBLANK($AG709:$AN709))</f>
        <v>90MB1BJ0-C1BAY0 | 59MB1BJB-MB0A02S</v>
      </c>
      <c r="BF709" s="57">
        <f ca="1">IFERROR(VLOOKUP($BE709,$BD$5:$BF708,3,0)*$AE709,VLOOKUP($C709,Demanda!$A:$B,2,0)*$AE709)*IF(AT709="Phantom Alt",$BC709,TRUE)</f>
        <v>5000</v>
      </c>
      <c r="BG709" s="57">
        <f ca="1">BF709*(AP709/100)</f>
        <v>0</v>
      </c>
      <c r="BH709" s="57">
        <f>SUMIF(Invoice!A:A,F709,Invoice!B:B)</f>
        <v>10000</v>
      </c>
      <c r="BI709" s="57">
        <f ca="1">SUMIF(AS:AS,AS709,BG:BG)</f>
        <v>5000</v>
      </c>
      <c r="BJ709" s="57">
        <f ca="1">MIN((BI709-SUMIF($AS$5:AS708,AS709,$BJ$5:BJ708)),MAX(0,BH709-SUMIF($F$5:F708,F709,$BJ$5:BJ708)))</f>
        <v>5000</v>
      </c>
      <c r="BK709" s="57">
        <f ca="1">(-SUMIF(AS:AS,AS709,BG:BG)+SUMIF(AS:AS,AS709,BJ:BJ))*(AP709=100)*AR709</f>
        <v>0</v>
      </c>
      <c r="BL709" s="57">
        <f ca="1">MAX(0,SUMIF(Invoice!A:A,F709,Invoice!B:B)-SUMIF(F:F,F709,BJ:BJ))*(COUNTIF(F:F,F709)=COUNTIF($F$5:F709,F709))</f>
        <v>5000</v>
      </c>
    </row>
    <row r="710" spans="1:64" hidden="1">
      <c r="A710" s="43">
        <v>710</v>
      </c>
      <c r="B710" s="13" t="s">
        <v>147</v>
      </c>
      <c r="C710" s="13" t="s">
        <v>146</v>
      </c>
      <c r="D710" s="13">
        <v>2</v>
      </c>
      <c r="E710" s="13">
        <v>2320</v>
      </c>
      <c r="F710" s="71" t="s">
        <v>1662</v>
      </c>
      <c r="G710" s="71" t="s">
        <v>1663</v>
      </c>
      <c r="H710" s="13" t="s">
        <v>1661</v>
      </c>
      <c r="I710" s="13" t="s">
        <v>54</v>
      </c>
      <c r="J710" s="28">
        <v>100</v>
      </c>
      <c r="K710" s="13" t="s">
        <v>1428</v>
      </c>
      <c r="L710" s="13" t="s">
        <v>53</v>
      </c>
      <c r="M710" s="13">
        <v>5</v>
      </c>
      <c r="N710" s="13">
        <v>5</v>
      </c>
      <c r="O710" s="13">
        <v>1</v>
      </c>
      <c r="P710" s="13">
        <v>2</v>
      </c>
      <c r="Q710" s="13">
        <v>1</v>
      </c>
      <c r="R710" s="13" t="s">
        <v>122</v>
      </c>
      <c r="S710" s="13" t="s">
        <v>122</v>
      </c>
      <c r="T710" s="13">
        <v>44901</v>
      </c>
      <c r="U710" s="13">
        <v>2958465</v>
      </c>
      <c r="V710" s="13" t="s">
        <v>282</v>
      </c>
      <c r="W710" s="13" t="s">
        <v>145</v>
      </c>
      <c r="Y710" s="13" t="s">
        <v>143</v>
      </c>
      <c r="Z710" s="13">
        <v>7589154</v>
      </c>
      <c r="AA710" s="13">
        <v>1306</v>
      </c>
      <c r="AB710" s="13">
        <v>653</v>
      </c>
      <c r="AE710" s="51">
        <f>M710/O710</f>
        <v>5</v>
      </c>
      <c r="AG710" s="6" t="str">
        <f>C710</f>
        <v>90MB1BJ0-C1BAY0</v>
      </c>
      <c r="AH710" s="6" t="str">
        <f>IF($D710&lt;=AH$4,"",IF(AND($D709=AH$4,$D710&gt;AH$4),$F709,AH709))</f>
        <v>59MB1BJB-MB0A02S</v>
      </c>
      <c r="AI710" s="6" t="str">
        <f>IF($D710&lt;=AI$4,"",IF(AND($D709=AI$4,$D710&gt;AI$4),$F709,AI709))</f>
        <v/>
      </c>
      <c r="AJ710" s="6" t="str">
        <f>IF($D710&lt;=AJ$4,"",IF(AND($D709=AJ$4,$D710&gt;AJ$4),$F709,AJ709))</f>
        <v/>
      </c>
      <c r="AK710" s="6" t="str">
        <f>IF($D710&lt;=AK$4,"",IF(AND($D709=AK$4,$D710&gt;AK$4),$F709,AK709))</f>
        <v/>
      </c>
      <c r="AL710" s="6" t="str">
        <f>IF($D710&lt;=AL$4,"",IF(AND($D709=AL$4,$D710&gt;AL$4),$F709,AL709))</f>
        <v/>
      </c>
      <c r="AM710" s="6" t="str">
        <f>IF($D710&lt;=AM$4,"",IF(AND($D709=AM$4,$D710&gt;AM$4),$F709,AM709))</f>
        <v/>
      </c>
      <c r="AN710" s="6" t="str">
        <f>IF($D710&lt;=AN$4,"",IF(AND($D709=AN$4,$D710&gt;AN$4),$F709,AN709))</f>
        <v/>
      </c>
      <c r="AO710" s="6" t="str">
        <f>CONCATENATE(AG710," | ",AH710," | ",AI710," | ",AJ710," | ",AK710," | ",AL710," | ",AM710," | ",AN710)</f>
        <v xml:space="preserve">90MB1BJ0-C1BAY0 | 59MB1BJB-MB0A02S |  |  |  |  |  | </v>
      </c>
      <c r="AP710" s="6">
        <f>IF(TRIM(H710)="",100,J710)</f>
        <v>100</v>
      </c>
      <c r="AQ710" s="4"/>
      <c r="AR710" s="6" t="b">
        <f>NOT(TRIM(W710)&lt;&gt;"F")</f>
        <v>1</v>
      </c>
      <c r="AS710" s="6" t="str">
        <f>$B710&amp;" | "&amp;$AO710&amp;" | "&amp;IF(TRIM(H710)="","uniq"&amp;ROW(),TRIM(H710))</f>
        <v>461E | 90MB1BJ0-C1BAY0 | 59MB1BJB-MB0A02S |  |  |  |  |  |  | N2</v>
      </c>
      <c r="AT710" s="63">
        <f>IF(NOT(AR710),IF(TRIM($H710)="","Assembly","Phantom Alt"),VLOOKUP(F710,ZPCS04!B:G,6,0))</f>
        <v>891</v>
      </c>
      <c r="AU710" s="7"/>
      <c r="AV710" s="38">
        <f ca="1">IF(TRIM($W710)="F",OFFSET($A$5,MATCH($AS710,$AS$5:$AS710,0)-1,0),$A710)</f>
        <v>709</v>
      </c>
      <c r="AW710" s="38">
        <f ca="1">IFERROR(OFFSET(ZPCS04!$A$1,MATCH(F710,ZPCS04!B:B,0)-1,0),100)</f>
        <v>2</v>
      </c>
      <c r="AX710" s="7"/>
      <c r="AY710" s="6" t="b">
        <f>SUMIF(AS:AS,AS710,AP:AP)=100</f>
        <v>1</v>
      </c>
      <c r="AZ710" s="6" t="b">
        <f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>C710&amp;" | "&amp;F710</f>
        <v>90MB1BJ0-C1BAY0 | 11G232210516320</v>
      </c>
      <c r="BE710" s="55" t="str">
        <f ca="1">C710&amp;" | "&amp;OFFSET($AF710,0,8-COUNTBLANK($AG710:$AN710))</f>
        <v>90MB1BJ0-C1BAY0 | 59MB1BJB-MB0A02S</v>
      </c>
      <c r="BF710" s="57">
        <f ca="1">IFERROR(VLOOKUP($BE710,$BD$5:$BF709,3,0)*$AE710,VLOOKUP($C710,Demanda!$A:$B,2,0)*$AE710)*IF(AT710="Phantom Alt",$BC710,TRUE)</f>
        <v>5000</v>
      </c>
      <c r="BG710" s="57">
        <f ca="1">BF710*(AP710/100)</f>
        <v>5000</v>
      </c>
      <c r="BH710" s="57">
        <f>SUMIF(Invoice!A:A,F710,Invoice!B:B)</f>
        <v>0</v>
      </c>
      <c r="BI710" s="57">
        <f ca="1">SUMIF(AS:AS,AS710,BG:BG)</f>
        <v>5000</v>
      </c>
      <c r="BJ710" s="57">
        <f ca="1">MIN((BI710-SUMIF($AS$5:AS709,AS710,$BJ$5:BJ709)),MAX(0,BH710-SUMIF($F$5:F709,F710,$BJ$5:BJ709)))</f>
        <v>0</v>
      </c>
      <c r="BK710" s="57">
        <f ca="1">(-SUMIF(AS:AS,AS710,BG:BG)+SUMIF(AS:AS,AS710,BJ:BJ))*(AP710=100)*AR710</f>
        <v>0</v>
      </c>
      <c r="BL710" s="57">
        <f ca="1">MAX(0,SUMIF(Invoice!A:A,F710,Invoice!B:B)-SUMIF(F:F,F710,BJ:BJ))*(COUNTIF(F:F,F710)=COUNTIF($F$5:F710,F710))</f>
        <v>0</v>
      </c>
    </row>
    <row r="711" spans="1:64" hidden="1">
      <c r="A711" s="43">
        <v>711</v>
      </c>
      <c r="B711" s="13" t="s">
        <v>147</v>
      </c>
      <c r="C711" s="13" t="s">
        <v>146</v>
      </c>
      <c r="D711" s="13">
        <v>2</v>
      </c>
      <c r="E711" s="13">
        <v>2320</v>
      </c>
      <c r="F711" s="71" t="s">
        <v>1664</v>
      </c>
      <c r="G711" s="71" t="s">
        <v>1665</v>
      </c>
      <c r="H711" s="13" t="s">
        <v>1661</v>
      </c>
      <c r="I711" s="13" t="s">
        <v>55</v>
      </c>
      <c r="J711" s="28">
        <v>0</v>
      </c>
      <c r="K711" s="13" t="s">
        <v>1428</v>
      </c>
      <c r="L711" s="13" t="s">
        <v>53</v>
      </c>
      <c r="M711" s="13">
        <v>5</v>
      </c>
      <c r="O711" s="13">
        <v>1</v>
      </c>
      <c r="P711" s="13">
        <v>2</v>
      </c>
      <c r="Q711" s="13">
        <v>2</v>
      </c>
      <c r="R711" s="13" t="s">
        <v>122</v>
      </c>
      <c r="S711" s="13" t="s">
        <v>122</v>
      </c>
      <c r="T711" s="13">
        <v>44901</v>
      </c>
      <c r="U711" s="13">
        <v>2958465</v>
      </c>
      <c r="V711" s="13" t="s">
        <v>282</v>
      </c>
      <c r="W711" s="13" t="s">
        <v>145</v>
      </c>
      <c r="Y711" s="13" t="s">
        <v>143</v>
      </c>
      <c r="Z711" s="13">
        <v>7589154</v>
      </c>
      <c r="AA711" s="13">
        <v>1308</v>
      </c>
      <c r="AB711" s="13">
        <v>654</v>
      </c>
      <c r="AE711" s="51">
        <f>M711/O711</f>
        <v>5</v>
      </c>
      <c r="AG711" s="6" t="str">
        <f>C711</f>
        <v>90MB1BJ0-C1BAY0</v>
      </c>
      <c r="AH711" s="6" t="str">
        <f>IF($D711&lt;=AH$4,"",IF(AND($D710=AH$4,$D711&gt;AH$4),$F710,AH710))</f>
        <v>59MB1BJB-MB0A02S</v>
      </c>
      <c r="AI711" s="6" t="str">
        <f>IF($D711&lt;=AI$4,"",IF(AND($D710=AI$4,$D711&gt;AI$4),$F710,AI710))</f>
        <v/>
      </c>
      <c r="AJ711" s="6" t="str">
        <f>IF($D711&lt;=AJ$4,"",IF(AND($D710=AJ$4,$D711&gt;AJ$4),$F710,AJ710))</f>
        <v/>
      </c>
      <c r="AK711" s="6" t="str">
        <f>IF($D711&lt;=AK$4,"",IF(AND($D710=AK$4,$D711&gt;AK$4),$F710,AK710))</f>
        <v/>
      </c>
      <c r="AL711" s="6" t="str">
        <f>IF($D711&lt;=AL$4,"",IF(AND($D710=AL$4,$D711&gt;AL$4),$F710,AL710))</f>
        <v/>
      </c>
      <c r="AM711" s="6" t="str">
        <f>IF($D711&lt;=AM$4,"",IF(AND($D710=AM$4,$D711&gt;AM$4),$F710,AM710))</f>
        <v/>
      </c>
      <c r="AN711" s="6" t="str">
        <f>IF($D711&lt;=AN$4,"",IF(AND($D710=AN$4,$D711&gt;AN$4),$F710,AN710))</f>
        <v/>
      </c>
      <c r="AO711" s="6" t="str">
        <f>CONCATENATE(AG711," | ",AH711," | ",AI711," | ",AJ711," | ",AK711," | ",AL711," | ",AM711," | ",AN711)</f>
        <v xml:space="preserve">90MB1BJ0-C1BAY0 | 59MB1BJB-MB0A02S |  |  |  |  |  | </v>
      </c>
      <c r="AP711" s="6">
        <f>IF(TRIM(H711)="",100,J711)</f>
        <v>0</v>
      </c>
      <c r="AQ711" s="4"/>
      <c r="AR711" s="6" t="b">
        <f>NOT(TRIM(W711)&lt;&gt;"F")</f>
        <v>1</v>
      </c>
      <c r="AS711" s="6" t="str">
        <f>$B711&amp;" | "&amp;$AO711&amp;" | "&amp;IF(TRIM(H711)="","uniq"&amp;ROW(),TRIM(H711))</f>
        <v>461E | 90MB1BJ0-C1BAY0 | 59MB1BJB-MB0A02S |  |  |  |  |  |  | N2</v>
      </c>
      <c r="AT711" s="63">
        <f>IF(NOT(AR711),IF(TRIM($H711)="","Assembly","Phantom Alt"),VLOOKUP(F711,ZPCS04!B:G,6,0))</f>
        <v>891</v>
      </c>
      <c r="AU711" s="7"/>
      <c r="AV711" s="38">
        <f ca="1">IF(TRIM($W711)="F",OFFSET($A$5,MATCH($AS711,$AS$5:$AS711,0)-1,0),$A711)</f>
        <v>709</v>
      </c>
      <c r="AW711" s="38">
        <f ca="1">IFERROR(OFFSET(ZPCS04!$A$1,MATCH(F711,ZPCS04!B:B,0)-1,0),100)</f>
        <v>2</v>
      </c>
      <c r="AX711" s="7"/>
      <c r="AY711" s="6" t="b">
        <f>SUMIF(AS:AS,AS711,AP:AP)=100</f>
        <v>1</v>
      </c>
      <c r="AZ711" s="6" t="b">
        <f>SUMIF(AS:AS,AS711,AE:AE)/COUNTIF(AS:AS,AS711)=AE711</f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>C711&amp;" | "&amp;F711</f>
        <v>90MB1BJ0-C1BAY0 | 11G232210516360</v>
      </c>
      <c r="BE711" s="55" t="str">
        <f ca="1">C711&amp;" | "&amp;OFFSET($AF711,0,8-COUNTBLANK($AG711:$AN711))</f>
        <v>90MB1BJ0-C1BAY0 | 59MB1BJB-MB0A02S</v>
      </c>
      <c r="BF711" s="57">
        <f ca="1">IFERROR(VLOOKUP($BE711,$BD$5:$BF710,3,0)*$AE711,VLOOKUP($C711,Demanda!$A:$B,2,0)*$AE711)*IF(AT711="Phantom Alt",$BC711,TRUE)</f>
        <v>5000</v>
      </c>
      <c r="BG711" s="57">
        <f ca="1">BF711*(AP711/100)</f>
        <v>0</v>
      </c>
      <c r="BH711" s="57">
        <f>SUMIF(Invoice!A:A,F711,Invoice!B:B)</f>
        <v>0</v>
      </c>
      <c r="BI711" s="57">
        <f ca="1">SUMIF(AS:AS,AS711,BG:BG)</f>
        <v>5000</v>
      </c>
      <c r="BJ711" s="57">
        <f ca="1">MIN((BI711-SUMIF($AS$5:AS710,AS711,$BJ$5:BJ710)),MAX(0,BH711-SUMIF($F$5:F710,F711,$BJ$5:BJ710)))</f>
        <v>0</v>
      </c>
      <c r="BK711" s="57">
        <f ca="1">(-SUMIF(AS:AS,AS711,BG:BG)+SUMIF(AS:AS,AS711,BJ:BJ))*(AP711=100)*AR711</f>
        <v>0</v>
      </c>
      <c r="BL711" s="57">
        <f ca="1">MAX(0,SUMIF(Invoice!A:A,F711,Invoice!B:B)-SUMIF(F:F,F711,BJ:BJ))*(COUNTIF(F:F,F711)=COUNTIF($F$5:F711,F711))</f>
        <v>0</v>
      </c>
    </row>
    <row r="712" spans="1:64" hidden="1">
      <c r="A712" s="43">
        <v>712</v>
      </c>
      <c r="B712" s="13" t="s">
        <v>147</v>
      </c>
      <c r="C712" s="13" t="s">
        <v>146</v>
      </c>
      <c r="D712" s="13">
        <v>2</v>
      </c>
      <c r="E712" s="13">
        <v>2320</v>
      </c>
      <c r="F712" s="71" t="s">
        <v>1666</v>
      </c>
      <c r="G712" s="71" t="s">
        <v>1667</v>
      </c>
      <c r="H712" s="13" t="s">
        <v>1661</v>
      </c>
      <c r="I712" s="13" t="s">
        <v>55</v>
      </c>
      <c r="J712" s="28">
        <v>0</v>
      </c>
      <c r="K712" s="13" t="s">
        <v>150</v>
      </c>
      <c r="L712" s="13" t="s">
        <v>53</v>
      </c>
      <c r="M712" s="13">
        <v>5</v>
      </c>
      <c r="O712" s="13">
        <v>1</v>
      </c>
      <c r="P712" s="13">
        <v>2</v>
      </c>
      <c r="Q712" s="13">
        <v>5</v>
      </c>
      <c r="R712" s="13" t="s">
        <v>73</v>
      </c>
      <c r="S712" s="13" t="s">
        <v>73</v>
      </c>
      <c r="T712" s="13">
        <v>44901</v>
      </c>
      <c r="U712" s="13">
        <v>2958465</v>
      </c>
      <c r="V712" s="13" t="s">
        <v>282</v>
      </c>
      <c r="W712" s="13" t="s">
        <v>145</v>
      </c>
      <c r="Y712" s="13" t="s">
        <v>143</v>
      </c>
      <c r="Z712" s="13">
        <v>7589154</v>
      </c>
      <c r="AA712" s="13">
        <v>1314</v>
      </c>
      <c r="AB712" s="13">
        <v>657</v>
      </c>
      <c r="AE712" s="51">
        <f>M712/O712</f>
        <v>5</v>
      </c>
      <c r="AG712" s="6" t="str">
        <f>C712</f>
        <v>90MB1BJ0-C1BAY0</v>
      </c>
      <c r="AH712" s="6" t="str">
        <f>IF($D712&lt;=AH$4,"",IF(AND($D711=AH$4,$D712&gt;AH$4),$F711,AH711))</f>
        <v>59MB1BJB-MB0A02S</v>
      </c>
      <c r="AI712" s="6" t="str">
        <f>IF($D712&lt;=AI$4,"",IF(AND($D711=AI$4,$D712&gt;AI$4),$F711,AI711))</f>
        <v/>
      </c>
      <c r="AJ712" s="6" t="str">
        <f>IF($D712&lt;=AJ$4,"",IF(AND($D711=AJ$4,$D712&gt;AJ$4),$F711,AJ711))</f>
        <v/>
      </c>
      <c r="AK712" s="6" t="str">
        <f>IF($D712&lt;=AK$4,"",IF(AND($D711=AK$4,$D712&gt;AK$4),$F711,AK711))</f>
        <v/>
      </c>
      <c r="AL712" s="6" t="str">
        <f>IF($D712&lt;=AL$4,"",IF(AND($D711=AL$4,$D712&gt;AL$4),$F711,AL711))</f>
        <v/>
      </c>
      <c r="AM712" s="6" t="str">
        <f>IF($D712&lt;=AM$4,"",IF(AND($D711=AM$4,$D712&gt;AM$4),$F711,AM711))</f>
        <v/>
      </c>
      <c r="AN712" s="6" t="str">
        <f>IF($D712&lt;=AN$4,"",IF(AND($D711=AN$4,$D712&gt;AN$4),$F711,AN711))</f>
        <v/>
      </c>
      <c r="AO712" s="6" t="str">
        <f>CONCATENATE(AG712," | ",AH712," | ",AI712," | ",AJ712," | ",AK712," | ",AL712," | ",AM712," | ",AN712)</f>
        <v xml:space="preserve">90MB1BJ0-C1BAY0 | 59MB1BJB-MB0A02S |  |  |  |  |  | </v>
      </c>
      <c r="AP712" s="6">
        <f>IF(TRIM(H712)="",100,J712)</f>
        <v>0</v>
      </c>
      <c r="AQ712" s="4"/>
      <c r="AR712" s="6" t="b">
        <f>NOT(TRIM(W712)&lt;&gt;"F")</f>
        <v>1</v>
      </c>
      <c r="AS712" s="6" t="str">
        <f>$B712&amp;" | "&amp;$AO712&amp;" | "&amp;IF(TRIM(H712)="","uniq"&amp;ROW(),TRIM(H712))</f>
        <v>461E | 90MB1BJ0-C1BAY0 | 59MB1BJB-MB0A02S |  |  |  |  |  |  | N2</v>
      </c>
      <c r="AT712" s="63">
        <f>IF(NOT(AR712),IF(TRIM($H712)="","Assembly","Phantom Alt"),VLOOKUP(F712,ZPCS04!B:G,6,0))</f>
        <v>891</v>
      </c>
      <c r="AU712" s="7"/>
      <c r="AV712" s="38">
        <f ca="1">IF(TRIM($W712)="F",OFFSET($A$5,MATCH($AS712,$AS$5:$AS712,0)-1,0),$A712)</f>
        <v>709</v>
      </c>
      <c r="AW712" s="38">
        <f ca="1">IFERROR(OFFSET(ZPCS04!$A$1,MATCH(F712,ZPCS04!B:B,0)-1,0),100)</f>
        <v>2</v>
      </c>
      <c r="AX712" s="7"/>
      <c r="AY712" s="6" t="b">
        <f>SUMIF(AS:AS,AS712,AP:AP)=100</f>
        <v>1</v>
      </c>
      <c r="AZ712" s="6" t="b">
        <f>SUMIF(AS:AS,AS712,AE:AE)/COUNTIF(AS:AS,AS712)=AE712</f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>C712&amp;" | "&amp;F712</f>
        <v>90MB1BJ0-C1BAY0 | 11G232210516390</v>
      </c>
      <c r="BE712" s="55" t="str">
        <f ca="1">C712&amp;" | "&amp;OFFSET($AF712,0,8-COUNTBLANK($AG712:$AN712))</f>
        <v>90MB1BJ0-C1BAY0 | 59MB1BJB-MB0A02S</v>
      </c>
      <c r="BF712" s="57">
        <f ca="1">IFERROR(VLOOKUP($BE712,$BD$5:$BF711,3,0)*$AE712,VLOOKUP($C712,Demanda!$A:$B,2,0)*$AE712)*IF(AT712="Phantom Alt",$BC712,TRUE)</f>
        <v>5000</v>
      </c>
      <c r="BG712" s="57">
        <f ca="1">BF712*(AP712/100)</f>
        <v>0</v>
      </c>
      <c r="BH712" s="57">
        <f>SUMIF(Invoice!A:A,F712,Invoice!B:B)</f>
        <v>0</v>
      </c>
      <c r="BI712" s="57">
        <f ca="1">SUMIF(AS:AS,AS712,BG:BG)</f>
        <v>5000</v>
      </c>
      <c r="BJ712" s="57">
        <f ca="1">MIN((BI712-SUMIF($AS$5:AS711,AS712,$BJ$5:BJ711)),MAX(0,BH712-SUMIF($F$5:F711,F712,$BJ$5:BJ711)))</f>
        <v>0</v>
      </c>
      <c r="BK712" s="57">
        <f ca="1">(-SUMIF(AS:AS,AS712,BG:BG)+SUMIF(AS:AS,AS712,BJ:BJ))*(AP712=100)*AR712</f>
        <v>0</v>
      </c>
      <c r="BL712" s="57">
        <f ca="1">MAX(0,SUMIF(Invoice!A:A,F712,Invoice!B:B)-SUMIF(F:F,F712,BJ:BJ))*(COUNTIF(F:F,F712)=COUNTIF($F$5:F712,F712))</f>
        <v>0</v>
      </c>
    </row>
    <row r="713" spans="1:64" hidden="1">
      <c r="A713" s="43">
        <v>713</v>
      </c>
      <c r="B713" s="13" t="s">
        <v>147</v>
      </c>
      <c r="C713" s="13" t="s">
        <v>146</v>
      </c>
      <c r="D713" s="13">
        <v>2</v>
      </c>
      <c r="E713" s="13">
        <v>2320</v>
      </c>
      <c r="F713" s="71" t="s">
        <v>1668</v>
      </c>
      <c r="G713" s="71" t="s">
        <v>1669</v>
      </c>
      <c r="H713" s="13" t="s">
        <v>1661</v>
      </c>
      <c r="I713" s="13" t="s">
        <v>55</v>
      </c>
      <c r="J713" s="28">
        <v>0</v>
      </c>
      <c r="K713" s="13" t="s">
        <v>150</v>
      </c>
      <c r="L713" s="13" t="s">
        <v>53</v>
      </c>
      <c r="M713" s="13">
        <v>5</v>
      </c>
      <c r="O713" s="13">
        <v>1</v>
      </c>
      <c r="P713" s="13">
        <v>2</v>
      </c>
      <c r="Q713" s="13">
        <v>4</v>
      </c>
      <c r="R713" s="13" t="s">
        <v>73</v>
      </c>
      <c r="S713" s="13" t="s">
        <v>73</v>
      </c>
      <c r="T713" s="13">
        <v>44901</v>
      </c>
      <c r="U713" s="13">
        <v>2958465</v>
      </c>
      <c r="V713" s="13" t="s">
        <v>282</v>
      </c>
      <c r="W713" s="13" t="s">
        <v>145</v>
      </c>
      <c r="Y713" s="13" t="s">
        <v>143</v>
      </c>
      <c r="Z713" s="13">
        <v>7589154</v>
      </c>
      <c r="AA713" s="13">
        <v>1312</v>
      </c>
      <c r="AB713" s="13">
        <v>656</v>
      </c>
      <c r="AE713" s="51">
        <f>M713/O713</f>
        <v>5</v>
      </c>
      <c r="AG713" s="6" t="str">
        <f>C713</f>
        <v>90MB1BJ0-C1BAY0</v>
      </c>
      <c r="AH713" s="6" t="str">
        <f>IF($D713&lt;=AH$4,"",IF(AND($D712=AH$4,$D713&gt;AH$4),$F712,AH712))</f>
        <v>59MB1BJB-MB0A02S</v>
      </c>
      <c r="AI713" s="6" t="str">
        <f>IF($D713&lt;=AI$4,"",IF(AND($D712=AI$4,$D713&gt;AI$4),$F712,AI712))</f>
        <v/>
      </c>
      <c r="AJ713" s="6" t="str">
        <f>IF($D713&lt;=AJ$4,"",IF(AND($D712=AJ$4,$D713&gt;AJ$4),$F712,AJ712))</f>
        <v/>
      </c>
      <c r="AK713" s="6" t="str">
        <f>IF($D713&lt;=AK$4,"",IF(AND($D712=AK$4,$D713&gt;AK$4),$F712,AK712))</f>
        <v/>
      </c>
      <c r="AL713" s="6" t="str">
        <f>IF($D713&lt;=AL$4,"",IF(AND($D712=AL$4,$D713&gt;AL$4),$F712,AL712))</f>
        <v/>
      </c>
      <c r="AM713" s="6" t="str">
        <f>IF($D713&lt;=AM$4,"",IF(AND($D712=AM$4,$D713&gt;AM$4),$F712,AM712))</f>
        <v/>
      </c>
      <c r="AN713" s="6" t="str">
        <f>IF($D713&lt;=AN$4,"",IF(AND($D712=AN$4,$D713&gt;AN$4),$F712,AN712))</f>
        <v/>
      </c>
      <c r="AO713" s="6" t="str">
        <f>CONCATENATE(AG713," | ",AH713," | ",AI713," | ",AJ713," | ",AK713," | ",AL713," | ",AM713," | ",AN713)</f>
        <v xml:space="preserve">90MB1BJ0-C1BAY0 | 59MB1BJB-MB0A02S |  |  |  |  |  | </v>
      </c>
      <c r="AP713" s="6">
        <f>IF(TRIM(H713)="",100,J713)</f>
        <v>0</v>
      </c>
      <c r="AQ713" s="4"/>
      <c r="AR713" s="6" t="b">
        <f>NOT(TRIM(W713)&lt;&gt;"F")</f>
        <v>1</v>
      </c>
      <c r="AS713" s="6" t="str">
        <f>$B713&amp;" | "&amp;$AO713&amp;" | "&amp;IF(TRIM(H713)="","uniq"&amp;ROW(),TRIM(H713))</f>
        <v>461E | 90MB1BJ0-C1BAY0 | 59MB1BJB-MB0A02S |  |  |  |  |  |  | N2</v>
      </c>
      <c r="AT713" s="63">
        <f>IF(NOT(AR713),IF(TRIM($H713)="","Assembly","Phantom Alt"),VLOOKUP(F713,ZPCS04!B:G,6,0))</f>
        <v>891</v>
      </c>
      <c r="AU713" s="7"/>
      <c r="AV713" s="38">
        <f ca="1">IF(TRIM($W713)="F",OFFSET($A$5,MATCH($AS713,$AS$5:$AS713,0)-1,0),$A713)</f>
        <v>709</v>
      </c>
      <c r="AW713" s="38">
        <f ca="1">IFERROR(OFFSET(ZPCS04!$A$1,MATCH(F713,ZPCS04!B:B,0)-1,0),100)</f>
        <v>2</v>
      </c>
      <c r="AX713" s="7"/>
      <c r="AY713" s="6" t="b">
        <f>SUMIF(AS:AS,AS713,AP:AP)=100</f>
        <v>1</v>
      </c>
      <c r="AZ713" s="6" t="b">
        <f>SUMIF(AS:AS,AS713,AE:AE)/COUNTIF(AS:AS,AS713)=AE713</f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>C713&amp;" | "&amp;F713</f>
        <v>90MB1BJ0-C1BAY0 | 11G232210516510</v>
      </c>
      <c r="BE713" s="55" t="str">
        <f ca="1">C713&amp;" | "&amp;OFFSET($AF713,0,8-COUNTBLANK($AG713:$AN713))</f>
        <v>90MB1BJ0-C1BAY0 | 59MB1BJB-MB0A02S</v>
      </c>
      <c r="BF713" s="57">
        <f ca="1">IFERROR(VLOOKUP($BE713,$BD$5:$BF712,3,0)*$AE713,VLOOKUP($C713,Demanda!$A:$B,2,0)*$AE713)*IF(AT713="Phantom Alt",$BC713,TRUE)</f>
        <v>5000</v>
      </c>
      <c r="BG713" s="57">
        <f ca="1">BF713*(AP713/100)</f>
        <v>0</v>
      </c>
      <c r="BH713" s="57">
        <f>SUMIF(Invoice!A:A,F713,Invoice!B:B)</f>
        <v>0</v>
      </c>
      <c r="BI713" s="57">
        <f ca="1">SUMIF(AS:AS,AS713,BG:BG)</f>
        <v>5000</v>
      </c>
      <c r="BJ713" s="57">
        <f ca="1">MIN((BI713-SUMIF($AS$5:AS712,AS713,$BJ$5:BJ712)),MAX(0,BH713-SUMIF($F$5:F712,F713,$BJ$5:BJ712)))</f>
        <v>0</v>
      </c>
      <c r="BK713" s="57">
        <f ca="1">(-SUMIF(AS:AS,AS713,BG:BG)+SUMIF(AS:AS,AS713,BJ:BJ))*(AP713=100)*AR713</f>
        <v>0</v>
      </c>
      <c r="BL713" s="57">
        <f ca="1">MAX(0,SUMIF(Invoice!A:A,F713,Invoice!B:B)-SUMIF(F:F,F713,BJ:BJ))*(COUNTIF(F:F,F713)=COUNTIF($F$5:F713,F713))</f>
        <v>0</v>
      </c>
    </row>
    <row r="714" spans="1:64" hidden="1">
      <c r="A714" s="43">
        <v>715</v>
      </c>
      <c r="B714" s="13" t="s">
        <v>147</v>
      </c>
      <c r="C714" s="13" t="s">
        <v>146</v>
      </c>
      <c r="D714" s="13">
        <v>2</v>
      </c>
      <c r="E714" s="13">
        <v>2330</v>
      </c>
      <c r="F714" s="71" t="s">
        <v>1673</v>
      </c>
      <c r="G714" s="71" t="s">
        <v>1671</v>
      </c>
      <c r="H714" s="13" t="s">
        <v>1672</v>
      </c>
      <c r="I714" s="13" t="s">
        <v>54</v>
      </c>
      <c r="J714" s="28">
        <v>100</v>
      </c>
      <c r="K714" s="13" t="s">
        <v>150</v>
      </c>
      <c r="L714" s="13" t="s">
        <v>53</v>
      </c>
      <c r="M714" s="13">
        <v>110</v>
      </c>
      <c r="N714" s="13">
        <v>110</v>
      </c>
      <c r="O714" s="13">
        <v>1</v>
      </c>
      <c r="P714" s="13">
        <v>2</v>
      </c>
      <c r="Q714" s="13">
        <v>1</v>
      </c>
      <c r="R714" s="13" t="s">
        <v>73</v>
      </c>
      <c r="S714" s="13" t="s">
        <v>73</v>
      </c>
      <c r="T714" s="13">
        <v>44901</v>
      </c>
      <c r="U714" s="13">
        <v>2958465</v>
      </c>
      <c r="V714" s="13" t="s">
        <v>282</v>
      </c>
      <c r="W714" s="13" t="s">
        <v>145</v>
      </c>
      <c r="Y714" s="13" t="s">
        <v>143</v>
      </c>
      <c r="Z714" s="13">
        <v>7589154</v>
      </c>
      <c r="AA714" s="13">
        <v>1316</v>
      </c>
      <c r="AB714" s="13">
        <v>658</v>
      </c>
      <c r="AE714" s="51">
        <f>M714/O714</f>
        <v>110</v>
      </c>
      <c r="AG714" s="6" t="str">
        <f>C714</f>
        <v>90MB1BJ0-C1BAY0</v>
      </c>
      <c r="AH714" s="6" t="str">
        <f>IF($D714&lt;=AH$4,"",IF(AND($D713=AH$4,$D714&gt;AH$4),$F713,AH713))</f>
        <v>59MB1BJB-MB0A02S</v>
      </c>
      <c r="AI714" s="6" t="str">
        <f>IF($D714&lt;=AI$4,"",IF(AND($D713=AI$4,$D714&gt;AI$4),$F713,AI713))</f>
        <v/>
      </c>
      <c r="AJ714" s="6" t="str">
        <f>IF($D714&lt;=AJ$4,"",IF(AND($D713=AJ$4,$D714&gt;AJ$4),$F713,AJ713))</f>
        <v/>
      </c>
      <c r="AK714" s="6" t="str">
        <f>IF($D714&lt;=AK$4,"",IF(AND($D713=AK$4,$D714&gt;AK$4),$F713,AK713))</f>
        <v/>
      </c>
      <c r="AL714" s="6" t="str">
        <f>IF($D714&lt;=AL$4,"",IF(AND($D713=AL$4,$D714&gt;AL$4),$F713,AL713))</f>
        <v/>
      </c>
      <c r="AM714" s="6" t="str">
        <f>IF($D714&lt;=AM$4,"",IF(AND($D713=AM$4,$D714&gt;AM$4),$F713,AM713))</f>
        <v/>
      </c>
      <c r="AN714" s="6" t="str">
        <f>IF($D714&lt;=AN$4,"",IF(AND($D713=AN$4,$D714&gt;AN$4),$F713,AN713))</f>
        <v/>
      </c>
      <c r="AO714" s="6" t="str">
        <f>CONCATENATE(AG714," | ",AH714," | ",AI714," | ",AJ714," | ",AK714," | ",AL714," | ",AM714," | ",AN714)</f>
        <v xml:space="preserve">90MB1BJ0-C1BAY0 | 59MB1BJB-MB0A02S |  |  |  |  |  | </v>
      </c>
      <c r="AP714" s="6">
        <f>IF(TRIM(H714)="",100,J714)</f>
        <v>100</v>
      </c>
      <c r="AQ714" s="4"/>
      <c r="AR714" s="6" t="b">
        <f>NOT(TRIM(W714)&lt;&gt;"F")</f>
        <v>1</v>
      </c>
      <c r="AS714" s="6" t="str">
        <f>$B714&amp;" | "&amp;$AO714&amp;" | "&amp;IF(TRIM(H714)="","uniq"&amp;ROW(),TRIM(H714))</f>
        <v>461E | 90MB1BJ0-C1BAY0 | 59MB1BJB-MB0A02S |  |  |  |  |  |  | N3</v>
      </c>
      <c r="AT714" s="63">
        <f>IF(NOT(AR714),IF(TRIM($H714)="","Assembly","Phantom Alt"),VLOOKUP(F714,ZPCS04!B:G,6,0))</f>
        <v>758</v>
      </c>
      <c r="AU714" s="7"/>
      <c r="AV714" s="38">
        <f ca="1">IF(TRIM($W714)="F",OFFSET($A$5,MATCH($AS714,$AS$5:$AS714,0)-1,0),$A714)</f>
        <v>715</v>
      </c>
      <c r="AW714" s="38">
        <f ca="1">IFERROR(OFFSET(ZPCS04!$A$1,MATCH(F714,ZPCS04!B:B,0)-1,0),100)</f>
        <v>1.9999989</v>
      </c>
      <c r="AX714" s="7"/>
      <c r="AY714" s="6" t="b">
        <f>SUMIF(AS:AS,AS714,AP:AP)=100</f>
        <v>1</v>
      </c>
      <c r="AZ714" s="6" t="b">
        <f>SUMIF(AS:AS,AS714,AE:AE)/COUNTIF(AS:AS,AS714)=AE714</f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>C714&amp;" | "&amp;F714</f>
        <v>90MB1BJ0-C1BAY0 | 11G232222416150</v>
      </c>
      <c r="BE714" s="55" t="str">
        <f ca="1">C714&amp;" | "&amp;OFFSET($AF714,0,8-COUNTBLANK($AG714:$AN714))</f>
        <v>90MB1BJ0-C1BAY0 | 59MB1BJB-MB0A02S</v>
      </c>
      <c r="BF714" s="57">
        <f ca="1">IFERROR(VLOOKUP($BE714,$BD$5:$BF713,3,0)*$AE714,VLOOKUP($C714,Demanda!$A:$B,2,0)*$AE714)*IF(AT714="Phantom Alt",$BC714,TRUE)</f>
        <v>110000</v>
      </c>
      <c r="BG714" s="57">
        <f ca="1">BF714*(AP714/100)</f>
        <v>110000</v>
      </c>
      <c r="BH714" s="57">
        <f>SUMIF(Invoice!A:A,F714,Invoice!B:B)</f>
        <v>110000</v>
      </c>
      <c r="BI714" s="57">
        <f ca="1">SUMIF(AS:AS,AS714,BG:BG)</f>
        <v>110000</v>
      </c>
      <c r="BJ714" s="57">
        <f ca="1">MIN((BI714-SUMIF($AS$5:AS713,AS714,$BJ$5:BJ713)),MAX(0,BH714-SUMIF($F$5:F713,F714,$BJ$5:BJ713)))</f>
        <v>110000</v>
      </c>
      <c r="BK714" s="57">
        <f ca="1">(-SUMIF(AS:AS,AS714,BG:BG)+SUMIF(AS:AS,AS714,BJ:BJ))*(AP714=100)*AR714</f>
        <v>0</v>
      </c>
      <c r="BL714" s="57">
        <f ca="1">MAX(0,SUMIF(Invoice!A:A,F714,Invoice!B:B)-SUMIF(F:F,F714,BJ:BJ))*(COUNTIF(F:F,F714)=COUNTIF($F$5:F714,F714))</f>
        <v>0</v>
      </c>
    </row>
    <row r="715" spans="1:64" hidden="1">
      <c r="A715" s="43">
        <v>714</v>
      </c>
      <c r="B715" s="13" t="s">
        <v>147</v>
      </c>
      <c r="C715" s="13" t="s">
        <v>146</v>
      </c>
      <c r="D715" s="13">
        <v>2</v>
      </c>
      <c r="E715" s="13">
        <v>2330</v>
      </c>
      <c r="F715" s="71" t="s">
        <v>1670</v>
      </c>
      <c r="G715" s="71" t="s">
        <v>1671</v>
      </c>
      <c r="H715" s="13" t="s">
        <v>1672</v>
      </c>
      <c r="I715" s="13" t="s">
        <v>55</v>
      </c>
      <c r="J715" s="28">
        <v>0</v>
      </c>
      <c r="K715" s="13" t="s">
        <v>150</v>
      </c>
      <c r="L715" s="13" t="s">
        <v>53</v>
      </c>
      <c r="M715" s="13">
        <v>110</v>
      </c>
      <c r="O715" s="13">
        <v>1</v>
      </c>
      <c r="P715" s="13">
        <v>2</v>
      </c>
      <c r="Q715" s="13">
        <v>4</v>
      </c>
      <c r="R715" s="13" t="s">
        <v>73</v>
      </c>
      <c r="S715" s="13" t="s">
        <v>73</v>
      </c>
      <c r="T715" s="13">
        <v>44901</v>
      </c>
      <c r="U715" s="13">
        <v>2958465</v>
      </c>
      <c r="V715" s="13" t="s">
        <v>282</v>
      </c>
      <c r="W715" s="13" t="s">
        <v>145</v>
      </c>
      <c r="Y715" s="13" t="s">
        <v>143</v>
      </c>
      <c r="Z715" s="13">
        <v>7589154</v>
      </c>
      <c r="AA715" s="13">
        <v>1322</v>
      </c>
      <c r="AB715" s="13">
        <v>661</v>
      </c>
      <c r="AE715" s="51">
        <f>M715/O715</f>
        <v>110</v>
      </c>
      <c r="AG715" s="6" t="str">
        <f>C715</f>
        <v>90MB1BJ0-C1BAY0</v>
      </c>
      <c r="AH715" s="6" t="str">
        <f>IF($D715&lt;=AH$4,"",IF(AND($D714=AH$4,$D715&gt;AH$4),$F714,AH714))</f>
        <v>59MB1BJB-MB0A02S</v>
      </c>
      <c r="AI715" s="6" t="str">
        <f>IF($D715&lt;=AI$4,"",IF(AND($D714=AI$4,$D715&gt;AI$4),$F714,AI714))</f>
        <v/>
      </c>
      <c r="AJ715" s="6" t="str">
        <f>IF($D715&lt;=AJ$4,"",IF(AND($D714=AJ$4,$D715&gt;AJ$4),$F714,AJ714))</f>
        <v/>
      </c>
      <c r="AK715" s="6" t="str">
        <f>IF($D715&lt;=AK$4,"",IF(AND($D714=AK$4,$D715&gt;AK$4),$F714,AK714))</f>
        <v/>
      </c>
      <c r="AL715" s="6" t="str">
        <f>IF($D715&lt;=AL$4,"",IF(AND($D714=AL$4,$D715&gt;AL$4),$F714,AL714))</f>
        <v/>
      </c>
      <c r="AM715" s="6" t="str">
        <f>IF($D715&lt;=AM$4,"",IF(AND($D714=AM$4,$D715&gt;AM$4),$F714,AM714))</f>
        <v/>
      </c>
      <c r="AN715" s="6" t="str">
        <f>IF($D715&lt;=AN$4,"",IF(AND($D714=AN$4,$D715&gt;AN$4),$F714,AN714))</f>
        <v/>
      </c>
      <c r="AO715" s="6" t="str">
        <f>CONCATENATE(AG715," | ",AH715," | ",AI715," | ",AJ715," | ",AK715," | ",AL715," | ",AM715," | ",AN715)</f>
        <v xml:space="preserve">90MB1BJ0-C1BAY0 | 59MB1BJB-MB0A02S |  |  |  |  |  | </v>
      </c>
      <c r="AP715" s="6">
        <f>IF(TRIM(H715)="",100,J715)</f>
        <v>0</v>
      </c>
      <c r="AQ715" s="4"/>
      <c r="AR715" s="6" t="b">
        <f>NOT(TRIM(W715)&lt;&gt;"F")</f>
        <v>1</v>
      </c>
      <c r="AS715" s="6" t="str">
        <f>$B715&amp;" | "&amp;$AO715&amp;" | "&amp;IF(TRIM(H715)="","uniq"&amp;ROW(),TRIM(H715))</f>
        <v>461E | 90MB1BJ0-C1BAY0 | 59MB1BJB-MB0A02S |  |  |  |  |  |  | N3</v>
      </c>
      <c r="AT715" s="63">
        <f>IF(NOT(AR715),IF(TRIM($H715)="","Assembly","Phantom Alt"),VLOOKUP(F715,ZPCS04!B:G,6,0))</f>
        <v>758</v>
      </c>
      <c r="AU715" s="7"/>
      <c r="AV715" s="38">
        <f ca="1">IF(TRIM($W715)="F",OFFSET($A$5,MATCH($AS715,$AS$5:$AS715,0)-1,0),$A715)</f>
        <v>715</v>
      </c>
      <c r="AW715" s="38">
        <f ca="1">IFERROR(OFFSET(ZPCS04!$A$1,MATCH(F715,ZPCS04!B:B,0)-1,0),100)</f>
        <v>2</v>
      </c>
      <c r="AX715" s="7"/>
      <c r="AY715" s="6" t="b">
        <f>SUMIF(AS:AS,AS715,AP:AP)=100</f>
        <v>1</v>
      </c>
      <c r="AZ715" s="6" t="b">
        <f>SUMIF(AS:AS,AS715,AE:AE)/COUNTIF(AS:AS,AS715)=AE715</f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>C715&amp;" | "&amp;F715</f>
        <v>90MB1BJ0-C1BAY0 | 11G232222416070</v>
      </c>
      <c r="BE715" s="55" t="str">
        <f ca="1">C715&amp;" | "&amp;OFFSET($AF715,0,8-COUNTBLANK($AG715:$AN715))</f>
        <v>90MB1BJ0-C1BAY0 | 59MB1BJB-MB0A02S</v>
      </c>
      <c r="BF715" s="57">
        <f ca="1">IFERROR(VLOOKUP($BE715,$BD$5:$BF714,3,0)*$AE715,VLOOKUP($C715,Demanda!$A:$B,2,0)*$AE715)*IF(AT715="Phantom Alt",$BC715,TRUE)</f>
        <v>110000</v>
      </c>
      <c r="BG715" s="57">
        <f ca="1">BF715*(AP715/100)</f>
        <v>0</v>
      </c>
      <c r="BH715" s="57">
        <f>SUMIF(Invoice!A:A,F715,Invoice!B:B)</f>
        <v>0</v>
      </c>
      <c r="BI715" s="57">
        <f ca="1">SUMIF(AS:AS,AS715,BG:BG)</f>
        <v>110000</v>
      </c>
      <c r="BJ715" s="57">
        <f ca="1">MIN((BI715-SUMIF($AS$5:AS714,AS715,$BJ$5:BJ714)),MAX(0,BH715-SUMIF($F$5:F714,F715,$BJ$5:BJ714)))</f>
        <v>0</v>
      </c>
      <c r="BK715" s="57">
        <f ca="1">(-SUMIF(AS:AS,AS715,BG:BG)+SUMIF(AS:AS,AS715,BJ:BJ))*(AP715=100)*AR715</f>
        <v>0</v>
      </c>
      <c r="BL715" s="57">
        <f ca="1">MAX(0,SUMIF(Invoice!A:A,F715,Invoice!B:B)-SUMIF(F:F,F715,BJ:BJ))*(COUNTIF(F:F,F715)=COUNTIF($F$5:F715,F715))</f>
        <v>0</v>
      </c>
    </row>
    <row r="716" spans="1:64" hidden="1">
      <c r="A716" s="43">
        <v>716</v>
      </c>
      <c r="B716" s="13" t="s">
        <v>147</v>
      </c>
      <c r="C716" s="13" t="s">
        <v>146</v>
      </c>
      <c r="D716" s="13">
        <v>2</v>
      </c>
      <c r="E716" s="13">
        <v>2330</v>
      </c>
      <c r="F716" s="71" t="s">
        <v>1674</v>
      </c>
      <c r="G716" s="71" t="s">
        <v>1671</v>
      </c>
      <c r="H716" s="13" t="s">
        <v>1672</v>
      </c>
      <c r="I716" s="13" t="s">
        <v>55</v>
      </c>
      <c r="J716" s="28">
        <v>0</v>
      </c>
      <c r="K716" s="13" t="s">
        <v>150</v>
      </c>
      <c r="L716" s="13" t="s">
        <v>53</v>
      </c>
      <c r="M716" s="13">
        <v>110</v>
      </c>
      <c r="O716" s="13">
        <v>1</v>
      </c>
      <c r="P716" s="13">
        <v>2</v>
      </c>
      <c r="Q716" s="13">
        <v>2</v>
      </c>
      <c r="R716" s="13" t="s">
        <v>73</v>
      </c>
      <c r="S716" s="13" t="s">
        <v>73</v>
      </c>
      <c r="T716" s="13">
        <v>44901</v>
      </c>
      <c r="U716" s="13">
        <v>2958465</v>
      </c>
      <c r="V716" s="13" t="s">
        <v>282</v>
      </c>
      <c r="W716" s="13" t="s">
        <v>145</v>
      </c>
      <c r="Y716" s="13" t="s">
        <v>143</v>
      </c>
      <c r="Z716" s="13">
        <v>7589154</v>
      </c>
      <c r="AA716" s="13">
        <v>1318</v>
      </c>
      <c r="AB716" s="13">
        <v>659</v>
      </c>
      <c r="AE716" s="51">
        <f>M716/O716</f>
        <v>110</v>
      </c>
      <c r="AG716" s="6" t="str">
        <f>C716</f>
        <v>90MB1BJ0-C1BAY0</v>
      </c>
      <c r="AH716" s="6" t="str">
        <f>IF($D716&lt;=AH$4,"",IF(AND($D715=AH$4,$D716&gt;AH$4),$F715,AH715))</f>
        <v>59MB1BJB-MB0A02S</v>
      </c>
      <c r="AI716" s="6" t="str">
        <f>IF($D716&lt;=AI$4,"",IF(AND($D715=AI$4,$D716&gt;AI$4),$F715,AI715))</f>
        <v/>
      </c>
      <c r="AJ716" s="6" t="str">
        <f>IF($D716&lt;=AJ$4,"",IF(AND($D715=AJ$4,$D716&gt;AJ$4),$F715,AJ715))</f>
        <v/>
      </c>
      <c r="AK716" s="6" t="str">
        <f>IF($D716&lt;=AK$4,"",IF(AND($D715=AK$4,$D716&gt;AK$4),$F715,AK715))</f>
        <v/>
      </c>
      <c r="AL716" s="6" t="str">
        <f>IF($D716&lt;=AL$4,"",IF(AND($D715=AL$4,$D716&gt;AL$4),$F715,AL715))</f>
        <v/>
      </c>
      <c r="AM716" s="6" t="str">
        <f>IF($D716&lt;=AM$4,"",IF(AND($D715=AM$4,$D716&gt;AM$4),$F715,AM715))</f>
        <v/>
      </c>
      <c r="AN716" s="6" t="str">
        <f>IF($D716&lt;=AN$4,"",IF(AND($D715=AN$4,$D716&gt;AN$4),$F715,AN715))</f>
        <v/>
      </c>
      <c r="AO716" s="6" t="str">
        <f>CONCATENATE(AG716," | ",AH716," | ",AI716," | ",AJ716," | ",AK716," | ",AL716," | ",AM716," | ",AN716)</f>
        <v xml:space="preserve">90MB1BJ0-C1BAY0 | 59MB1BJB-MB0A02S |  |  |  |  |  | </v>
      </c>
      <c r="AP716" s="6">
        <f>IF(TRIM(H716)="",100,J716)</f>
        <v>0</v>
      </c>
      <c r="AQ716" s="4"/>
      <c r="AR716" s="6" t="b">
        <f>NOT(TRIM(W716)&lt;&gt;"F")</f>
        <v>1</v>
      </c>
      <c r="AS716" s="6" t="str">
        <f>$B716&amp;" | "&amp;$AO716&amp;" | "&amp;IF(TRIM(H716)="","uniq"&amp;ROW(),TRIM(H716))</f>
        <v>461E | 90MB1BJ0-C1BAY0 | 59MB1BJB-MB0A02S |  |  |  |  |  |  | N3</v>
      </c>
      <c r="AT716" s="63">
        <f>IF(NOT(AR716),IF(TRIM($H716)="","Assembly","Phantom Alt"),VLOOKUP(F716,ZPCS04!B:G,6,0))</f>
        <v>758</v>
      </c>
      <c r="AU716" s="7"/>
      <c r="AV716" s="38">
        <f ca="1">IF(TRIM($W716)="F",OFFSET($A$5,MATCH($AS716,$AS$5:$AS716,0)-1,0),$A716)</f>
        <v>715</v>
      </c>
      <c r="AW716" s="38">
        <f ca="1">IFERROR(OFFSET(ZPCS04!$A$1,MATCH(F716,ZPCS04!B:B,0)-1,0),100)</f>
        <v>2</v>
      </c>
      <c r="AX716" s="7"/>
      <c r="AY716" s="6" t="b">
        <f>SUMIF(AS:AS,AS716,AP:AP)=100</f>
        <v>1</v>
      </c>
      <c r="AZ716" s="6" t="b">
        <f>SUMIF(AS:AS,AS716,AE:AE)/COUNTIF(AS:AS,AS716)=AE716</f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>C716&amp;" | "&amp;F716</f>
        <v>90MB1BJ0-C1BAY0 | 11G232222416320</v>
      </c>
      <c r="BE716" s="55" t="str">
        <f ca="1">C716&amp;" | "&amp;OFFSET($AF716,0,8-COUNTBLANK($AG716:$AN716))</f>
        <v>90MB1BJ0-C1BAY0 | 59MB1BJB-MB0A02S</v>
      </c>
      <c r="BF716" s="57">
        <f ca="1">IFERROR(VLOOKUP($BE716,$BD$5:$BF715,3,0)*$AE716,VLOOKUP($C716,Demanda!$A:$B,2,0)*$AE716)*IF(AT716="Phantom Alt",$BC716,TRUE)</f>
        <v>110000</v>
      </c>
      <c r="BG716" s="57">
        <f ca="1">BF716*(AP716/100)</f>
        <v>0</v>
      </c>
      <c r="BH716" s="57">
        <f>SUMIF(Invoice!A:A,F716,Invoice!B:B)</f>
        <v>0</v>
      </c>
      <c r="BI716" s="57">
        <f ca="1">SUMIF(AS:AS,AS716,BG:BG)</f>
        <v>110000</v>
      </c>
      <c r="BJ716" s="57">
        <f ca="1">MIN((BI716-SUMIF($AS$5:AS715,AS716,$BJ$5:BJ715)),MAX(0,BH716-SUMIF($F$5:F715,F716,$BJ$5:BJ715)))</f>
        <v>0</v>
      </c>
      <c r="BK716" s="57">
        <f ca="1">(-SUMIF(AS:AS,AS716,BG:BG)+SUMIF(AS:AS,AS716,BJ:BJ))*(AP716=100)*AR716</f>
        <v>0</v>
      </c>
      <c r="BL716" s="57">
        <f ca="1">MAX(0,SUMIF(Invoice!A:A,F716,Invoice!B:B)-SUMIF(F:F,F716,BJ:BJ))*(COUNTIF(F:F,F716)=COUNTIF($F$5:F716,F716))</f>
        <v>0</v>
      </c>
    </row>
    <row r="717" spans="1:64" hidden="1">
      <c r="A717" s="43">
        <v>717</v>
      </c>
      <c r="B717" s="13" t="s">
        <v>147</v>
      </c>
      <c r="C717" s="13" t="s">
        <v>146</v>
      </c>
      <c r="D717" s="13">
        <v>2</v>
      </c>
      <c r="E717" s="13">
        <v>2330</v>
      </c>
      <c r="F717" s="71" t="s">
        <v>1675</v>
      </c>
      <c r="G717" s="71" t="s">
        <v>1676</v>
      </c>
      <c r="H717" s="13" t="s">
        <v>1672</v>
      </c>
      <c r="I717" s="13" t="s">
        <v>55</v>
      </c>
      <c r="J717" s="28">
        <v>0</v>
      </c>
      <c r="K717" s="13" t="s">
        <v>150</v>
      </c>
      <c r="L717" s="13" t="s">
        <v>53</v>
      </c>
      <c r="M717" s="13">
        <v>110</v>
      </c>
      <c r="O717" s="13">
        <v>1</v>
      </c>
      <c r="P717" s="13">
        <v>2</v>
      </c>
      <c r="Q717" s="13">
        <v>5</v>
      </c>
      <c r="R717" s="13" t="s">
        <v>73</v>
      </c>
      <c r="S717" s="13" t="s">
        <v>73</v>
      </c>
      <c r="T717" s="13">
        <v>44901</v>
      </c>
      <c r="U717" s="13">
        <v>2958465</v>
      </c>
      <c r="V717" s="13" t="s">
        <v>282</v>
      </c>
      <c r="W717" s="13" t="s">
        <v>145</v>
      </c>
      <c r="Y717" s="13" t="s">
        <v>143</v>
      </c>
      <c r="Z717" s="13">
        <v>7589154</v>
      </c>
      <c r="AA717" s="13">
        <v>1324</v>
      </c>
      <c r="AB717" s="13">
        <v>662</v>
      </c>
      <c r="AE717" s="51">
        <f>M717/O717</f>
        <v>110</v>
      </c>
      <c r="AG717" s="6" t="str">
        <f>C717</f>
        <v>90MB1BJ0-C1BAY0</v>
      </c>
      <c r="AH717" s="6" t="str">
        <f>IF($D717&lt;=AH$4,"",IF(AND($D716=AH$4,$D717&gt;AH$4),$F716,AH716))</f>
        <v>59MB1BJB-MB0A02S</v>
      </c>
      <c r="AI717" s="6" t="str">
        <f>IF($D717&lt;=AI$4,"",IF(AND($D716=AI$4,$D717&gt;AI$4),$F716,AI716))</f>
        <v/>
      </c>
      <c r="AJ717" s="6" t="str">
        <f>IF($D717&lt;=AJ$4,"",IF(AND($D716=AJ$4,$D717&gt;AJ$4),$F716,AJ716))</f>
        <v/>
      </c>
      <c r="AK717" s="6" t="str">
        <f>IF($D717&lt;=AK$4,"",IF(AND($D716=AK$4,$D717&gt;AK$4),$F716,AK716))</f>
        <v/>
      </c>
      <c r="AL717" s="6" t="str">
        <f>IF($D717&lt;=AL$4,"",IF(AND($D716=AL$4,$D717&gt;AL$4),$F716,AL716))</f>
        <v/>
      </c>
      <c r="AM717" s="6" t="str">
        <f>IF($D717&lt;=AM$4,"",IF(AND($D716=AM$4,$D717&gt;AM$4),$F716,AM716))</f>
        <v/>
      </c>
      <c r="AN717" s="6" t="str">
        <f>IF($D717&lt;=AN$4,"",IF(AND($D716=AN$4,$D717&gt;AN$4),$F716,AN716))</f>
        <v/>
      </c>
      <c r="AO717" s="6" t="str">
        <f>CONCATENATE(AG717," | ",AH717," | ",AI717," | ",AJ717," | ",AK717," | ",AL717," | ",AM717," | ",AN717)</f>
        <v xml:space="preserve">90MB1BJ0-C1BAY0 | 59MB1BJB-MB0A02S |  |  |  |  |  | </v>
      </c>
      <c r="AP717" s="6">
        <f>IF(TRIM(H717)="",100,J717)</f>
        <v>0</v>
      </c>
      <c r="AQ717" s="4"/>
      <c r="AR717" s="6" t="b">
        <f>NOT(TRIM(W717)&lt;&gt;"F")</f>
        <v>1</v>
      </c>
      <c r="AS717" s="6" t="str">
        <f>$B717&amp;" | "&amp;$AO717&amp;" | "&amp;IF(TRIM(H717)="","uniq"&amp;ROW(),TRIM(H717))</f>
        <v>461E | 90MB1BJ0-C1BAY0 | 59MB1BJB-MB0A02S |  |  |  |  |  |  | N3</v>
      </c>
      <c r="AT717" s="63">
        <f>IF(NOT(AR717),IF(TRIM($H717)="","Assembly","Phantom Alt"),VLOOKUP(F717,ZPCS04!B:G,6,0))</f>
        <v>758</v>
      </c>
      <c r="AU717" s="7"/>
      <c r="AV717" s="38">
        <f ca="1">IF(TRIM($W717)="F",OFFSET($A$5,MATCH($AS717,$AS$5:$AS717,0)-1,0),$A717)</f>
        <v>715</v>
      </c>
      <c r="AW717" s="38">
        <f ca="1">IFERROR(OFFSET(ZPCS04!$A$1,MATCH(F717,ZPCS04!B:B,0)-1,0),100)</f>
        <v>2</v>
      </c>
      <c r="AX717" s="7"/>
      <c r="AY717" s="6" t="b">
        <f>SUMIF(AS:AS,AS717,AP:AP)=100</f>
        <v>1</v>
      </c>
      <c r="AZ717" s="6" t="b">
        <f>SUMIF(AS:AS,AS717,AE:AE)/COUNTIF(AS:AS,AS717)=AE717</f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>C717&amp;" | "&amp;F717</f>
        <v>90MB1BJ0-C1BAY0 | 11G232222416360</v>
      </c>
      <c r="BE717" s="55" t="str">
        <f ca="1">C717&amp;" | "&amp;OFFSET($AF717,0,8-COUNTBLANK($AG717:$AN717))</f>
        <v>90MB1BJ0-C1BAY0 | 59MB1BJB-MB0A02S</v>
      </c>
      <c r="BF717" s="57">
        <f ca="1">IFERROR(VLOOKUP($BE717,$BD$5:$BF716,3,0)*$AE717,VLOOKUP($C717,Demanda!$A:$B,2,0)*$AE717)*IF(AT717="Phantom Alt",$BC717,TRUE)</f>
        <v>110000</v>
      </c>
      <c r="BG717" s="57">
        <f ca="1">BF717*(AP717/100)</f>
        <v>0</v>
      </c>
      <c r="BH717" s="57">
        <f>SUMIF(Invoice!A:A,F717,Invoice!B:B)</f>
        <v>0</v>
      </c>
      <c r="BI717" s="57">
        <f ca="1">SUMIF(AS:AS,AS717,BG:BG)</f>
        <v>110000</v>
      </c>
      <c r="BJ717" s="57">
        <f ca="1">MIN((BI717-SUMIF($AS$5:AS716,AS717,$BJ$5:BJ716)),MAX(0,BH717-SUMIF($F$5:F716,F717,$BJ$5:BJ716)))</f>
        <v>0</v>
      </c>
      <c r="BK717" s="57">
        <f ca="1">(-SUMIF(AS:AS,AS717,BG:BG)+SUMIF(AS:AS,AS717,BJ:BJ))*(AP717=100)*AR717</f>
        <v>0</v>
      </c>
      <c r="BL717" s="57">
        <f ca="1">MAX(0,SUMIF(Invoice!A:A,F717,Invoice!B:B)-SUMIF(F:F,F717,BJ:BJ))*(COUNTIF(F:F,F717)=COUNTIF($F$5:F717,F717))</f>
        <v>0</v>
      </c>
    </row>
    <row r="718" spans="1:64" hidden="1">
      <c r="A718" s="43">
        <v>718</v>
      </c>
      <c r="B718" s="13" t="s">
        <v>147</v>
      </c>
      <c r="C718" s="13" t="s">
        <v>146</v>
      </c>
      <c r="D718" s="13">
        <v>2</v>
      </c>
      <c r="E718" s="13">
        <v>2330</v>
      </c>
      <c r="F718" s="71" t="s">
        <v>1677</v>
      </c>
      <c r="G718" s="71" t="s">
        <v>1678</v>
      </c>
      <c r="H718" s="13" t="s">
        <v>1672</v>
      </c>
      <c r="I718" s="13" t="s">
        <v>55</v>
      </c>
      <c r="J718" s="28">
        <v>0</v>
      </c>
      <c r="K718" s="13" t="s">
        <v>150</v>
      </c>
      <c r="L718" s="13" t="s">
        <v>53</v>
      </c>
      <c r="M718" s="13">
        <v>110</v>
      </c>
      <c r="O718" s="13">
        <v>1</v>
      </c>
      <c r="P718" s="13">
        <v>2</v>
      </c>
      <c r="Q718" s="13">
        <v>3</v>
      </c>
      <c r="R718" s="13" t="s">
        <v>73</v>
      </c>
      <c r="S718" s="13" t="s">
        <v>73</v>
      </c>
      <c r="T718" s="13">
        <v>44901</v>
      </c>
      <c r="U718" s="13">
        <v>2958465</v>
      </c>
      <c r="V718" s="13" t="s">
        <v>282</v>
      </c>
      <c r="W718" s="13" t="s">
        <v>145</v>
      </c>
      <c r="Y718" s="13" t="s">
        <v>143</v>
      </c>
      <c r="Z718" s="13">
        <v>7589154</v>
      </c>
      <c r="AA718" s="13">
        <v>1320</v>
      </c>
      <c r="AB718" s="13">
        <v>660</v>
      </c>
      <c r="AE718" s="51">
        <f>M718/O718</f>
        <v>110</v>
      </c>
      <c r="AG718" s="6" t="str">
        <f>C718</f>
        <v>90MB1BJ0-C1BAY0</v>
      </c>
      <c r="AH718" s="6" t="str">
        <f>IF($D718&lt;=AH$4,"",IF(AND($D717=AH$4,$D718&gt;AH$4),$F717,AH717))</f>
        <v>59MB1BJB-MB0A02S</v>
      </c>
      <c r="AI718" s="6" t="str">
        <f>IF($D718&lt;=AI$4,"",IF(AND($D717=AI$4,$D718&gt;AI$4),$F717,AI717))</f>
        <v/>
      </c>
      <c r="AJ718" s="6" t="str">
        <f>IF($D718&lt;=AJ$4,"",IF(AND($D717=AJ$4,$D718&gt;AJ$4),$F717,AJ717))</f>
        <v/>
      </c>
      <c r="AK718" s="6" t="str">
        <f>IF($D718&lt;=AK$4,"",IF(AND($D717=AK$4,$D718&gt;AK$4),$F717,AK717))</f>
        <v/>
      </c>
      <c r="AL718" s="6" t="str">
        <f>IF($D718&lt;=AL$4,"",IF(AND($D717=AL$4,$D718&gt;AL$4),$F717,AL717))</f>
        <v/>
      </c>
      <c r="AM718" s="6" t="str">
        <f>IF($D718&lt;=AM$4,"",IF(AND($D717=AM$4,$D718&gt;AM$4),$F717,AM717))</f>
        <v/>
      </c>
      <c r="AN718" s="6" t="str">
        <f>IF($D718&lt;=AN$4,"",IF(AND($D717=AN$4,$D718&gt;AN$4),$F717,AN717))</f>
        <v/>
      </c>
      <c r="AO718" s="6" t="str">
        <f>CONCATENATE(AG718," | ",AH718," | ",AI718," | ",AJ718," | ",AK718," | ",AL718," | ",AM718," | ",AN718)</f>
        <v xml:space="preserve">90MB1BJ0-C1BAY0 | 59MB1BJB-MB0A02S |  |  |  |  |  | </v>
      </c>
      <c r="AP718" s="6">
        <f>IF(TRIM(H718)="",100,J718)</f>
        <v>0</v>
      </c>
      <c r="AQ718" s="4"/>
      <c r="AR718" s="6" t="b">
        <f>NOT(TRIM(W718)&lt;&gt;"F")</f>
        <v>1</v>
      </c>
      <c r="AS718" s="6" t="str">
        <f>$B718&amp;" | "&amp;$AO718&amp;" | "&amp;IF(TRIM(H718)="","uniq"&amp;ROW(),TRIM(H718))</f>
        <v>461E | 90MB1BJ0-C1BAY0 | 59MB1BJB-MB0A02S |  |  |  |  |  |  | N3</v>
      </c>
      <c r="AT718" s="63">
        <f>IF(NOT(AR718),IF(TRIM($H718)="","Assembly","Phantom Alt"),VLOOKUP(F718,ZPCS04!B:G,6,0))</f>
        <v>758</v>
      </c>
      <c r="AU718" s="7"/>
      <c r="AV718" s="38">
        <f ca="1">IF(TRIM($W718)="F",OFFSET($A$5,MATCH($AS718,$AS$5:$AS718,0)-1,0),$A718)</f>
        <v>715</v>
      </c>
      <c r="AW718" s="38">
        <f ca="1">IFERROR(OFFSET(ZPCS04!$A$1,MATCH(F718,ZPCS04!B:B,0)-1,0),100)</f>
        <v>2</v>
      </c>
      <c r="AX718" s="7"/>
      <c r="AY718" s="6" t="b">
        <f>SUMIF(AS:AS,AS718,AP:AP)=100</f>
        <v>1</v>
      </c>
      <c r="AZ718" s="6" t="b">
        <f>SUMIF(AS:AS,AS718,AE:AE)/COUNTIF(AS:AS,AS718)=AE718</f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>C718&amp;" | "&amp;F718</f>
        <v>90MB1BJ0-C1BAY0 | 11G232222416390</v>
      </c>
      <c r="BE718" s="55" t="str">
        <f ca="1">C718&amp;" | "&amp;OFFSET($AF718,0,8-COUNTBLANK($AG718:$AN718))</f>
        <v>90MB1BJ0-C1BAY0 | 59MB1BJB-MB0A02S</v>
      </c>
      <c r="BF718" s="57">
        <f ca="1">IFERROR(VLOOKUP($BE718,$BD$5:$BF717,3,0)*$AE718,VLOOKUP($C718,Demanda!$A:$B,2,0)*$AE718)*IF(AT718="Phantom Alt",$BC718,TRUE)</f>
        <v>110000</v>
      </c>
      <c r="BG718" s="57">
        <f ca="1">BF718*(AP718/100)</f>
        <v>0</v>
      </c>
      <c r="BH718" s="57">
        <f>SUMIF(Invoice!A:A,F718,Invoice!B:B)</f>
        <v>0</v>
      </c>
      <c r="BI718" s="57">
        <f ca="1">SUMIF(AS:AS,AS718,BG:BG)</f>
        <v>110000</v>
      </c>
      <c r="BJ718" s="57">
        <f ca="1">MIN((BI718-SUMIF($AS$5:AS717,AS718,$BJ$5:BJ717)),MAX(0,BH718-SUMIF($F$5:F717,F718,$BJ$5:BJ717)))</f>
        <v>0</v>
      </c>
      <c r="BK718" s="57">
        <f ca="1">(-SUMIF(AS:AS,AS718,BG:BG)+SUMIF(AS:AS,AS718,BJ:BJ))*(AP718=100)*AR718</f>
        <v>0</v>
      </c>
      <c r="BL718" s="57">
        <f ca="1">MAX(0,SUMIF(Invoice!A:A,F718,Invoice!B:B)-SUMIF(F:F,F718,BJ:BJ))*(COUNTIF(F:F,F718)=COUNTIF($F$5:F718,F718))</f>
        <v>0</v>
      </c>
    </row>
    <row r="719" spans="1:64" hidden="1">
      <c r="A719" s="43">
        <v>720</v>
      </c>
      <c r="B719" s="13" t="s">
        <v>147</v>
      </c>
      <c r="C719" s="13" t="s">
        <v>146</v>
      </c>
      <c r="D719" s="13">
        <v>2</v>
      </c>
      <c r="E719" s="13">
        <v>2340</v>
      </c>
      <c r="F719" s="71" t="s">
        <v>1682</v>
      </c>
      <c r="G719" s="71" t="s">
        <v>1680</v>
      </c>
      <c r="H719" s="13" t="s">
        <v>1681</v>
      </c>
      <c r="I719" s="13" t="s">
        <v>54</v>
      </c>
      <c r="J719" s="28">
        <v>100</v>
      </c>
      <c r="K719" s="13" t="s">
        <v>1428</v>
      </c>
      <c r="L719" s="13" t="s">
        <v>53</v>
      </c>
      <c r="M719" s="13">
        <v>61</v>
      </c>
      <c r="N719" s="13">
        <v>61</v>
      </c>
      <c r="O719" s="13">
        <v>1</v>
      </c>
      <c r="P719" s="13">
        <v>2</v>
      </c>
      <c r="Q719" s="13">
        <v>1</v>
      </c>
      <c r="R719" s="13" t="s">
        <v>122</v>
      </c>
      <c r="S719" s="13" t="s">
        <v>122</v>
      </c>
      <c r="T719" s="13">
        <v>44901</v>
      </c>
      <c r="U719" s="13">
        <v>2958465</v>
      </c>
      <c r="V719" s="13" t="s">
        <v>282</v>
      </c>
      <c r="W719" s="13" t="s">
        <v>145</v>
      </c>
      <c r="Y719" s="13" t="s">
        <v>143</v>
      </c>
      <c r="Z719" s="13">
        <v>7589154</v>
      </c>
      <c r="AA719" s="13">
        <v>1326</v>
      </c>
      <c r="AB719" s="13">
        <v>663</v>
      </c>
      <c r="AE719" s="51">
        <f>M719/O719</f>
        <v>61</v>
      </c>
      <c r="AG719" s="6" t="str">
        <f>C719</f>
        <v>90MB1BJ0-C1BAY0</v>
      </c>
      <c r="AH719" s="6" t="str">
        <f>IF($D719&lt;=AH$4,"",IF(AND($D718=AH$4,$D719&gt;AH$4),$F718,AH718))</f>
        <v>59MB1BJB-MB0A02S</v>
      </c>
      <c r="AI719" s="6" t="str">
        <f>IF($D719&lt;=AI$4,"",IF(AND($D718=AI$4,$D719&gt;AI$4),$F718,AI718))</f>
        <v/>
      </c>
      <c r="AJ719" s="6" t="str">
        <f>IF($D719&lt;=AJ$4,"",IF(AND($D718=AJ$4,$D719&gt;AJ$4),$F718,AJ718))</f>
        <v/>
      </c>
      <c r="AK719" s="6" t="str">
        <f>IF($D719&lt;=AK$4,"",IF(AND($D718=AK$4,$D719&gt;AK$4),$F718,AK718))</f>
        <v/>
      </c>
      <c r="AL719" s="6" t="str">
        <f>IF($D719&lt;=AL$4,"",IF(AND($D718=AL$4,$D719&gt;AL$4),$F718,AL718))</f>
        <v/>
      </c>
      <c r="AM719" s="6" t="str">
        <f>IF($D719&lt;=AM$4,"",IF(AND($D718=AM$4,$D719&gt;AM$4),$F718,AM718))</f>
        <v/>
      </c>
      <c r="AN719" s="6" t="str">
        <f>IF($D719&lt;=AN$4,"",IF(AND($D718=AN$4,$D719&gt;AN$4),$F718,AN718))</f>
        <v/>
      </c>
      <c r="AO719" s="6" t="str">
        <f>CONCATENATE(AG719," | ",AH719," | ",AI719," | ",AJ719," | ",AK719," | ",AL719," | ",AM719," | ",AN719)</f>
        <v xml:space="preserve">90MB1BJ0-C1BAY0 | 59MB1BJB-MB0A02S |  |  |  |  |  | </v>
      </c>
      <c r="AP719" s="6">
        <f>IF(TRIM(H719)="",100,J719)</f>
        <v>100</v>
      </c>
      <c r="AQ719" s="4"/>
      <c r="AR719" s="6" t="b">
        <f>NOT(TRIM(W719)&lt;&gt;"F")</f>
        <v>1</v>
      </c>
      <c r="AS719" s="6" t="str">
        <f>$B719&amp;" | "&amp;$AO719&amp;" | "&amp;IF(TRIM(H719)="","uniq"&amp;ROW(),TRIM(H719))</f>
        <v>461E | 90MB1BJ0-C1BAY0 | 59MB1BJB-MB0A02S |  |  |  |  |  |  | N4</v>
      </c>
      <c r="AT719" s="63">
        <f>IF(NOT(AR719),IF(TRIM($H719)="","Assembly","Phantom Alt"),VLOOKUP(F719,ZPCS04!B:G,6,0))</f>
        <v>892</v>
      </c>
      <c r="AU719" s="7"/>
      <c r="AV719" s="38">
        <f ca="1">IF(TRIM($W719)="F",OFFSET($A$5,MATCH($AS719,$AS$5:$AS719,0)-1,0),$A719)</f>
        <v>720</v>
      </c>
      <c r="AW719" s="38">
        <f ca="1">IFERROR(OFFSET(ZPCS04!$A$1,MATCH(F719,ZPCS04!B:B,0)-1,0),100)</f>
        <v>1.9999994999999999</v>
      </c>
      <c r="AX719" s="7"/>
      <c r="AY719" s="6" t="b">
        <f>SUMIF(AS:AS,AS719,AP:AP)=100</f>
        <v>1</v>
      </c>
      <c r="AZ719" s="6" t="b">
        <f>SUMIF(AS:AS,AS719,AE:AE)/COUNTIF(AS:AS,AS719)=AE719</f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>C719&amp;" | "&amp;F719</f>
        <v>90MB1BJ0-C1BAY0 | 11G232222525150</v>
      </c>
      <c r="BE719" s="55" t="str">
        <f ca="1">C719&amp;" | "&amp;OFFSET($AF719,0,8-COUNTBLANK($AG719:$AN719))</f>
        <v>90MB1BJ0-C1BAY0 | 59MB1BJB-MB0A02S</v>
      </c>
      <c r="BF719" s="57">
        <f ca="1">IFERROR(VLOOKUP($BE719,$BD$5:$BF718,3,0)*$AE719,VLOOKUP($C719,Demanda!$A:$B,2,0)*$AE719)*IF(AT719="Phantom Alt",$BC719,TRUE)</f>
        <v>61000</v>
      </c>
      <c r="BG719" s="57">
        <f ca="1">BF719*(AP719/100)</f>
        <v>61000</v>
      </c>
      <c r="BH719" s="57">
        <f>SUMIF(Invoice!A:A,F719,Invoice!B:B)</f>
        <v>50000</v>
      </c>
      <c r="BI719" s="57">
        <f ca="1">SUMIF(AS:AS,AS719,BG:BG)</f>
        <v>61000</v>
      </c>
      <c r="BJ719" s="57">
        <f ca="1">MIN((BI719-SUMIF($AS$5:AS718,AS719,$BJ$5:BJ718)),MAX(0,BH719-SUMIF($F$5:F718,F719,$BJ$5:BJ718)))</f>
        <v>50000</v>
      </c>
      <c r="BK719" s="57">
        <f ca="1">(-SUMIF(AS:AS,AS719,BG:BG)+SUMIF(AS:AS,AS719,BJ:BJ))*(AP719=100)*AR719</f>
        <v>0</v>
      </c>
      <c r="BL719" s="57">
        <f ca="1">MAX(0,SUMIF(Invoice!A:A,F719,Invoice!B:B)-SUMIF(F:F,F719,BJ:BJ))*(COUNTIF(F:F,F719)=COUNTIF($F$5:F719,F719))</f>
        <v>0</v>
      </c>
    </row>
    <row r="720" spans="1:64" hidden="1">
      <c r="A720" s="43">
        <v>721</v>
      </c>
      <c r="B720" s="13" t="s">
        <v>147</v>
      </c>
      <c r="C720" s="13" t="s">
        <v>146</v>
      </c>
      <c r="D720" s="13">
        <v>2</v>
      </c>
      <c r="E720" s="13">
        <v>2340</v>
      </c>
      <c r="F720" s="71" t="s">
        <v>1683</v>
      </c>
      <c r="G720" s="71" t="s">
        <v>1680</v>
      </c>
      <c r="H720" s="13" t="s">
        <v>1681</v>
      </c>
      <c r="I720" s="13" t="s">
        <v>55</v>
      </c>
      <c r="J720" s="28">
        <v>0</v>
      </c>
      <c r="K720" s="13" t="s">
        <v>1428</v>
      </c>
      <c r="L720" s="13" t="s">
        <v>53</v>
      </c>
      <c r="M720" s="13">
        <v>61</v>
      </c>
      <c r="O720" s="13">
        <v>1</v>
      </c>
      <c r="P720" s="13">
        <v>2</v>
      </c>
      <c r="Q720" s="13">
        <v>3</v>
      </c>
      <c r="R720" s="13" t="s">
        <v>122</v>
      </c>
      <c r="S720" s="13" t="s">
        <v>122</v>
      </c>
      <c r="T720" s="13">
        <v>44901</v>
      </c>
      <c r="U720" s="13">
        <v>2958465</v>
      </c>
      <c r="V720" s="13" t="s">
        <v>282</v>
      </c>
      <c r="W720" s="13" t="s">
        <v>145</v>
      </c>
      <c r="Y720" s="13" t="s">
        <v>143</v>
      </c>
      <c r="Z720" s="13">
        <v>7589154</v>
      </c>
      <c r="AA720" s="13">
        <v>1330</v>
      </c>
      <c r="AB720" s="13">
        <v>665</v>
      </c>
      <c r="AE720" s="51">
        <f>M720/O720</f>
        <v>61</v>
      </c>
      <c r="AG720" s="6" t="str">
        <f>C720</f>
        <v>90MB1BJ0-C1BAY0</v>
      </c>
      <c r="AH720" s="6" t="str">
        <f>IF($D720&lt;=AH$4,"",IF(AND($D719=AH$4,$D720&gt;AH$4),$F719,AH719))</f>
        <v>59MB1BJB-MB0A02S</v>
      </c>
      <c r="AI720" s="6" t="str">
        <f>IF($D720&lt;=AI$4,"",IF(AND($D719=AI$4,$D720&gt;AI$4),$F719,AI719))</f>
        <v/>
      </c>
      <c r="AJ720" s="6" t="str">
        <f>IF($D720&lt;=AJ$4,"",IF(AND($D719=AJ$4,$D720&gt;AJ$4),$F719,AJ719))</f>
        <v/>
      </c>
      <c r="AK720" s="6" t="str">
        <f>IF($D720&lt;=AK$4,"",IF(AND($D719=AK$4,$D720&gt;AK$4),$F719,AK719))</f>
        <v/>
      </c>
      <c r="AL720" s="6" t="str">
        <f>IF($D720&lt;=AL$4,"",IF(AND($D719=AL$4,$D720&gt;AL$4),$F719,AL719))</f>
        <v/>
      </c>
      <c r="AM720" s="6" t="str">
        <f>IF($D720&lt;=AM$4,"",IF(AND($D719=AM$4,$D720&gt;AM$4),$F719,AM719))</f>
        <v/>
      </c>
      <c r="AN720" s="6" t="str">
        <f>IF($D720&lt;=AN$4,"",IF(AND($D719=AN$4,$D720&gt;AN$4),$F719,AN719))</f>
        <v/>
      </c>
      <c r="AO720" s="6" t="str">
        <f>CONCATENATE(AG720," | ",AH720," | ",AI720," | ",AJ720," | ",AK720," | ",AL720," | ",AM720," | ",AN720)</f>
        <v xml:space="preserve">90MB1BJ0-C1BAY0 | 59MB1BJB-MB0A02S |  |  |  |  |  | </v>
      </c>
      <c r="AP720" s="6">
        <f>IF(TRIM(H720)="",100,J720)</f>
        <v>0</v>
      </c>
      <c r="AQ720" s="4"/>
      <c r="AR720" s="6" t="b">
        <f>NOT(TRIM(W720)&lt;&gt;"F")</f>
        <v>1</v>
      </c>
      <c r="AS720" s="6" t="str">
        <f>$B720&amp;" | "&amp;$AO720&amp;" | "&amp;IF(TRIM(H720)="","uniq"&amp;ROW(),TRIM(H720))</f>
        <v>461E | 90MB1BJ0-C1BAY0 | 59MB1BJB-MB0A02S |  |  |  |  |  |  | N4</v>
      </c>
      <c r="AT720" s="63">
        <f>IF(NOT(AR720),IF(TRIM($H720)="","Assembly","Phantom Alt"),VLOOKUP(F720,ZPCS04!B:G,6,0))</f>
        <v>892</v>
      </c>
      <c r="AU720" s="7"/>
      <c r="AV720" s="38">
        <f ca="1">IF(TRIM($W720)="F",OFFSET($A$5,MATCH($AS720,$AS$5:$AS720,0)-1,0),$A720)</f>
        <v>720</v>
      </c>
      <c r="AW720" s="38">
        <f ca="1">IFERROR(OFFSET(ZPCS04!$A$1,MATCH(F720,ZPCS04!B:B,0)-1,0),100)</f>
        <v>1.9999997999999999</v>
      </c>
      <c r="AX720" s="7"/>
      <c r="AY720" s="6" t="b">
        <f>SUMIF(AS:AS,AS720,AP:AP)=100</f>
        <v>1</v>
      </c>
      <c r="AZ720" s="6" t="b">
        <f>SUMIF(AS:AS,AS720,AE:AE)/COUNTIF(AS:AS,AS720)=AE720</f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>C720&amp;" | "&amp;F720</f>
        <v>90MB1BJ0-C1BAY0 | 11G232222525320</v>
      </c>
      <c r="BE720" s="55" t="str">
        <f ca="1">C720&amp;" | "&amp;OFFSET($AF720,0,8-COUNTBLANK($AG720:$AN720))</f>
        <v>90MB1BJ0-C1BAY0 | 59MB1BJB-MB0A02S</v>
      </c>
      <c r="BF720" s="57">
        <f ca="1">IFERROR(VLOOKUP($BE720,$BD$5:$BF719,3,0)*$AE720,VLOOKUP($C720,Demanda!$A:$B,2,0)*$AE720)*IF(AT720="Phantom Alt",$BC720,TRUE)</f>
        <v>61000</v>
      </c>
      <c r="BG720" s="57">
        <f ca="1">BF720*(AP720/100)</f>
        <v>0</v>
      </c>
      <c r="BH720" s="57">
        <f>SUMIF(Invoice!A:A,F720,Invoice!B:B)</f>
        <v>20000</v>
      </c>
      <c r="BI720" s="57">
        <f ca="1">SUMIF(AS:AS,AS720,BG:BG)</f>
        <v>61000</v>
      </c>
      <c r="BJ720" s="57">
        <f ca="1">MIN((BI720-SUMIF($AS$5:AS719,AS720,$BJ$5:BJ719)),MAX(0,BH720-SUMIF($F$5:F719,F720,$BJ$5:BJ719)))</f>
        <v>11000</v>
      </c>
      <c r="BK720" s="57">
        <f ca="1">(-SUMIF(AS:AS,AS720,BG:BG)+SUMIF(AS:AS,AS720,BJ:BJ))*(AP720=100)*AR720</f>
        <v>0</v>
      </c>
      <c r="BL720" s="57">
        <f ca="1">MAX(0,SUMIF(Invoice!A:A,F720,Invoice!B:B)-SUMIF(F:F,F720,BJ:BJ))*(COUNTIF(F:F,F720)=COUNTIF($F$5:F720,F720))</f>
        <v>9000</v>
      </c>
    </row>
    <row r="721" spans="1:64" hidden="1">
      <c r="A721" s="43">
        <v>719</v>
      </c>
      <c r="B721" s="13" t="s">
        <v>147</v>
      </c>
      <c r="C721" s="13" t="s">
        <v>146</v>
      </c>
      <c r="D721" s="13">
        <v>2</v>
      </c>
      <c r="E721" s="13">
        <v>2340</v>
      </c>
      <c r="F721" s="71" t="s">
        <v>1679</v>
      </c>
      <c r="G721" s="71" t="s">
        <v>1680</v>
      </c>
      <c r="H721" s="13" t="s">
        <v>1681</v>
      </c>
      <c r="I721" s="13" t="s">
        <v>55</v>
      </c>
      <c r="J721" s="28">
        <v>0</v>
      </c>
      <c r="K721" s="13" t="s">
        <v>1428</v>
      </c>
      <c r="L721" s="13" t="s">
        <v>53</v>
      </c>
      <c r="M721" s="13">
        <v>61</v>
      </c>
      <c r="O721" s="13">
        <v>1</v>
      </c>
      <c r="P721" s="13">
        <v>2</v>
      </c>
      <c r="Q721" s="13">
        <v>2</v>
      </c>
      <c r="R721" s="13" t="s">
        <v>122</v>
      </c>
      <c r="S721" s="13" t="s">
        <v>122</v>
      </c>
      <c r="T721" s="13">
        <v>44901</v>
      </c>
      <c r="U721" s="13">
        <v>2958465</v>
      </c>
      <c r="V721" s="13" t="s">
        <v>282</v>
      </c>
      <c r="W721" s="13" t="s">
        <v>145</v>
      </c>
      <c r="Y721" s="13" t="s">
        <v>143</v>
      </c>
      <c r="Z721" s="13">
        <v>7589154</v>
      </c>
      <c r="AA721" s="13">
        <v>1328</v>
      </c>
      <c r="AB721" s="13">
        <v>664</v>
      </c>
      <c r="AE721" s="51">
        <f>M721/O721</f>
        <v>61</v>
      </c>
      <c r="AG721" s="6" t="str">
        <f>C721</f>
        <v>90MB1BJ0-C1BAY0</v>
      </c>
      <c r="AH721" s="6" t="str">
        <f>IF($D721&lt;=AH$4,"",IF(AND($D720=AH$4,$D721&gt;AH$4),$F720,AH720))</f>
        <v>59MB1BJB-MB0A02S</v>
      </c>
      <c r="AI721" s="6" t="str">
        <f>IF($D721&lt;=AI$4,"",IF(AND($D720=AI$4,$D721&gt;AI$4),$F720,AI720))</f>
        <v/>
      </c>
      <c r="AJ721" s="6" t="str">
        <f>IF($D721&lt;=AJ$4,"",IF(AND($D720=AJ$4,$D721&gt;AJ$4),$F720,AJ720))</f>
        <v/>
      </c>
      <c r="AK721" s="6" t="str">
        <f>IF($D721&lt;=AK$4,"",IF(AND($D720=AK$4,$D721&gt;AK$4),$F720,AK720))</f>
        <v/>
      </c>
      <c r="AL721" s="6" t="str">
        <f>IF($D721&lt;=AL$4,"",IF(AND($D720=AL$4,$D721&gt;AL$4),$F720,AL720))</f>
        <v/>
      </c>
      <c r="AM721" s="6" t="str">
        <f>IF($D721&lt;=AM$4,"",IF(AND($D720=AM$4,$D721&gt;AM$4),$F720,AM720))</f>
        <v/>
      </c>
      <c r="AN721" s="6" t="str">
        <f>IF($D721&lt;=AN$4,"",IF(AND($D720=AN$4,$D721&gt;AN$4),$F720,AN720))</f>
        <v/>
      </c>
      <c r="AO721" s="6" t="str">
        <f>CONCATENATE(AG721," | ",AH721," | ",AI721," | ",AJ721," | ",AK721," | ",AL721," | ",AM721," | ",AN721)</f>
        <v xml:space="preserve">90MB1BJ0-C1BAY0 | 59MB1BJB-MB0A02S |  |  |  |  |  | </v>
      </c>
      <c r="AP721" s="6">
        <f>IF(TRIM(H721)="",100,J721)</f>
        <v>0</v>
      </c>
      <c r="AQ721" s="4"/>
      <c r="AR721" s="6" t="b">
        <f>NOT(TRIM(W721)&lt;&gt;"F")</f>
        <v>1</v>
      </c>
      <c r="AS721" s="6" t="str">
        <f>$B721&amp;" | "&amp;$AO721&amp;" | "&amp;IF(TRIM(H721)="","uniq"&amp;ROW(),TRIM(H721))</f>
        <v>461E | 90MB1BJ0-C1BAY0 | 59MB1BJB-MB0A02S |  |  |  |  |  |  | N4</v>
      </c>
      <c r="AT721" s="63">
        <f>IF(NOT(AR721),IF(TRIM($H721)="","Assembly","Phantom Alt"),VLOOKUP(F721,ZPCS04!B:G,6,0))</f>
        <v>892</v>
      </c>
      <c r="AU721" s="7"/>
      <c r="AV721" s="38">
        <f ca="1">IF(TRIM($W721)="F",OFFSET($A$5,MATCH($AS721,$AS$5:$AS721,0)-1,0),$A721)</f>
        <v>720</v>
      </c>
      <c r="AW721" s="38">
        <f ca="1">IFERROR(OFFSET(ZPCS04!$A$1,MATCH(F721,ZPCS04!B:B,0)-1,0),100)</f>
        <v>2</v>
      </c>
      <c r="AX721" s="7"/>
      <c r="AY721" s="6" t="b">
        <f>SUMIF(AS:AS,AS721,AP:AP)=100</f>
        <v>1</v>
      </c>
      <c r="AZ721" s="6" t="b">
        <f>SUMIF(AS:AS,AS721,AE:AE)/COUNTIF(AS:AS,AS721)=AE721</f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>C721&amp;" | "&amp;F721</f>
        <v>90MB1BJ0-C1BAY0 | 11G232222525070</v>
      </c>
      <c r="BE721" s="55" t="str">
        <f ca="1">C721&amp;" | "&amp;OFFSET($AF721,0,8-COUNTBLANK($AG721:$AN721))</f>
        <v>90MB1BJ0-C1BAY0 | 59MB1BJB-MB0A02S</v>
      </c>
      <c r="BF721" s="57">
        <f ca="1">IFERROR(VLOOKUP($BE721,$BD$5:$BF720,3,0)*$AE721,VLOOKUP($C721,Demanda!$A:$B,2,0)*$AE721)*IF(AT721="Phantom Alt",$BC721,TRUE)</f>
        <v>61000</v>
      </c>
      <c r="BG721" s="57">
        <f ca="1">BF721*(AP721/100)</f>
        <v>0</v>
      </c>
      <c r="BH721" s="57">
        <f>SUMIF(Invoice!A:A,F721,Invoice!B:B)</f>
        <v>0</v>
      </c>
      <c r="BI721" s="57">
        <f ca="1">SUMIF(AS:AS,AS721,BG:BG)</f>
        <v>61000</v>
      </c>
      <c r="BJ721" s="57">
        <f ca="1">MIN((BI721-SUMIF($AS$5:AS720,AS721,$BJ$5:BJ720)),MAX(0,BH721-SUMIF($F$5:F720,F721,$BJ$5:BJ720)))</f>
        <v>0</v>
      </c>
      <c r="BK721" s="57">
        <f ca="1">(-SUMIF(AS:AS,AS721,BG:BG)+SUMIF(AS:AS,AS721,BJ:BJ))*(AP721=100)*AR721</f>
        <v>0</v>
      </c>
      <c r="BL721" s="57">
        <f ca="1">MAX(0,SUMIF(Invoice!A:A,F721,Invoice!B:B)-SUMIF(F:F,F721,BJ:BJ))*(COUNTIF(F:F,F721)=COUNTIF($F$5:F721,F721))</f>
        <v>0</v>
      </c>
    </row>
    <row r="722" spans="1:64" hidden="1">
      <c r="A722" s="43">
        <v>722</v>
      </c>
      <c r="B722" s="13" t="s">
        <v>147</v>
      </c>
      <c r="C722" s="13" t="s">
        <v>146</v>
      </c>
      <c r="D722" s="13">
        <v>2</v>
      </c>
      <c r="E722" s="13">
        <v>2340</v>
      </c>
      <c r="F722" s="71" t="s">
        <v>1684</v>
      </c>
      <c r="G722" s="71" t="s">
        <v>1680</v>
      </c>
      <c r="H722" s="13" t="s">
        <v>1681</v>
      </c>
      <c r="I722" s="13" t="s">
        <v>55</v>
      </c>
      <c r="J722" s="28">
        <v>0</v>
      </c>
      <c r="K722" s="13" t="s">
        <v>1428</v>
      </c>
      <c r="L722" s="13" t="s">
        <v>53</v>
      </c>
      <c r="M722" s="13">
        <v>61</v>
      </c>
      <c r="O722" s="13">
        <v>1</v>
      </c>
      <c r="P722" s="13">
        <v>2</v>
      </c>
      <c r="Q722" s="13">
        <v>4</v>
      </c>
      <c r="R722" s="13" t="s">
        <v>122</v>
      </c>
      <c r="S722" s="13" t="s">
        <v>122</v>
      </c>
      <c r="T722" s="13">
        <v>44901</v>
      </c>
      <c r="U722" s="13">
        <v>2958465</v>
      </c>
      <c r="V722" s="13" t="s">
        <v>282</v>
      </c>
      <c r="W722" s="13" t="s">
        <v>145</v>
      </c>
      <c r="Y722" s="13" t="s">
        <v>143</v>
      </c>
      <c r="Z722" s="13">
        <v>7589154</v>
      </c>
      <c r="AA722" s="13">
        <v>1332</v>
      </c>
      <c r="AB722" s="13">
        <v>666</v>
      </c>
      <c r="AE722" s="51">
        <f>M722/O722</f>
        <v>61</v>
      </c>
      <c r="AG722" s="6" t="str">
        <f>C722</f>
        <v>90MB1BJ0-C1BAY0</v>
      </c>
      <c r="AH722" s="6" t="str">
        <f>IF($D722&lt;=AH$4,"",IF(AND($D721=AH$4,$D722&gt;AH$4),$F721,AH721))</f>
        <v>59MB1BJB-MB0A02S</v>
      </c>
      <c r="AI722" s="6" t="str">
        <f>IF($D722&lt;=AI$4,"",IF(AND($D721=AI$4,$D722&gt;AI$4),$F721,AI721))</f>
        <v/>
      </c>
      <c r="AJ722" s="6" t="str">
        <f>IF($D722&lt;=AJ$4,"",IF(AND($D721=AJ$4,$D722&gt;AJ$4),$F721,AJ721))</f>
        <v/>
      </c>
      <c r="AK722" s="6" t="str">
        <f>IF($D722&lt;=AK$4,"",IF(AND($D721=AK$4,$D722&gt;AK$4),$F721,AK721))</f>
        <v/>
      </c>
      <c r="AL722" s="6" t="str">
        <f>IF($D722&lt;=AL$4,"",IF(AND($D721=AL$4,$D722&gt;AL$4),$F721,AL721))</f>
        <v/>
      </c>
      <c r="AM722" s="6" t="str">
        <f>IF($D722&lt;=AM$4,"",IF(AND($D721=AM$4,$D722&gt;AM$4),$F721,AM721))</f>
        <v/>
      </c>
      <c r="AN722" s="6" t="str">
        <f>IF($D722&lt;=AN$4,"",IF(AND($D721=AN$4,$D722&gt;AN$4),$F721,AN721))</f>
        <v/>
      </c>
      <c r="AO722" s="6" t="str">
        <f>CONCATENATE(AG722," | ",AH722," | ",AI722," | ",AJ722," | ",AK722," | ",AL722," | ",AM722," | ",AN722)</f>
        <v xml:space="preserve">90MB1BJ0-C1BAY0 | 59MB1BJB-MB0A02S |  |  |  |  |  | </v>
      </c>
      <c r="AP722" s="6">
        <f>IF(TRIM(H722)="",100,J722)</f>
        <v>0</v>
      </c>
      <c r="AQ722" s="4"/>
      <c r="AR722" s="6" t="b">
        <f>NOT(TRIM(W722)&lt;&gt;"F")</f>
        <v>1</v>
      </c>
      <c r="AS722" s="6" t="str">
        <f>$B722&amp;" | "&amp;$AO722&amp;" | "&amp;IF(TRIM(H722)="","uniq"&amp;ROW(),TRIM(H722))</f>
        <v>461E | 90MB1BJ0-C1BAY0 | 59MB1BJB-MB0A02S |  |  |  |  |  |  | N4</v>
      </c>
      <c r="AT722" s="63">
        <f>IF(NOT(AR722),IF(TRIM($H722)="","Assembly","Phantom Alt"),VLOOKUP(F722,ZPCS04!B:G,6,0))</f>
        <v>892</v>
      </c>
      <c r="AU722" s="7"/>
      <c r="AV722" s="38">
        <f ca="1">IF(TRIM($W722)="F",OFFSET($A$5,MATCH($AS722,$AS$5:$AS722,0)-1,0),$A722)</f>
        <v>720</v>
      </c>
      <c r="AW722" s="38">
        <f ca="1">IFERROR(OFFSET(ZPCS04!$A$1,MATCH(F722,ZPCS04!B:B,0)-1,0),100)</f>
        <v>2</v>
      </c>
      <c r="AX722" s="7"/>
      <c r="AY722" s="6" t="b">
        <f>SUMIF(AS:AS,AS722,AP:AP)=100</f>
        <v>1</v>
      </c>
      <c r="AZ722" s="6" t="b">
        <f>SUMIF(AS:AS,AS722,AE:AE)/COUNTIF(AS:AS,AS722)=AE722</f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>C722&amp;" | "&amp;F722</f>
        <v>90MB1BJ0-C1BAY0 | 11G232222525360</v>
      </c>
      <c r="BE722" s="55" t="str">
        <f ca="1">C722&amp;" | "&amp;OFFSET($AF722,0,8-COUNTBLANK($AG722:$AN722))</f>
        <v>90MB1BJ0-C1BAY0 | 59MB1BJB-MB0A02S</v>
      </c>
      <c r="BF722" s="57">
        <f ca="1">IFERROR(VLOOKUP($BE722,$BD$5:$BF721,3,0)*$AE722,VLOOKUP($C722,Demanda!$A:$B,2,0)*$AE722)*IF(AT722="Phantom Alt",$BC722,TRUE)</f>
        <v>61000</v>
      </c>
      <c r="BG722" s="57">
        <f ca="1">BF722*(AP722/100)</f>
        <v>0</v>
      </c>
      <c r="BH722" s="57">
        <f>SUMIF(Invoice!A:A,F722,Invoice!B:B)</f>
        <v>0</v>
      </c>
      <c r="BI722" s="57">
        <f ca="1">SUMIF(AS:AS,AS722,BG:BG)</f>
        <v>61000</v>
      </c>
      <c r="BJ722" s="57">
        <f ca="1">MIN((BI722-SUMIF($AS$5:AS721,AS722,$BJ$5:BJ721)),MAX(0,BH722-SUMIF($F$5:F721,F722,$BJ$5:BJ721)))</f>
        <v>0</v>
      </c>
      <c r="BK722" s="57">
        <f ca="1">(-SUMIF(AS:AS,AS722,BG:BG)+SUMIF(AS:AS,AS722,BJ:BJ))*(AP722=100)*AR722</f>
        <v>0</v>
      </c>
      <c r="BL722" s="57">
        <f ca="1">MAX(0,SUMIF(Invoice!A:A,F722,Invoice!B:B)-SUMIF(F:F,F722,BJ:BJ))*(COUNTIF(F:F,F722)=COUNTIF($F$5:F722,F722))</f>
        <v>0</v>
      </c>
    </row>
    <row r="723" spans="1:64" hidden="1">
      <c r="A723" s="43">
        <v>723</v>
      </c>
      <c r="B723" s="13" t="s">
        <v>147</v>
      </c>
      <c r="C723" s="13" t="s">
        <v>146</v>
      </c>
      <c r="D723" s="13">
        <v>2</v>
      </c>
      <c r="E723" s="13">
        <v>2340</v>
      </c>
      <c r="F723" s="71" t="s">
        <v>1685</v>
      </c>
      <c r="G723" s="71" t="s">
        <v>1686</v>
      </c>
      <c r="H723" s="13" t="s">
        <v>1681</v>
      </c>
      <c r="I723" s="13" t="s">
        <v>55</v>
      </c>
      <c r="J723" s="28">
        <v>0</v>
      </c>
      <c r="K723" s="13" t="s">
        <v>1428</v>
      </c>
      <c r="L723" s="13" t="s">
        <v>53</v>
      </c>
      <c r="M723" s="13">
        <v>61</v>
      </c>
      <c r="O723" s="13">
        <v>1</v>
      </c>
      <c r="P723" s="13">
        <v>2</v>
      </c>
      <c r="Q723" s="13">
        <v>5</v>
      </c>
      <c r="R723" s="13" t="s">
        <v>73</v>
      </c>
      <c r="S723" s="13" t="s">
        <v>73</v>
      </c>
      <c r="T723" s="13">
        <v>44901</v>
      </c>
      <c r="U723" s="13">
        <v>2958465</v>
      </c>
      <c r="V723" s="13" t="s">
        <v>282</v>
      </c>
      <c r="W723" s="13" t="s">
        <v>145</v>
      </c>
      <c r="Y723" s="13" t="s">
        <v>143</v>
      </c>
      <c r="Z723" s="13">
        <v>7589154</v>
      </c>
      <c r="AA723" s="13">
        <v>1334</v>
      </c>
      <c r="AB723" s="13">
        <v>667</v>
      </c>
      <c r="AE723" s="51">
        <f>M723/O723</f>
        <v>61</v>
      </c>
      <c r="AG723" s="6" t="str">
        <f>C723</f>
        <v>90MB1BJ0-C1BAY0</v>
      </c>
      <c r="AH723" s="6" t="str">
        <f>IF($D723&lt;=AH$4,"",IF(AND($D722=AH$4,$D723&gt;AH$4),$F722,AH722))</f>
        <v>59MB1BJB-MB0A02S</v>
      </c>
      <c r="AI723" s="6" t="str">
        <f>IF($D723&lt;=AI$4,"",IF(AND($D722=AI$4,$D723&gt;AI$4),$F722,AI722))</f>
        <v/>
      </c>
      <c r="AJ723" s="6" t="str">
        <f>IF($D723&lt;=AJ$4,"",IF(AND($D722=AJ$4,$D723&gt;AJ$4),$F722,AJ722))</f>
        <v/>
      </c>
      <c r="AK723" s="6" t="str">
        <f>IF($D723&lt;=AK$4,"",IF(AND($D722=AK$4,$D723&gt;AK$4),$F722,AK722))</f>
        <v/>
      </c>
      <c r="AL723" s="6" t="str">
        <f>IF($D723&lt;=AL$4,"",IF(AND($D722=AL$4,$D723&gt;AL$4),$F722,AL722))</f>
        <v/>
      </c>
      <c r="AM723" s="6" t="str">
        <f>IF($D723&lt;=AM$4,"",IF(AND($D722=AM$4,$D723&gt;AM$4),$F722,AM722))</f>
        <v/>
      </c>
      <c r="AN723" s="6" t="str">
        <f>IF($D723&lt;=AN$4,"",IF(AND($D722=AN$4,$D723&gt;AN$4),$F722,AN722))</f>
        <v/>
      </c>
      <c r="AO723" s="6" t="str">
        <f>CONCATENATE(AG723," | ",AH723," | ",AI723," | ",AJ723," | ",AK723," | ",AL723," | ",AM723," | ",AN723)</f>
        <v xml:space="preserve">90MB1BJ0-C1BAY0 | 59MB1BJB-MB0A02S |  |  |  |  |  | </v>
      </c>
      <c r="AP723" s="6">
        <f>IF(TRIM(H723)="",100,J723)</f>
        <v>0</v>
      </c>
      <c r="AQ723" s="4"/>
      <c r="AR723" s="6" t="b">
        <f>NOT(TRIM(W723)&lt;&gt;"F")</f>
        <v>1</v>
      </c>
      <c r="AS723" s="6" t="str">
        <f>$B723&amp;" | "&amp;$AO723&amp;" | "&amp;IF(TRIM(H723)="","uniq"&amp;ROW(),TRIM(H723))</f>
        <v>461E | 90MB1BJ0-C1BAY0 | 59MB1BJB-MB0A02S |  |  |  |  |  |  | N4</v>
      </c>
      <c r="AT723" s="63">
        <f>IF(NOT(AR723),IF(TRIM($H723)="","Assembly","Phantom Alt"),VLOOKUP(F723,ZPCS04!B:G,6,0))</f>
        <v>892</v>
      </c>
      <c r="AU723" s="7"/>
      <c r="AV723" s="38">
        <f ca="1">IF(TRIM($W723)="F",OFFSET($A$5,MATCH($AS723,$AS$5:$AS723,0)-1,0),$A723)</f>
        <v>720</v>
      </c>
      <c r="AW723" s="38">
        <f ca="1">IFERROR(OFFSET(ZPCS04!$A$1,MATCH(F723,ZPCS04!B:B,0)-1,0),100)</f>
        <v>2</v>
      </c>
      <c r="AX723" s="7"/>
      <c r="AY723" s="6" t="b">
        <f>SUMIF(AS:AS,AS723,AP:AP)=100</f>
        <v>1</v>
      </c>
      <c r="AZ723" s="6" t="b">
        <f>SUMIF(AS:AS,AS723,AE:AE)/COUNTIF(AS:AS,AS723)=AE723</f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>C723&amp;" | "&amp;F723</f>
        <v>90MB1BJ0-C1BAY0 | 11G232222525510</v>
      </c>
      <c r="BE723" s="55" t="str">
        <f ca="1">C723&amp;" | "&amp;OFFSET($AF723,0,8-COUNTBLANK($AG723:$AN723))</f>
        <v>90MB1BJ0-C1BAY0 | 59MB1BJB-MB0A02S</v>
      </c>
      <c r="BF723" s="57">
        <f ca="1">IFERROR(VLOOKUP($BE723,$BD$5:$BF722,3,0)*$AE723,VLOOKUP($C723,Demanda!$A:$B,2,0)*$AE723)*IF(AT723="Phantom Alt",$BC723,TRUE)</f>
        <v>61000</v>
      </c>
      <c r="BG723" s="57">
        <f ca="1">BF723*(AP723/100)</f>
        <v>0</v>
      </c>
      <c r="BH723" s="57">
        <f>SUMIF(Invoice!A:A,F723,Invoice!B:B)</f>
        <v>0</v>
      </c>
      <c r="BI723" s="57">
        <f ca="1">SUMIF(AS:AS,AS723,BG:BG)</f>
        <v>61000</v>
      </c>
      <c r="BJ723" s="57">
        <f ca="1">MIN((BI723-SUMIF($AS$5:AS722,AS723,$BJ$5:BJ722)),MAX(0,BH723-SUMIF($F$5:F722,F723,$BJ$5:BJ722)))</f>
        <v>0</v>
      </c>
      <c r="BK723" s="57">
        <f ca="1">(-SUMIF(AS:AS,AS723,BG:BG)+SUMIF(AS:AS,AS723,BJ:BJ))*(AP723=100)*AR723</f>
        <v>0</v>
      </c>
      <c r="BL723" s="57">
        <f ca="1">MAX(0,SUMIF(Invoice!A:A,F723,Invoice!B:B)-SUMIF(F:F,F723,BJ:BJ))*(COUNTIF(F:F,F723)=COUNTIF($F$5:F723,F723))</f>
        <v>0</v>
      </c>
    </row>
    <row r="724" spans="1:64" hidden="1">
      <c r="A724" s="43">
        <v>725</v>
      </c>
      <c r="B724" s="13" t="s">
        <v>147</v>
      </c>
      <c r="C724" s="13" t="s">
        <v>146</v>
      </c>
      <c r="D724" s="13">
        <v>2</v>
      </c>
      <c r="E724" s="13">
        <v>2350</v>
      </c>
      <c r="F724" s="71" t="s">
        <v>1690</v>
      </c>
      <c r="G724" s="71" t="s">
        <v>1691</v>
      </c>
      <c r="H724" s="13" t="s">
        <v>1689</v>
      </c>
      <c r="I724" s="13" t="s">
        <v>55</v>
      </c>
      <c r="J724" s="28">
        <v>0</v>
      </c>
      <c r="K724" s="13" t="s">
        <v>150</v>
      </c>
      <c r="L724" s="13" t="s">
        <v>53</v>
      </c>
      <c r="M724" s="13">
        <v>11</v>
      </c>
      <c r="O724" s="13">
        <v>1</v>
      </c>
      <c r="P724" s="13">
        <v>2</v>
      </c>
      <c r="Q724" s="13">
        <v>3</v>
      </c>
      <c r="R724" s="13" t="s">
        <v>73</v>
      </c>
      <c r="S724" s="13" t="s">
        <v>73</v>
      </c>
      <c r="T724" s="13">
        <v>44901</v>
      </c>
      <c r="U724" s="13">
        <v>2958465</v>
      </c>
      <c r="V724" s="13" t="s">
        <v>282</v>
      </c>
      <c r="W724" s="13" t="s">
        <v>145</v>
      </c>
      <c r="Y724" s="13" t="s">
        <v>143</v>
      </c>
      <c r="Z724" s="13">
        <v>7589154</v>
      </c>
      <c r="AA724" s="13">
        <v>1340</v>
      </c>
      <c r="AB724" s="13">
        <v>670</v>
      </c>
      <c r="AE724" s="51">
        <f>M724/O724</f>
        <v>11</v>
      </c>
      <c r="AG724" s="6" t="str">
        <f>C724</f>
        <v>90MB1BJ0-C1BAY0</v>
      </c>
      <c r="AH724" s="6" t="str">
        <f>IF($D724&lt;=AH$4,"",IF(AND($D723=AH$4,$D724&gt;AH$4),$F723,AH723))</f>
        <v>59MB1BJB-MB0A02S</v>
      </c>
      <c r="AI724" s="6" t="str">
        <f>IF($D724&lt;=AI$4,"",IF(AND($D723=AI$4,$D724&gt;AI$4),$F723,AI723))</f>
        <v/>
      </c>
      <c r="AJ724" s="6" t="str">
        <f>IF($D724&lt;=AJ$4,"",IF(AND($D723=AJ$4,$D724&gt;AJ$4),$F723,AJ723))</f>
        <v/>
      </c>
      <c r="AK724" s="6" t="str">
        <f>IF($D724&lt;=AK$4,"",IF(AND($D723=AK$4,$D724&gt;AK$4),$F723,AK723))</f>
        <v/>
      </c>
      <c r="AL724" s="6" t="str">
        <f>IF($D724&lt;=AL$4,"",IF(AND($D723=AL$4,$D724&gt;AL$4),$F723,AL723))</f>
        <v/>
      </c>
      <c r="AM724" s="6" t="str">
        <f>IF($D724&lt;=AM$4,"",IF(AND($D723=AM$4,$D724&gt;AM$4),$F723,AM723))</f>
        <v/>
      </c>
      <c r="AN724" s="6" t="str">
        <f>IF($D724&lt;=AN$4,"",IF(AND($D723=AN$4,$D724&gt;AN$4),$F723,AN723))</f>
        <v/>
      </c>
      <c r="AO724" s="6" t="str">
        <f>CONCATENATE(AG724," | ",AH724," | ",AI724," | ",AJ724," | ",AK724," | ",AL724," | ",AM724," | ",AN724)</f>
        <v xml:space="preserve">90MB1BJ0-C1BAY0 | 59MB1BJB-MB0A02S |  |  |  |  |  | </v>
      </c>
      <c r="AP724" s="6">
        <f>IF(TRIM(H724)="",100,J724)</f>
        <v>0</v>
      </c>
      <c r="AQ724" s="4"/>
      <c r="AR724" s="6" t="b">
        <f>NOT(TRIM(W724)&lt;&gt;"F")</f>
        <v>1</v>
      </c>
      <c r="AS724" s="6" t="str">
        <f>$B724&amp;" | "&amp;$AO724&amp;" | "&amp;IF(TRIM(H724)="","uniq"&amp;ROW(),TRIM(H724))</f>
        <v>461E | 90MB1BJ0-C1BAY0 | 59MB1BJB-MB0A02S |  |  |  |  |  |  | N5</v>
      </c>
      <c r="AT724" s="63">
        <f>IF(NOT(AR724),IF(TRIM($H724)="","Assembly","Phantom Alt"),VLOOKUP(F724,ZPCS04!B:G,6,0))</f>
        <v>997</v>
      </c>
      <c r="AU724" s="7"/>
      <c r="AV724" s="38">
        <f ca="1">IF(TRIM($W724)="F",OFFSET($A$5,MATCH($AS724,$AS$5:$AS724,0)-1,0),$A724)</f>
        <v>725</v>
      </c>
      <c r="AW724" s="38">
        <f ca="1">IFERROR(OFFSET(ZPCS04!$A$1,MATCH(F724,ZPCS04!B:B,0)-1,0),100)</f>
        <v>1.9999997999999999</v>
      </c>
      <c r="AX724" s="7"/>
      <c r="AY724" s="6" t="b">
        <f>SUMIF(AS:AS,AS724,AP:AP)=100</f>
        <v>1</v>
      </c>
      <c r="AZ724" s="6" t="b">
        <f>SUMIF(AS:AS,AS724,AE:AE)/COUNTIF(AS:AS,AS724)=AE724</f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>C724&amp;" | "&amp;F724</f>
        <v>90MB1BJ0-C1BAY0 | 11203-0002Q000</v>
      </c>
      <c r="BE724" s="55" t="str">
        <f ca="1">C724&amp;" | "&amp;OFFSET($AF724,0,8-COUNTBLANK($AG724:$AN724))</f>
        <v>90MB1BJ0-C1BAY0 | 59MB1BJB-MB0A02S</v>
      </c>
      <c r="BF724" s="57">
        <f ca="1">IFERROR(VLOOKUP($BE724,$BD$5:$BF723,3,0)*$AE724,VLOOKUP($C724,Demanda!$A:$B,2,0)*$AE724)*IF(AT724="Phantom Alt",$BC724,TRUE)</f>
        <v>11000</v>
      </c>
      <c r="BG724" s="57">
        <f ca="1">BF724*(AP724/100)</f>
        <v>0</v>
      </c>
      <c r="BH724" s="57">
        <f>SUMIF(Invoice!A:A,F724,Invoice!B:B)</f>
        <v>20000</v>
      </c>
      <c r="BI724" s="57">
        <f ca="1">SUMIF(AS:AS,AS724,BG:BG)</f>
        <v>11000</v>
      </c>
      <c r="BJ724" s="57">
        <f ca="1">MIN((BI724-SUMIF($AS$5:AS723,AS724,$BJ$5:BJ723)),MAX(0,BH724-SUMIF($F$5:F723,F724,$BJ$5:BJ723)))</f>
        <v>11000</v>
      </c>
      <c r="BK724" s="57">
        <f ca="1">(-SUMIF(AS:AS,AS724,BG:BG)+SUMIF(AS:AS,AS724,BJ:BJ))*(AP724=100)*AR724</f>
        <v>0</v>
      </c>
      <c r="BL724" s="57">
        <f ca="1">MAX(0,SUMIF(Invoice!A:A,F724,Invoice!B:B)-SUMIF(F:F,F724,BJ:BJ))*(COUNTIF(F:F,F724)=COUNTIF($F$5:F724,F724))</f>
        <v>9000</v>
      </c>
    </row>
    <row r="725" spans="1:64" hidden="1">
      <c r="A725" s="43">
        <v>724</v>
      </c>
      <c r="B725" s="13" t="s">
        <v>147</v>
      </c>
      <c r="C725" s="13" t="s">
        <v>146</v>
      </c>
      <c r="D725" s="13">
        <v>2</v>
      </c>
      <c r="E725" s="13">
        <v>2350</v>
      </c>
      <c r="F725" s="71" t="s">
        <v>1687</v>
      </c>
      <c r="G725" s="71" t="s">
        <v>1688</v>
      </c>
      <c r="H725" s="13" t="s">
        <v>1689</v>
      </c>
      <c r="I725" s="13" t="s">
        <v>55</v>
      </c>
      <c r="J725" s="28">
        <v>0</v>
      </c>
      <c r="K725" s="13" t="s">
        <v>1428</v>
      </c>
      <c r="L725" s="13" t="s">
        <v>53</v>
      </c>
      <c r="M725" s="13">
        <v>11</v>
      </c>
      <c r="O725" s="13">
        <v>1</v>
      </c>
      <c r="P725" s="13">
        <v>2</v>
      </c>
      <c r="Q725" s="13">
        <v>2</v>
      </c>
      <c r="R725" s="13" t="s">
        <v>122</v>
      </c>
      <c r="S725" s="13" t="s">
        <v>122</v>
      </c>
      <c r="T725" s="13">
        <v>44901</v>
      </c>
      <c r="U725" s="13">
        <v>2958465</v>
      </c>
      <c r="V725" s="13" t="s">
        <v>282</v>
      </c>
      <c r="W725" s="13" t="s">
        <v>145</v>
      </c>
      <c r="Y725" s="13" t="s">
        <v>143</v>
      </c>
      <c r="Z725" s="13">
        <v>7589154</v>
      </c>
      <c r="AA725" s="13">
        <v>1338</v>
      </c>
      <c r="AB725" s="13">
        <v>669</v>
      </c>
      <c r="AE725" s="51">
        <f>M725/O725</f>
        <v>11</v>
      </c>
      <c r="AG725" s="6" t="str">
        <f>C725</f>
        <v>90MB1BJ0-C1BAY0</v>
      </c>
      <c r="AH725" s="6" t="str">
        <f>IF($D725&lt;=AH$4,"",IF(AND($D724=AH$4,$D725&gt;AH$4),$F724,AH724))</f>
        <v>59MB1BJB-MB0A02S</v>
      </c>
      <c r="AI725" s="6" t="str">
        <f>IF($D725&lt;=AI$4,"",IF(AND($D724=AI$4,$D725&gt;AI$4),$F724,AI724))</f>
        <v/>
      </c>
      <c r="AJ725" s="6" t="str">
        <f>IF($D725&lt;=AJ$4,"",IF(AND($D724=AJ$4,$D725&gt;AJ$4),$F724,AJ724))</f>
        <v/>
      </c>
      <c r="AK725" s="6" t="str">
        <f>IF($D725&lt;=AK$4,"",IF(AND($D724=AK$4,$D725&gt;AK$4),$F724,AK724))</f>
        <v/>
      </c>
      <c r="AL725" s="6" t="str">
        <f>IF($D725&lt;=AL$4,"",IF(AND($D724=AL$4,$D725&gt;AL$4),$F724,AL724))</f>
        <v/>
      </c>
      <c r="AM725" s="6" t="str">
        <f>IF($D725&lt;=AM$4,"",IF(AND($D724=AM$4,$D725&gt;AM$4),$F724,AM724))</f>
        <v/>
      </c>
      <c r="AN725" s="6" t="str">
        <f>IF($D725&lt;=AN$4,"",IF(AND($D724=AN$4,$D725&gt;AN$4),$F724,AN724))</f>
        <v/>
      </c>
      <c r="AO725" s="6" t="str">
        <f>CONCATENATE(AG725," | ",AH725," | ",AI725," | ",AJ725," | ",AK725," | ",AL725," | ",AM725," | ",AN725)</f>
        <v xml:space="preserve">90MB1BJ0-C1BAY0 | 59MB1BJB-MB0A02S |  |  |  |  |  | </v>
      </c>
      <c r="AP725" s="6">
        <f>IF(TRIM(H725)="",100,J725)</f>
        <v>0</v>
      </c>
      <c r="AQ725" s="4"/>
      <c r="AR725" s="6" t="b">
        <f>NOT(TRIM(W725)&lt;&gt;"F")</f>
        <v>1</v>
      </c>
      <c r="AS725" s="6" t="str">
        <f>$B725&amp;" | "&amp;$AO725&amp;" | "&amp;IF(TRIM(H725)="","uniq"&amp;ROW(),TRIM(H725))</f>
        <v>461E | 90MB1BJ0-C1BAY0 | 59MB1BJB-MB0A02S |  |  |  |  |  |  | N5</v>
      </c>
      <c r="AT725" s="63">
        <f>IF(NOT(AR725),IF(TRIM($H725)="","Assembly","Phantom Alt"),VLOOKUP(F725,ZPCS04!B:G,6,0))</f>
        <v>997</v>
      </c>
      <c r="AU725" s="7"/>
      <c r="AV725" s="38">
        <f ca="1">IF(TRIM($W725)="F",OFFSET($A$5,MATCH($AS725,$AS$5:$AS725,0)-1,0),$A725)</f>
        <v>725</v>
      </c>
      <c r="AW725" s="38">
        <f ca="1">IFERROR(OFFSET(ZPCS04!$A$1,MATCH(F725,ZPCS04!B:B,0)-1,0),100)</f>
        <v>2</v>
      </c>
      <c r="AX725" s="7"/>
      <c r="AY725" s="6" t="b">
        <f>SUMIF(AS:AS,AS725,AP:AP)=100</f>
        <v>1</v>
      </c>
      <c r="AZ725" s="6" t="b">
        <f>SUMIF(AS:AS,AS725,AE:AE)/COUNTIF(AS:AS,AS725)=AE725</f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>C725&amp;" | "&amp;F725</f>
        <v>90MB1BJ0-C1BAY0 | 11203-0002D000</v>
      </c>
      <c r="BE725" s="55" t="str">
        <f ca="1">C725&amp;" | "&amp;OFFSET($AF725,0,8-COUNTBLANK($AG725:$AN725))</f>
        <v>90MB1BJ0-C1BAY0 | 59MB1BJB-MB0A02S</v>
      </c>
      <c r="BF725" s="57">
        <f ca="1">IFERROR(VLOOKUP($BE725,$BD$5:$BF724,3,0)*$AE725,VLOOKUP($C725,Demanda!$A:$B,2,0)*$AE725)*IF(AT725="Phantom Alt",$BC725,TRUE)</f>
        <v>11000</v>
      </c>
      <c r="BG725" s="57">
        <f ca="1">BF725*(AP725/100)</f>
        <v>0</v>
      </c>
      <c r="BH725" s="57">
        <f>SUMIF(Invoice!A:A,F725,Invoice!B:B)</f>
        <v>0</v>
      </c>
      <c r="BI725" s="57">
        <f ca="1">SUMIF(AS:AS,AS725,BG:BG)</f>
        <v>11000</v>
      </c>
      <c r="BJ725" s="57">
        <f ca="1">MIN((BI725-SUMIF($AS$5:AS724,AS725,$BJ$5:BJ724)),MAX(0,BH725-SUMIF($F$5:F724,F725,$BJ$5:BJ724)))</f>
        <v>0</v>
      </c>
      <c r="BK725" s="57">
        <f ca="1">(-SUMIF(AS:AS,AS725,BG:BG)+SUMIF(AS:AS,AS725,BJ:BJ))*(AP725=100)*AR725</f>
        <v>0</v>
      </c>
      <c r="BL725" s="57">
        <f ca="1">MAX(0,SUMIF(Invoice!A:A,F725,Invoice!B:B)-SUMIF(F:F,F725,BJ:BJ))*(COUNTIF(F:F,F725)=COUNTIF($F$5:F725,F725))</f>
        <v>0</v>
      </c>
    </row>
    <row r="726" spans="1:64" hidden="1">
      <c r="A726" s="43">
        <v>726</v>
      </c>
      <c r="B726" s="13" t="s">
        <v>147</v>
      </c>
      <c r="C726" s="13" t="s">
        <v>146</v>
      </c>
      <c r="D726" s="13">
        <v>2</v>
      </c>
      <c r="E726" s="13">
        <v>2350</v>
      </c>
      <c r="F726" s="71" t="s">
        <v>1692</v>
      </c>
      <c r="G726" s="71" t="s">
        <v>1693</v>
      </c>
      <c r="H726" s="13" t="s">
        <v>1689</v>
      </c>
      <c r="I726" s="13" t="s">
        <v>54</v>
      </c>
      <c r="J726" s="28">
        <v>100</v>
      </c>
      <c r="K726" s="13" t="s">
        <v>1428</v>
      </c>
      <c r="L726" s="13" t="s">
        <v>53</v>
      </c>
      <c r="M726" s="13">
        <v>11</v>
      </c>
      <c r="N726" s="13">
        <v>11</v>
      </c>
      <c r="O726" s="13">
        <v>1</v>
      </c>
      <c r="P726" s="13">
        <v>2</v>
      </c>
      <c r="Q726" s="13">
        <v>1</v>
      </c>
      <c r="R726" s="13" t="s">
        <v>122</v>
      </c>
      <c r="S726" s="13" t="s">
        <v>122</v>
      </c>
      <c r="T726" s="13">
        <v>44901</v>
      </c>
      <c r="U726" s="13">
        <v>2958465</v>
      </c>
      <c r="V726" s="13" t="s">
        <v>282</v>
      </c>
      <c r="W726" s="13" t="s">
        <v>145</v>
      </c>
      <c r="Y726" s="13" t="s">
        <v>143</v>
      </c>
      <c r="Z726" s="13">
        <v>7589154</v>
      </c>
      <c r="AA726" s="13">
        <v>1336</v>
      </c>
      <c r="AB726" s="13">
        <v>668</v>
      </c>
      <c r="AE726" s="51">
        <f>M726/O726</f>
        <v>11</v>
      </c>
      <c r="AG726" s="6" t="str">
        <f>C726</f>
        <v>90MB1BJ0-C1BAY0</v>
      </c>
      <c r="AH726" s="6" t="str">
        <f>IF($D726&lt;=AH$4,"",IF(AND($D725=AH$4,$D726&gt;AH$4),$F725,AH725))</f>
        <v>59MB1BJB-MB0A02S</v>
      </c>
      <c r="AI726" s="6" t="str">
        <f>IF($D726&lt;=AI$4,"",IF(AND($D725=AI$4,$D726&gt;AI$4),$F725,AI725))</f>
        <v/>
      </c>
      <c r="AJ726" s="6" t="str">
        <f>IF($D726&lt;=AJ$4,"",IF(AND($D725=AJ$4,$D726&gt;AJ$4),$F725,AJ725))</f>
        <v/>
      </c>
      <c r="AK726" s="6" t="str">
        <f>IF($D726&lt;=AK$4,"",IF(AND($D725=AK$4,$D726&gt;AK$4),$F725,AK725))</f>
        <v/>
      </c>
      <c r="AL726" s="6" t="str">
        <f>IF($D726&lt;=AL$4,"",IF(AND($D725=AL$4,$D726&gt;AL$4),$F725,AL725))</f>
        <v/>
      </c>
      <c r="AM726" s="6" t="str">
        <f>IF($D726&lt;=AM$4,"",IF(AND($D725=AM$4,$D726&gt;AM$4),$F725,AM725))</f>
        <v/>
      </c>
      <c r="AN726" s="6" t="str">
        <f>IF($D726&lt;=AN$4,"",IF(AND($D725=AN$4,$D726&gt;AN$4),$F725,AN725))</f>
        <v/>
      </c>
      <c r="AO726" s="6" t="str">
        <f>CONCATENATE(AG726," | ",AH726," | ",AI726," | ",AJ726," | ",AK726," | ",AL726," | ",AM726," | ",AN726)</f>
        <v xml:space="preserve">90MB1BJ0-C1BAY0 | 59MB1BJB-MB0A02S |  |  |  |  |  | </v>
      </c>
      <c r="AP726" s="6">
        <f>IF(TRIM(H726)="",100,J726)</f>
        <v>100</v>
      </c>
      <c r="AQ726" s="4"/>
      <c r="AR726" s="6" t="b">
        <f>NOT(TRIM(W726)&lt;&gt;"F")</f>
        <v>1</v>
      </c>
      <c r="AS726" s="6" t="str">
        <f>$B726&amp;" | "&amp;$AO726&amp;" | "&amp;IF(TRIM(H726)="","uniq"&amp;ROW(),TRIM(H726))</f>
        <v>461E | 90MB1BJ0-C1BAY0 | 59MB1BJB-MB0A02S |  |  |  |  |  |  | N5</v>
      </c>
      <c r="AT726" s="63">
        <f>IF(NOT(AR726),IF(TRIM($H726)="","Assembly","Phantom Alt"),VLOOKUP(F726,ZPCS04!B:G,6,0))</f>
        <v>997</v>
      </c>
      <c r="AU726" s="7"/>
      <c r="AV726" s="38">
        <f ca="1">IF(TRIM($W726)="F",OFFSET($A$5,MATCH($AS726,$AS$5:$AS726,0)-1,0),$A726)</f>
        <v>725</v>
      </c>
      <c r="AW726" s="38">
        <f ca="1">IFERROR(OFFSET(ZPCS04!$A$1,MATCH(F726,ZPCS04!B:B,0)-1,0),100)</f>
        <v>2</v>
      </c>
      <c r="AX726" s="7"/>
      <c r="AY726" s="6" t="b">
        <f>SUMIF(AS:AS,AS726,AP:AP)=100</f>
        <v>1</v>
      </c>
      <c r="AZ726" s="6" t="b">
        <f>SUMIF(AS:AS,AS726,AE:AE)/COUNTIF(AS:AS,AS726)=AE726</f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>C726&amp;" | "&amp;F726</f>
        <v>90MB1BJ0-C1BAY0 | 11G232222526320</v>
      </c>
      <c r="BE726" s="55" t="str">
        <f ca="1">C726&amp;" | "&amp;OFFSET($AF726,0,8-COUNTBLANK($AG726:$AN726))</f>
        <v>90MB1BJ0-C1BAY0 | 59MB1BJB-MB0A02S</v>
      </c>
      <c r="BF726" s="57">
        <f ca="1">IFERROR(VLOOKUP($BE726,$BD$5:$BF725,3,0)*$AE726,VLOOKUP($C726,Demanda!$A:$B,2,0)*$AE726)*IF(AT726="Phantom Alt",$BC726,TRUE)</f>
        <v>11000</v>
      </c>
      <c r="BG726" s="57">
        <f ca="1">BF726*(AP726/100)</f>
        <v>11000</v>
      </c>
      <c r="BH726" s="57">
        <f>SUMIF(Invoice!A:A,F726,Invoice!B:B)</f>
        <v>0</v>
      </c>
      <c r="BI726" s="57">
        <f ca="1">SUMIF(AS:AS,AS726,BG:BG)</f>
        <v>11000</v>
      </c>
      <c r="BJ726" s="57">
        <f ca="1">MIN((BI726-SUMIF($AS$5:AS725,AS726,$BJ$5:BJ725)),MAX(0,BH726-SUMIF($F$5:F725,F726,$BJ$5:BJ725)))</f>
        <v>0</v>
      </c>
      <c r="BK726" s="57">
        <f ca="1">(-SUMIF(AS:AS,AS726,BG:BG)+SUMIF(AS:AS,AS726,BJ:BJ))*(AP726=100)*AR726</f>
        <v>0</v>
      </c>
      <c r="BL726" s="57">
        <f ca="1">MAX(0,SUMIF(Invoice!A:A,F726,Invoice!B:B)-SUMIF(F:F,F726,BJ:BJ))*(COUNTIF(F:F,F726)=COUNTIF($F$5:F726,F726))</f>
        <v>0</v>
      </c>
    </row>
    <row r="727" spans="1:64" hidden="1">
      <c r="A727" s="43">
        <v>727</v>
      </c>
      <c r="B727" s="13" t="s">
        <v>147</v>
      </c>
      <c r="C727" s="13" t="s">
        <v>146</v>
      </c>
      <c r="D727" s="13">
        <v>2</v>
      </c>
      <c r="E727" s="13">
        <v>2350</v>
      </c>
      <c r="F727" s="71" t="s">
        <v>1694</v>
      </c>
      <c r="G727" s="71" t="s">
        <v>1695</v>
      </c>
      <c r="H727" s="13" t="s">
        <v>1689</v>
      </c>
      <c r="I727" s="13" t="s">
        <v>55</v>
      </c>
      <c r="J727" s="28">
        <v>0</v>
      </c>
      <c r="K727" s="13" t="s">
        <v>1428</v>
      </c>
      <c r="L727" s="13" t="s">
        <v>53</v>
      </c>
      <c r="M727" s="13">
        <v>11</v>
      </c>
      <c r="O727" s="13">
        <v>1</v>
      </c>
      <c r="P727" s="13">
        <v>2</v>
      </c>
      <c r="Q727" s="13">
        <v>4</v>
      </c>
      <c r="R727" s="13" t="s">
        <v>122</v>
      </c>
      <c r="S727" s="13" t="s">
        <v>122</v>
      </c>
      <c r="T727" s="13">
        <v>44901</v>
      </c>
      <c r="U727" s="13">
        <v>2958465</v>
      </c>
      <c r="V727" s="13" t="s">
        <v>282</v>
      </c>
      <c r="W727" s="13" t="s">
        <v>145</v>
      </c>
      <c r="Y727" s="13" t="s">
        <v>143</v>
      </c>
      <c r="Z727" s="13">
        <v>7589154</v>
      </c>
      <c r="AA727" s="13">
        <v>1342</v>
      </c>
      <c r="AB727" s="13">
        <v>671</v>
      </c>
      <c r="AE727" s="51">
        <f>M727/O727</f>
        <v>11</v>
      </c>
      <c r="AG727" s="6" t="str">
        <f>C727</f>
        <v>90MB1BJ0-C1BAY0</v>
      </c>
      <c r="AH727" s="6" t="str">
        <f>IF($D727&lt;=AH$4,"",IF(AND($D726=AH$4,$D727&gt;AH$4),$F726,AH726))</f>
        <v>59MB1BJB-MB0A02S</v>
      </c>
      <c r="AI727" s="6" t="str">
        <f>IF($D727&lt;=AI$4,"",IF(AND($D726=AI$4,$D727&gt;AI$4),$F726,AI726))</f>
        <v/>
      </c>
      <c r="AJ727" s="6" t="str">
        <f>IF($D727&lt;=AJ$4,"",IF(AND($D726=AJ$4,$D727&gt;AJ$4),$F726,AJ726))</f>
        <v/>
      </c>
      <c r="AK727" s="6" t="str">
        <f>IF($D727&lt;=AK$4,"",IF(AND($D726=AK$4,$D727&gt;AK$4),$F726,AK726))</f>
        <v/>
      </c>
      <c r="AL727" s="6" t="str">
        <f>IF($D727&lt;=AL$4,"",IF(AND($D726=AL$4,$D727&gt;AL$4),$F726,AL726))</f>
        <v/>
      </c>
      <c r="AM727" s="6" t="str">
        <f>IF($D727&lt;=AM$4,"",IF(AND($D726=AM$4,$D727&gt;AM$4),$F726,AM726))</f>
        <v/>
      </c>
      <c r="AN727" s="6" t="str">
        <f>IF($D727&lt;=AN$4,"",IF(AND($D726=AN$4,$D727&gt;AN$4),$F726,AN726))</f>
        <v/>
      </c>
      <c r="AO727" s="6" t="str">
        <f>CONCATENATE(AG727," | ",AH727," | ",AI727," | ",AJ727," | ",AK727," | ",AL727," | ",AM727," | ",AN727)</f>
        <v xml:space="preserve">90MB1BJ0-C1BAY0 | 59MB1BJB-MB0A02S |  |  |  |  |  | </v>
      </c>
      <c r="AP727" s="6">
        <f>IF(TRIM(H727)="",100,J727)</f>
        <v>0</v>
      </c>
      <c r="AQ727" s="4"/>
      <c r="AR727" s="6" t="b">
        <f>NOT(TRIM(W727)&lt;&gt;"F")</f>
        <v>1</v>
      </c>
      <c r="AS727" s="6" t="str">
        <f>$B727&amp;" | "&amp;$AO727&amp;" | "&amp;IF(TRIM(H727)="","uniq"&amp;ROW(),TRIM(H727))</f>
        <v>461E | 90MB1BJ0-C1BAY0 | 59MB1BJB-MB0A02S |  |  |  |  |  |  | N5</v>
      </c>
      <c r="AT727" s="63">
        <f>IF(NOT(AR727),IF(TRIM($H727)="","Assembly","Phantom Alt"),VLOOKUP(F727,ZPCS04!B:G,6,0))</f>
        <v>997</v>
      </c>
      <c r="AU727" s="7"/>
      <c r="AV727" s="38">
        <f ca="1">IF(TRIM($W727)="F",OFFSET($A$5,MATCH($AS727,$AS$5:$AS727,0)-1,0),$A727)</f>
        <v>725</v>
      </c>
      <c r="AW727" s="38">
        <f ca="1">IFERROR(OFFSET(ZPCS04!$A$1,MATCH(F727,ZPCS04!B:B,0)-1,0),100)</f>
        <v>2</v>
      </c>
      <c r="AX727" s="7"/>
      <c r="AY727" s="6" t="b">
        <f>SUMIF(AS:AS,AS727,AP:AP)=100</f>
        <v>1</v>
      </c>
      <c r="AZ727" s="6" t="b">
        <f>SUMIF(AS:AS,AS727,AE:AE)/COUNTIF(AS:AS,AS727)=AE727</f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>C727&amp;" | "&amp;F727</f>
        <v>90MB1BJ0-C1BAY0 | 11G232222526360</v>
      </c>
      <c r="BE727" s="55" t="str">
        <f ca="1">C727&amp;" | "&amp;OFFSET($AF727,0,8-COUNTBLANK($AG727:$AN727))</f>
        <v>90MB1BJ0-C1BAY0 | 59MB1BJB-MB0A02S</v>
      </c>
      <c r="BF727" s="57">
        <f ca="1">IFERROR(VLOOKUP($BE727,$BD$5:$BF726,3,0)*$AE727,VLOOKUP($C727,Demanda!$A:$B,2,0)*$AE727)*IF(AT727="Phantom Alt",$BC727,TRUE)</f>
        <v>11000</v>
      </c>
      <c r="BG727" s="57">
        <f ca="1">BF727*(AP727/100)</f>
        <v>0</v>
      </c>
      <c r="BH727" s="57">
        <f>SUMIF(Invoice!A:A,F727,Invoice!B:B)</f>
        <v>0</v>
      </c>
      <c r="BI727" s="57">
        <f ca="1">SUMIF(AS:AS,AS727,BG:BG)</f>
        <v>11000</v>
      </c>
      <c r="BJ727" s="57">
        <f ca="1">MIN((BI727-SUMIF($AS$5:AS726,AS727,$BJ$5:BJ726)),MAX(0,BH727-SUMIF($F$5:F726,F727,$BJ$5:BJ726)))</f>
        <v>0</v>
      </c>
      <c r="BK727" s="57">
        <f ca="1">(-SUMIF(AS:AS,AS727,BG:BG)+SUMIF(AS:AS,AS727,BJ:BJ))*(AP727=100)*AR727</f>
        <v>0</v>
      </c>
      <c r="BL727" s="57">
        <f ca="1">MAX(0,SUMIF(Invoice!A:A,F727,Invoice!B:B)-SUMIF(F:F,F727,BJ:BJ))*(COUNTIF(F:F,F727)=COUNTIF($F$5:F727,F727))</f>
        <v>0</v>
      </c>
    </row>
    <row r="728" spans="1:64" hidden="1">
      <c r="A728" s="43">
        <v>730</v>
      </c>
      <c r="B728" s="13" t="s">
        <v>147</v>
      </c>
      <c r="C728" s="13" t="s">
        <v>146</v>
      </c>
      <c r="D728" s="13">
        <v>2</v>
      </c>
      <c r="E728" s="13">
        <v>2360</v>
      </c>
      <c r="F728" s="71" t="s">
        <v>1701</v>
      </c>
      <c r="G728" s="71" t="s">
        <v>1702</v>
      </c>
      <c r="H728" s="13" t="s">
        <v>1698</v>
      </c>
      <c r="I728" s="13" t="s">
        <v>54</v>
      </c>
      <c r="J728" s="28">
        <v>100</v>
      </c>
      <c r="K728" s="13" t="s">
        <v>150</v>
      </c>
      <c r="L728" s="13" t="s">
        <v>53</v>
      </c>
      <c r="M728" s="13">
        <v>36</v>
      </c>
      <c r="N728" s="13">
        <v>36</v>
      </c>
      <c r="O728" s="13">
        <v>1</v>
      </c>
      <c r="P728" s="13">
        <v>2</v>
      </c>
      <c r="Q728" s="13">
        <v>1</v>
      </c>
      <c r="R728" s="13" t="s">
        <v>73</v>
      </c>
      <c r="S728" s="13" t="s">
        <v>73</v>
      </c>
      <c r="T728" s="13">
        <v>44901</v>
      </c>
      <c r="U728" s="13">
        <v>2958465</v>
      </c>
      <c r="V728" s="13" t="s">
        <v>282</v>
      </c>
      <c r="W728" s="13" t="s">
        <v>145</v>
      </c>
      <c r="Y728" s="13" t="s">
        <v>143</v>
      </c>
      <c r="Z728" s="13">
        <v>7589154</v>
      </c>
      <c r="AA728" s="13">
        <v>1344</v>
      </c>
      <c r="AB728" s="13">
        <v>672</v>
      </c>
      <c r="AE728" s="51">
        <f>M728/O728</f>
        <v>36</v>
      </c>
      <c r="AG728" s="6" t="str">
        <f>C728</f>
        <v>90MB1BJ0-C1BAY0</v>
      </c>
      <c r="AH728" s="6" t="str">
        <f>IF($D728&lt;=AH$4,"",IF(AND($D727=AH$4,$D728&gt;AH$4),$F727,AH727))</f>
        <v>59MB1BJB-MB0A02S</v>
      </c>
      <c r="AI728" s="6" t="str">
        <f>IF($D728&lt;=AI$4,"",IF(AND($D727=AI$4,$D728&gt;AI$4),$F727,AI727))</f>
        <v/>
      </c>
      <c r="AJ728" s="6" t="str">
        <f>IF($D728&lt;=AJ$4,"",IF(AND($D727=AJ$4,$D728&gt;AJ$4),$F727,AJ727))</f>
        <v/>
      </c>
      <c r="AK728" s="6" t="str">
        <f>IF($D728&lt;=AK$4,"",IF(AND($D727=AK$4,$D728&gt;AK$4),$F727,AK727))</f>
        <v/>
      </c>
      <c r="AL728" s="6" t="str">
        <f>IF($D728&lt;=AL$4,"",IF(AND($D727=AL$4,$D728&gt;AL$4),$F727,AL727))</f>
        <v/>
      </c>
      <c r="AM728" s="6" t="str">
        <f>IF($D728&lt;=AM$4,"",IF(AND($D727=AM$4,$D728&gt;AM$4),$F727,AM727))</f>
        <v/>
      </c>
      <c r="AN728" s="6" t="str">
        <f>IF($D728&lt;=AN$4,"",IF(AND($D727=AN$4,$D728&gt;AN$4),$F727,AN727))</f>
        <v/>
      </c>
      <c r="AO728" s="6" t="str">
        <f>CONCATENATE(AG728," | ",AH728," | ",AI728," | ",AJ728," | ",AK728," | ",AL728," | ",AM728," | ",AN728)</f>
        <v xml:space="preserve">90MB1BJ0-C1BAY0 | 59MB1BJB-MB0A02S |  |  |  |  |  | </v>
      </c>
      <c r="AP728" s="6">
        <f>IF(TRIM(H728)="",100,J728)</f>
        <v>100</v>
      </c>
      <c r="AQ728" s="4"/>
      <c r="AR728" s="6" t="b">
        <f>NOT(TRIM(W728)&lt;&gt;"F")</f>
        <v>1</v>
      </c>
      <c r="AS728" s="6" t="str">
        <f>$B728&amp;" | "&amp;$AO728&amp;" | "&amp;IF(TRIM(H728)="","uniq"&amp;ROW(),TRIM(H728))</f>
        <v>461E | 90MB1BJ0-C1BAY0 | 59MB1BJB-MB0A02S |  |  |  |  |  |  | N6</v>
      </c>
      <c r="AT728" s="63">
        <f>IF(NOT(AR728),IF(TRIM($H728)="","Assembly","Phantom Alt"),VLOOKUP(F728,ZPCS04!B:G,6,0))</f>
        <v>998</v>
      </c>
      <c r="AU728" s="7"/>
      <c r="AV728" s="38">
        <f ca="1">IF(TRIM($W728)="F",OFFSET($A$5,MATCH($AS728,$AS$5:$AS728,0)-1,0),$A728)</f>
        <v>730</v>
      </c>
      <c r="AW728" s="38">
        <f ca="1">IFERROR(OFFSET(ZPCS04!$A$1,MATCH(F728,ZPCS04!B:B,0)-1,0),100)</f>
        <v>1.9999996</v>
      </c>
      <c r="AX728" s="7"/>
      <c r="AY728" s="6" t="b">
        <f>SUMIF(AS:AS,AS728,AP:AP)=100</f>
        <v>1</v>
      </c>
      <c r="AZ728" s="6" t="b">
        <f>SUMIF(AS:AS,AS728,AE:AE)/COUNTIF(AS:AS,AS728)=AE728</f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>C728&amp;" | "&amp;F728</f>
        <v>90MB1BJ0-C1BAY0 | 11G232233415390</v>
      </c>
      <c r="BE728" s="55" t="str">
        <f ca="1">C728&amp;" | "&amp;OFFSET($AF728,0,8-COUNTBLANK($AG728:$AN728))</f>
        <v>90MB1BJ0-C1BAY0 | 59MB1BJB-MB0A02S</v>
      </c>
      <c r="BF728" s="57">
        <f ca="1">IFERROR(VLOOKUP($BE728,$BD$5:$BF727,3,0)*$AE728,VLOOKUP($C728,Demanda!$A:$B,2,0)*$AE728)*IF(AT728="Phantom Alt",$BC728,TRUE)</f>
        <v>36000</v>
      </c>
      <c r="BG728" s="57">
        <f ca="1">BF728*(AP728/100)</f>
        <v>36000</v>
      </c>
      <c r="BH728" s="57">
        <f>SUMIF(Invoice!A:A,F728,Invoice!B:B)</f>
        <v>40000</v>
      </c>
      <c r="BI728" s="57">
        <f ca="1">SUMIF(AS:AS,AS728,BG:BG)</f>
        <v>36000</v>
      </c>
      <c r="BJ728" s="57">
        <f ca="1">MIN((BI728-SUMIF($AS$5:AS727,AS728,$BJ$5:BJ727)),MAX(0,BH728-SUMIF($F$5:F727,F728,$BJ$5:BJ727)))</f>
        <v>36000</v>
      </c>
      <c r="BK728" s="57">
        <f ca="1">(-SUMIF(AS:AS,AS728,BG:BG)+SUMIF(AS:AS,AS728,BJ:BJ))*(AP728=100)*AR728</f>
        <v>0</v>
      </c>
      <c r="BL728" s="57">
        <f ca="1">MAX(0,SUMIF(Invoice!A:A,F728,Invoice!B:B)-SUMIF(F:F,F728,BJ:BJ))*(COUNTIF(F:F,F728)=COUNTIF($F$5:F728,F728))</f>
        <v>4000</v>
      </c>
    </row>
    <row r="729" spans="1:64" hidden="1">
      <c r="A729" s="43">
        <v>728</v>
      </c>
      <c r="B729" s="13" t="s">
        <v>147</v>
      </c>
      <c r="C729" s="13" t="s">
        <v>146</v>
      </c>
      <c r="D729" s="13">
        <v>2</v>
      </c>
      <c r="E729" s="13">
        <v>2360</v>
      </c>
      <c r="F729" s="71" t="s">
        <v>1696</v>
      </c>
      <c r="G729" s="71" t="s">
        <v>1697</v>
      </c>
      <c r="H729" s="13" t="s">
        <v>1698</v>
      </c>
      <c r="I729" s="13" t="s">
        <v>55</v>
      </c>
      <c r="J729" s="28">
        <v>0</v>
      </c>
      <c r="K729" s="13" t="s">
        <v>150</v>
      </c>
      <c r="L729" s="13" t="s">
        <v>53</v>
      </c>
      <c r="M729" s="13">
        <v>36</v>
      </c>
      <c r="O729" s="13">
        <v>1</v>
      </c>
      <c r="P729" s="13">
        <v>2</v>
      </c>
      <c r="Q729" s="13">
        <v>3</v>
      </c>
      <c r="R729" s="13" t="s">
        <v>73</v>
      </c>
      <c r="S729" s="13" t="s">
        <v>73</v>
      </c>
      <c r="T729" s="13">
        <v>44901</v>
      </c>
      <c r="U729" s="13">
        <v>2958465</v>
      </c>
      <c r="V729" s="13" t="s">
        <v>282</v>
      </c>
      <c r="W729" s="13" t="s">
        <v>145</v>
      </c>
      <c r="Y729" s="13" t="s">
        <v>143</v>
      </c>
      <c r="Z729" s="13">
        <v>7589154</v>
      </c>
      <c r="AA729" s="13">
        <v>1348</v>
      </c>
      <c r="AB729" s="13">
        <v>674</v>
      </c>
      <c r="AE729" s="51">
        <f>M729/O729</f>
        <v>36</v>
      </c>
      <c r="AG729" s="6" t="str">
        <f>C729</f>
        <v>90MB1BJ0-C1BAY0</v>
      </c>
      <c r="AH729" s="6" t="str">
        <f>IF($D729&lt;=AH$4,"",IF(AND($D728=AH$4,$D729&gt;AH$4),$F728,AH728))</f>
        <v>59MB1BJB-MB0A02S</v>
      </c>
      <c r="AI729" s="6" t="str">
        <f>IF($D729&lt;=AI$4,"",IF(AND($D728=AI$4,$D729&gt;AI$4),$F728,AI728))</f>
        <v/>
      </c>
      <c r="AJ729" s="6" t="str">
        <f>IF($D729&lt;=AJ$4,"",IF(AND($D728=AJ$4,$D729&gt;AJ$4),$F728,AJ728))</f>
        <v/>
      </c>
      <c r="AK729" s="6" t="str">
        <f>IF($D729&lt;=AK$4,"",IF(AND($D728=AK$4,$D729&gt;AK$4),$F728,AK728))</f>
        <v/>
      </c>
      <c r="AL729" s="6" t="str">
        <f>IF($D729&lt;=AL$4,"",IF(AND($D728=AL$4,$D729&gt;AL$4),$F728,AL728))</f>
        <v/>
      </c>
      <c r="AM729" s="6" t="str">
        <f>IF($D729&lt;=AM$4,"",IF(AND($D728=AM$4,$D729&gt;AM$4),$F728,AM728))</f>
        <v/>
      </c>
      <c r="AN729" s="6" t="str">
        <f>IF($D729&lt;=AN$4,"",IF(AND($D728=AN$4,$D729&gt;AN$4),$F728,AN728))</f>
        <v/>
      </c>
      <c r="AO729" s="6" t="str">
        <f>CONCATENATE(AG729," | ",AH729," | ",AI729," | ",AJ729," | ",AK729," | ",AL729," | ",AM729," | ",AN729)</f>
        <v xml:space="preserve">90MB1BJ0-C1BAY0 | 59MB1BJB-MB0A02S |  |  |  |  |  | </v>
      </c>
      <c r="AP729" s="6">
        <f>IF(TRIM(H729)="",100,J729)</f>
        <v>0</v>
      </c>
      <c r="AQ729" s="4"/>
      <c r="AR729" s="6" t="b">
        <f>NOT(TRIM(W729)&lt;&gt;"F")</f>
        <v>1</v>
      </c>
      <c r="AS729" s="6" t="str">
        <f>$B729&amp;" | "&amp;$AO729&amp;" | "&amp;IF(TRIM(H729)="","uniq"&amp;ROW(),TRIM(H729))</f>
        <v>461E | 90MB1BJ0-C1BAY0 | 59MB1BJB-MB0A02S |  |  |  |  |  |  | N6</v>
      </c>
      <c r="AT729" s="63">
        <f>IF(NOT(AR729),IF(TRIM($H729)="","Assembly","Phantom Alt"),VLOOKUP(F729,ZPCS04!B:G,6,0))</f>
        <v>998</v>
      </c>
      <c r="AU729" s="7"/>
      <c r="AV729" s="38">
        <f ca="1">IF(TRIM($W729)="F",OFFSET($A$5,MATCH($AS729,$AS$5:$AS729,0)-1,0),$A729)</f>
        <v>730</v>
      </c>
      <c r="AW729" s="38">
        <f ca="1">IFERROR(OFFSET(ZPCS04!$A$1,MATCH(F729,ZPCS04!B:B,0)-1,0),100)</f>
        <v>2</v>
      </c>
      <c r="AX729" s="7"/>
      <c r="AY729" s="6" t="b">
        <f>SUMIF(AS:AS,AS729,AP:AP)=100</f>
        <v>1</v>
      </c>
      <c r="AZ729" s="6" t="b">
        <f>SUMIF(AS:AS,AS729,AE:AE)/COUNTIF(AS:AS,AS729)=AE729</f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>C729&amp;" | "&amp;F729</f>
        <v>90MB1BJ0-C1BAY0 | 11203-01827000</v>
      </c>
      <c r="BE729" s="55" t="str">
        <f ca="1">C729&amp;" | "&amp;OFFSET($AF729,0,8-COUNTBLANK($AG729:$AN729))</f>
        <v>90MB1BJ0-C1BAY0 | 59MB1BJB-MB0A02S</v>
      </c>
      <c r="BF729" s="57">
        <f ca="1">IFERROR(VLOOKUP($BE729,$BD$5:$BF728,3,0)*$AE729,VLOOKUP($C729,Demanda!$A:$B,2,0)*$AE729)*IF(AT729="Phantom Alt",$BC729,TRUE)</f>
        <v>36000</v>
      </c>
      <c r="BG729" s="57">
        <f ca="1">BF729*(AP729/100)</f>
        <v>0</v>
      </c>
      <c r="BH729" s="57">
        <f>SUMIF(Invoice!A:A,F729,Invoice!B:B)</f>
        <v>0</v>
      </c>
      <c r="BI729" s="57">
        <f ca="1">SUMIF(AS:AS,AS729,BG:BG)</f>
        <v>36000</v>
      </c>
      <c r="BJ729" s="57">
        <f ca="1">MIN((BI729-SUMIF($AS$5:AS728,AS729,$BJ$5:BJ728)),MAX(0,BH729-SUMIF($F$5:F728,F729,$BJ$5:BJ728)))</f>
        <v>0</v>
      </c>
      <c r="BK729" s="57">
        <f ca="1">(-SUMIF(AS:AS,AS729,BG:BG)+SUMIF(AS:AS,AS729,BJ:BJ))*(AP729=100)*AR729</f>
        <v>0</v>
      </c>
      <c r="BL729" s="57">
        <f ca="1">MAX(0,SUMIF(Invoice!A:A,F729,Invoice!B:B)-SUMIF(F:F,F729,BJ:BJ))*(COUNTIF(F:F,F729)=COUNTIF($F$5:F729,F729))</f>
        <v>0</v>
      </c>
    </row>
    <row r="730" spans="1:64" hidden="1">
      <c r="A730" s="43">
        <v>729</v>
      </c>
      <c r="B730" s="13" t="s">
        <v>147</v>
      </c>
      <c r="C730" s="13" t="s">
        <v>146</v>
      </c>
      <c r="D730" s="13">
        <v>2</v>
      </c>
      <c r="E730" s="13">
        <v>2360</v>
      </c>
      <c r="F730" s="71" t="s">
        <v>1699</v>
      </c>
      <c r="G730" s="71" t="s">
        <v>1700</v>
      </c>
      <c r="H730" s="13" t="s">
        <v>1698</v>
      </c>
      <c r="I730" s="13" t="s">
        <v>55</v>
      </c>
      <c r="J730" s="28">
        <v>0</v>
      </c>
      <c r="K730" s="13" t="s">
        <v>150</v>
      </c>
      <c r="L730" s="13" t="s">
        <v>53</v>
      </c>
      <c r="M730" s="13">
        <v>36</v>
      </c>
      <c r="O730" s="13">
        <v>1</v>
      </c>
      <c r="P730" s="13">
        <v>2</v>
      </c>
      <c r="Q730" s="13">
        <v>2</v>
      </c>
      <c r="R730" s="13" t="s">
        <v>73</v>
      </c>
      <c r="S730" s="13" t="s">
        <v>73</v>
      </c>
      <c r="T730" s="13">
        <v>44901</v>
      </c>
      <c r="U730" s="13">
        <v>2958465</v>
      </c>
      <c r="V730" s="13" t="s">
        <v>282</v>
      </c>
      <c r="W730" s="13" t="s">
        <v>145</v>
      </c>
      <c r="Y730" s="13" t="s">
        <v>143</v>
      </c>
      <c r="Z730" s="13">
        <v>7589154</v>
      </c>
      <c r="AA730" s="13">
        <v>1346</v>
      </c>
      <c r="AB730" s="13">
        <v>673</v>
      </c>
      <c r="AE730" s="51">
        <f>M730/O730</f>
        <v>36</v>
      </c>
      <c r="AG730" s="6" t="str">
        <f>C730</f>
        <v>90MB1BJ0-C1BAY0</v>
      </c>
      <c r="AH730" s="6" t="str">
        <f>IF($D730&lt;=AH$4,"",IF(AND($D729=AH$4,$D730&gt;AH$4),$F729,AH729))</f>
        <v>59MB1BJB-MB0A02S</v>
      </c>
      <c r="AI730" s="6" t="str">
        <f>IF($D730&lt;=AI$4,"",IF(AND($D729=AI$4,$D730&gt;AI$4),$F729,AI729))</f>
        <v/>
      </c>
      <c r="AJ730" s="6" t="str">
        <f>IF($D730&lt;=AJ$4,"",IF(AND($D729=AJ$4,$D730&gt;AJ$4),$F729,AJ729))</f>
        <v/>
      </c>
      <c r="AK730" s="6" t="str">
        <f>IF($D730&lt;=AK$4,"",IF(AND($D729=AK$4,$D730&gt;AK$4),$F729,AK729))</f>
        <v/>
      </c>
      <c r="AL730" s="6" t="str">
        <f>IF($D730&lt;=AL$4,"",IF(AND($D729=AL$4,$D730&gt;AL$4),$F729,AL729))</f>
        <v/>
      </c>
      <c r="AM730" s="6" t="str">
        <f>IF($D730&lt;=AM$4,"",IF(AND($D729=AM$4,$D730&gt;AM$4),$F729,AM729))</f>
        <v/>
      </c>
      <c r="AN730" s="6" t="str">
        <f>IF($D730&lt;=AN$4,"",IF(AND($D729=AN$4,$D730&gt;AN$4),$F729,AN729))</f>
        <v/>
      </c>
      <c r="AO730" s="6" t="str">
        <f>CONCATENATE(AG730," | ",AH730," | ",AI730," | ",AJ730," | ",AK730," | ",AL730," | ",AM730," | ",AN730)</f>
        <v xml:space="preserve">90MB1BJ0-C1BAY0 | 59MB1BJB-MB0A02S |  |  |  |  |  | </v>
      </c>
      <c r="AP730" s="6">
        <f>IF(TRIM(H730)="",100,J730)</f>
        <v>0</v>
      </c>
      <c r="AQ730" s="4"/>
      <c r="AR730" s="6" t="b">
        <f>NOT(TRIM(W730)&lt;&gt;"F")</f>
        <v>1</v>
      </c>
      <c r="AS730" s="6" t="str">
        <f>$B730&amp;" | "&amp;$AO730&amp;" | "&amp;IF(TRIM(H730)="","uniq"&amp;ROW(),TRIM(H730))</f>
        <v>461E | 90MB1BJ0-C1BAY0 | 59MB1BJB-MB0A02S |  |  |  |  |  |  | N6</v>
      </c>
      <c r="AT730" s="63">
        <f>IF(NOT(AR730),IF(TRIM($H730)="","Assembly","Phantom Alt"),VLOOKUP(F730,ZPCS04!B:G,6,0))</f>
        <v>998</v>
      </c>
      <c r="AU730" s="7"/>
      <c r="AV730" s="38">
        <f ca="1">IF(TRIM($W730)="F",OFFSET($A$5,MATCH($AS730,$AS$5:$AS730,0)-1,0),$A730)</f>
        <v>730</v>
      </c>
      <c r="AW730" s="38">
        <f ca="1">IFERROR(OFFSET(ZPCS04!$A$1,MATCH(F730,ZPCS04!B:B,0)-1,0),100)</f>
        <v>2</v>
      </c>
      <c r="AX730" s="7"/>
      <c r="AY730" s="6" t="b">
        <f>SUMIF(AS:AS,AS730,AP:AP)=100</f>
        <v>1</v>
      </c>
      <c r="AZ730" s="6" t="b">
        <f>SUMIF(AS:AS,AS730,AE:AE)/COUNTIF(AS:AS,AS730)=AE730</f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>C730&amp;" | "&amp;F730</f>
        <v>90MB1BJ0-C1BAY0 | 11G232233415320</v>
      </c>
      <c r="BE730" s="55" t="str">
        <f ca="1">C730&amp;" | "&amp;OFFSET($AF730,0,8-COUNTBLANK($AG730:$AN730))</f>
        <v>90MB1BJ0-C1BAY0 | 59MB1BJB-MB0A02S</v>
      </c>
      <c r="BF730" s="57">
        <f ca="1">IFERROR(VLOOKUP($BE730,$BD$5:$BF729,3,0)*$AE730,VLOOKUP($C730,Demanda!$A:$B,2,0)*$AE730)*IF(AT730="Phantom Alt",$BC730,TRUE)</f>
        <v>36000</v>
      </c>
      <c r="BG730" s="57">
        <f ca="1">BF730*(AP730/100)</f>
        <v>0</v>
      </c>
      <c r="BH730" s="57">
        <f>SUMIF(Invoice!A:A,F730,Invoice!B:B)</f>
        <v>0</v>
      </c>
      <c r="BI730" s="57">
        <f ca="1">SUMIF(AS:AS,AS730,BG:BG)</f>
        <v>36000</v>
      </c>
      <c r="BJ730" s="57">
        <f ca="1">MIN((BI730-SUMIF($AS$5:AS729,AS730,$BJ$5:BJ729)),MAX(0,BH730-SUMIF($F$5:F729,F730,$BJ$5:BJ729)))</f>
        <v>0</v>
      </c>
      <c r="BK730" s="57">
        <f ca="1">(-SUMIF(AS:AS,AS730,BG:BG)+SUMIF(AS:AS,AS730,BJ:BJ))*(AP730=100)*AR730</f>
        <v>0</v>
      </c>
      <c r="BL730" s="57">
        <f ca="1">MAX(0,SUMIF(Invoice!A:A,F730,Invoice!B:B)-SUMIF(F:F,F730,BJ:BJ))*(COUNTIF(F:F,F730)=COUNTIF($F$5:F730,F730))</f>
        <v>0</v>
      </c>
    </row>
    <row r="731" spans="1:64" hidden="1">
      <c r="A731" s="43">
        <v>735</v>
      </c>
      <c r="B731" s="13" t="s">
        <v>147</v>
      </c>
      <c r="C731" s="13" t="s">
        <v>146</v>
      </c>
      <c r="D731" s="13">
        <v>2</v>
      </c>
      <c r="E731" s="13">
        <v>2370</v>
      </c>
      <c r="F731" s="71" t="s">
        <v>1711</v>
      </c>
      <c r="G731" s="71" t="s">
        <v>1709</v>
      </c>
      <c r="H731" s="13" t="s">
        <v>1705</v>
      </c>
      <c r="I731" s="13" t="s">
        <v>55</v>
      </c>
      <c r="J731" s="28">
        <v>0</v>
      </c>
      <c r="K731" s="13" t="s">
        <v>1428</v>
      </c>
      <c r="L731" s="13" t="s">
        <v>53</v>
      </c>
      <c r="M731" s="13">
        <v>2</v>
      </c>
      <c r="O731" s="13">
        <v>1</v>
      </c>
      <c r="P731" s="13">
        <v>2</v>
      </c>
      <c r="Q731" s="13">
        <v>2</v>
      </c>
      <c r="R731" s="13" t="s">
        <v>122</v>
      </c>
      <c r="S731" s="13" t="s">
        <v>122</v>
      </c>
      <c r="T731" s="13">
        <v>44901</v>
      </c>
      <c r="U731" s="13">
        <v>2958465</v>
      </c>
      <c r="V731" s="13" t="s">
        <v>282</v>
      </c>
      <c r="W731" s="13" t="s">
        <v>145</v>
      </c>
      <c r="Y731" s="13" t="s">
        <v>143</v>
      </c>
      <c r="Z731" s="13">
        <v>7589154</v>
      </c>
      <c r="AA731" s="13">
        <v>1352</v>
      </c>
      <c r="AB731" s="13">
        <v>676</v>
      </c>
      <c r="AE731" s="51">
        <f>M731/O731</f>
        <v>2</v>
      </c>
      <c r="AG731" s="6" t="str">
        <f>C731</f>
        <v>90MB1BJ0-C1BAY0</v>
      </c>
      <c r="AH731" s="6" t="str">
        <f>IF($D731&lt;=AH$4,"",IF(AND($D730=AH$4,$D731&gt;AH$4),$F730,AH730))</f>
        <v>59MB1BJB-MB0A02S</v>
      </c>
      <c r="AI731" s="6" t="str">
        <f>IF($D731&lt;=AI$4,"",IF(AND($D730=AI$4,$D731&gt;AI$4),$F730,AI730))</f>
        <v/>
      </c>
      <c r="AJ731" s="6" t="str">
        <f>IF($D731&lt;=AJ$4,"",IF(AND($D730=AJ$4,$D731&gt;AJ$4),$F730,AJ730))</f>
        <v/>
      </c>
      <c r="AK731" s="6" t="str">
        <f>IF($D731&lt;=AK$4,"",IF(AND($D730=AK$4,$D731&gt;AK$4),$F730,AK730))</f>
        <v/>
      </c>
      <c r="AL731" s="6" t="str">
        <f>IF($D731&lt;=AL$4,"",IF(AND($D730=AL$4,$D731&gt;AL$4),$F730,AL730))</f>
        <v/>
      </c>
      <c r="AM731" s="6" t="str">
        <f>IF($D731&lt;=AM$4,"",IF(AND($D730=AM$4,$D731&gt;AM$4),$F730,AM730))</f>
        <v/>
      </c>
      <c r="AN731" s="6" t="str">
        <f>IF($D731&lt;=AN$4,"",IF(AND($D730=AN$4,$D731&gt;AN$4),$F730,AN730))</f>
        <v/>
      </c>
      <c r="AO731" s="6" t="str">
        <f>CONCATENATE(AG731," | ",AH731," | ",AI731," | ",AJ731," | ",AK731," | ",AL731," | ",AM731," | ",AN731)</f>
        <v xml:space="preserve">90MB1BJ0-C1BAY0 | 59MB1BJB-MB0A02S |  |  |  |  |  | </v>
      </c>
      <c r="AP731" s="6">
        <f>IF(TRIM(H731)="",100,J731)</f>
        <v>0</v>
      </c>
      <c r="AQ731" s="4"/>
      <c r="AR731" s="6" t="b">
        <f>NOT(TRIM(W731)&lt;&gt;"F")</f>
        <v>1</v>
      </c>
      <c r="AS731" s="6" t="str">
        <f>$B731&amp;" | "&amp;$AO731&amp;" | "&amp;IF(TRIM(H731)="","uniq"&amp;ROW(),TRIM(H731))</f>
        <v>461E | 90MB1BJ0-C1BAY0 | 59MB1BJB-MB0A02S |  |  |  |  |  |  | N7</v>
      </c>
      <c r="AT731" s="63">
        <f>IF(NOT(AR731),IF(TRIM($H731)="","Assembly","Phantom Alt"),VLOOKUP(F731,ZPCS04!B:G,6,0))</f>
        <v>759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1.9999999000000002</v>
      </c>
      <c r="AX731" s="7"/>
      <c r="AY731" s="6" t="b">
        <f>SUMIF(AS:AS,AS731,AP:AP)=100</f>
        <v>1</v>
      </c>
      <c r="AZ731" s="6" t="b">
        <f>SUMIF(AS:AS,AS731,AE:AE)/COUNTIF(AS:AS,AS731)=AE731</f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>C731&amp;" | "&amp;F731</f>
        <v>90MB1BJ0-C1BAY0 | 11G232247415390</v>
      </c>
      <c r="BE731" s="55" t="str">
        <f ca="1">C731&amp;" | "&amp;OFFSET($AF731,0,8-COUNTBLANK($AG731:$AN731))</f>
        <v>90MB1BJ0-C1BAY0 | 59MB1BJB-MB0A02S</v>
      </c>
      <c r="BF731" s="57">
        <f ca="1">IFERROR(VLOOKUP($BE731,$BD$5:$BF730,3,0)*$AE731,VLOOKUP($C731,Demanda!$A:$B,2,0)*$AE731)*IF(AT731="Phantom Alt",$BC731,TRUE)</f>
        <v>2000</v>
      </c>
      <c r="BG731" s="57">
        <f ca="1">BF731*(AP731/100)</f>
        <v>0</v>
      </c>
      <c r="BH731" s="57">
        <f>SUMIF(Invoice!A:A,F731,Invoice!B:B)</f>
        <v>10000</v>
      </c>
      <c r="BI731" s="57">
        <f ca="1">SUMIF(AS:AS,AS731,BG:BG)</f>
        <v>2000</v>
      </c>
      <c r="BJ731" s="57">
        <f ca="1">MIN((BI731-SUMIF($AS$5:AS730,AS731,$BJ$5:BJ730)),MAX(0,BH731-SUMIF($F$5:F730,F731,$BJ$5:BJ730)))</f>
        <v>2000</v>
      </c>
      <c r="BK731" s="57">
        <f ca="1">(-SUMIF(AS:AS,AS731,BG:BG)+SUMIF(AS:AS,AS731,BJ:BJ))*(AP731=100)*AR731</f>
        <v>0</v>
      </c>
      <c r="BL731" s="57">
        <f ca="1">MAX(0,SUMIF(Invoice!A:A,F731,Invoice!B:B)-SUMIF(F:F,F731,BJ:BJ))*(COUNTIF(F:F,F731)=COUNTIF($F$5:F731,F731))</f>
        <v>8000</v>
      </c>
    </row>
    <row r="732" spans="1:64" hidden="1">
      <c r="A732" s="43">
        <v>731</v>
      </c>
      <c r="B732" s="13" t="s">
        <v>147</v>
      </c>
      <c r="C732" s="13" t="s">
        <v>146</v>
      </c>
      <c r="D732" s="13">
        <v>2</v>
      </c>
      <c r="E732" s="13">
        <v>2370</v>
      </c>
      <c r="F732" s="71" t="s">
        <v>1703</v>
      </c>
      <c r="G732" s="71" t="s">
        <v>1704</v>
      </c>
      <c r="H732" s="13" t="s">
        <v>1705</v>
      </c>
      <c r="I732" s="13" t="s">
        <v>55</v>
      </c>
      <c r="J732" s="28">
        <v>0</v>
      </c>
      <c r="K732" s="13" t="s">
        <v>150</v>
      </c>
      <c r="L732" s="13" t="s">
        <v>53</v>
      </c>
      <c r="M732" s="13">
        <v>2</v>
      </c>
      <c r="O732" s="13">
        <v>1</v>
      </c>
      <c r="P732" s="13">
        <v>2</v>
      </c>
      <c r="Q732" s="13">
        <v>5</v>
      </c>
      <c r="R732" s="13" t="s">
        <v>73</v>
      </c>
      <c r="S732" s="13" t="s">
        <v>73</v>
      </c>
      <c r="T732" s="13">
        <v>44901</v>
      </c>
      <c r="U732" s="13">
        <v>2958465</v>
      </c>
      <c r="V732" s="13" t="s">
        <v>282</v>
      </c>
      <c r="W732" s="13" t="s">
        <v>145</v>
      </c>
      <c r="Y732" s="13" t="s">
        <v>143</v>
      </c>
      <c r="Z732" s="13">
        <v>7589154</v>
      </c>
      <c r="AA732" s="13">
        <v>1358</v>
      </c>
      <c r="AB732" s="13">
        <v>679</v>
      </c>
      <c r="AE732" s="51">
        <f>M732/O732</f>
        <v>2</v>
      </c>
      <c r="AG732" s="6" t="str">
        <f>C732</f>
        <v>90MB1BJ0-C1BAY0</v>
      </c>
      <c r="AH732" s="6" t="str">
        <f>IF($D732&lt;=AH$4,"",IF(AND($D731=AH$4,$D732&gt;AH$4),$F731,AH731))</f>
        <v>59MB1BJB-MB0A02S</v>
      </c>
      <c r="AI732" s="6" t="str">
        <f>IF($D732&lt;=AI$4,"",IF(AND($D731=AI$4,$D732&gt;AI$4),$F731,AI731))</f>
        <v/>
      </c>
      <c r="AJ732" s="6" t="str">
        <f>IF($D732&lt;=AJ$4,"",IF(AND($D731=AJ$4,$D732&gt;AJ$4),$F731,AJ731))</f>
        <v/>
      </c>
      <c r="AK732" s="6" t="str">
        <f>IF($D732&lt;=AK$4,"",IF(AND($D731=AK$4,$D732&gt;AK$4),$F731,AK731))</f>
        <v/>
      </c>
      <c r="AL732" s="6" t="str">
        <f>IF($D732&lt;=AL$4,"",IF(AND($D731=AL$4,$D732&gt;AL$4),$F731,AL731))</f>
        <v/>
      </c>
      <c r="AM732" s="6" t="str">
        <f>IF($D732&lt;=AM$4,"",IF(AND($D731=AM$4,$D732&gt;AM$4),$F731,AM731))</f>
        <v/>
      </c>
      <c r="AN732" s="6" t="str">
        <f>IF($D732&lt;=AN$4,"",IF(AND($D731=AN$4,$D732&gt;AN$4),$F731,AN731))</f>
        <v/>
      </c>
      <c r="AO732" s="6" t="str">
        <f>CONCATENATE(AG732," | ",AH732," | ",AI732," | ",AJ732," | ",AK732," | ",AL732," | ",AM732," | ",AN732)</f>
        <v xml:space="preserve">90MB1BJ0-C1BAY0 | 59MB1BJB-MB0A02S |  |  |  |  |  | </v>
      </c>
      <c r="AP732" s="6">
        <f>IF(TRIM(H732)="",100,J732)</f>
        <v>0</v>
      </c>
      <c r="AQ732" s="4"/>
      <c r="AR732" s="6" t="b">
        <f>NOT(TRIM(W732)&lt;&gt;"F")</f>
        <v>1</v>
      </c>
      <c r="AS732" s="6" t="str">
        <f>$B732&amp;" | "&amp;$AO732&amp;" | "&amp;IF(TRIM(H732)="","uniq"&amp;ROW(),TRIM(H732))</f>
        <v>461E | 90MB1BJ0-C1BAY0 | 59MB1BJB-MB0A02S |  |  |  |  |  |  | N7</v>
      </c>
      <c r="AT732" s="63">
        <f>IF(NOT(AR732),IF(TRIM($H732)="","Assembly","Phantom Alt"),VLOOKUP(F732,ZPCS04!B:G,6,0))</f>
        <v>759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>SUMIF(AS:AS,AS732,AP:AP)=100</f>
        <v>1</v>
      </c>
      <c r="AZ732" s="6" t="b">
        <f>SUMIF(AS:AS,AS732,AE:AE)/COUNTIF(AS:AS,AS732)=AE732</f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>C732&amp;" | "&amp;F732</f>
        <v>90MB1BJ0-C1BAY0 | 11G232247415070</v>
      </c>
      <c r="BE732" s="55" t="str">
        <f ca="1">C732&amp;" | "&amp;OFFSET($AF732,0,8-COUNTBLANK($AG732:$AN732))</f>
        <v>90MB1BJ0-C1BAY0 | 59MB1BJB-MB0A02S</v>
      </c>
      <c r="BF732" s="57">
        <f ca="1">IFERROR(VLOOKUP($BE732,$BD$5:$BF731,3,0)*$AE732,VLOOKUP($C732,Demanda!$A:$B,2,0)*$AE732)*IF(AT732="Phantom Alt",$BC732,TRUE)</f>
        <v>2000</v>
      </c>
      <c r="BG732" s="57">
        <f ca="1">BF732*(AP732/100)</f>
        <v>0</v>
      </c>
      <c r="BH732" s="57">
        <f>SUMIF(Invoice!A:A,F732,Invoice!B:B)</f>
        <v>0</v>
      </c>
      <c r="BI732" s="57">
        <f ca="1">SUMIF(AS:AS,AS732,BG:BG)</f>
        <v>2000</v>
      </c>
      <c r="BJ732" s="57">
        <f ca="1">MIN((BI732-SUMIF($AS$5:AS731,AS732,$BJ$5:BJ731)),MAX(0,BH732-SUMIF($F$5:F731,F732,$BJ$5:BJ731)))</f>
        <v>0</v>
      </c>
      <c r="BK732" s="57">
        <f ca="1">(-SUMIF(AS:AS,AS732,BG:BG)+SUMIF(AS:AS,AS732,BJ:BJ))*(AP732=100)*AR732</f>
        <v>0</v>
      </c>
      <c r="BL732" s="57">
        <f ca="1">MAX(0,SUMIF(Invoice!A:A,F732,Invoice!B:B)-SUMIF(F:F,F732,BJ:BJ))*(COUNTIF(F:F,F732)=COUNTIF($F$5:F732,F732))</f>
        <v>0</v>
      </c>
    </row>
    <row r="733" spans="1:64" hidden="1">
      <c r="A733" s="43">
        <v>732</v>
      </c>
      <c r="B733" s="13" t="s">
        <v>147</v>
      </c>
      <c r="C733" s="13" t="s">
        <v>146</v>
      </c>
      <c r="D733" s="13">
        <v>2</v>
      </c>
      <c r="E733" s="13">
        <v>2370</v>
      </c>
      <c r="F733" s="71" t="s">
        <v>1706</v>
      </c>
      <c r="G733" s="71" t="s">
        <v>1707</v>
      </c>
      <c r="H733" s="13" t="s">
        <v>1705</v>
      </c>
      <c r="I733" s="13" t="s">
        <v>54</v>
      </c>
      <c r="J733" s="28">
        <v>100</v>
      </c>
      <c r="K733" s="13" t="s">
        <v>1428</v>
      </c>
      <c r="L733" s="13" t="s">
        <v>53</v>
      </c>
      <c r="M733" s="13">
        <v>2</v>
      </c>
      <c r="N733" s="13">
        <v>2</v>
      </c>
      <c r="O733" s="13">
        <v>1</v>
      </c>
      <c r="P733" s="13">
        <v>2</v>
      </c>
      <c r="Q733" s="13">
        <v>1</v>
      </c>
      <c r="R733" s="13" t="s">
        <v>122</v>
      </c>
      <c r="S733" s="13" t="s">
        <v>122</v>
      </c>
      <c r="T733" s="13">
        <v>44901</v>
      </c>
      <c r="U733" s="13">
        <v>2958465</v>
      </c>
      <c r="V733" s="13" t="s">
        <v>282</v>
      </c>
      <c r="W733" s="13" t="s">
        <v>145</v>
      </c>
      <c r="Y733" s="13" t="s">
        <v>143</v>
      </c>
      <c r="Z733" s="13">
        <v>7589154</v>
      </c>
      <c r="AA733" s="13">
        <v>1350</v>
      </c>
      <c r="AB733" s="13">
        <v>675</v>
      </c>
      <c r="AE733" s="51">
        <f>M733/O733</f>
        <v>2</v>
      </c>
      <c r="AG733" s="6" t="str">
        <f>C733</f>
        <v>90MB1BJ0-C1BAY0</v>
      </c>
      <c r="AH733" s="6" t="str">
        <f>IF($D733&lt;=AH$4,"",IF(AND($D732=AH$4,$D733&gt;AH$4),$F732,AH732))</f>
        <v>59MB1BJB-MB0A02S</v>
      </c>
      <c r="AI733" s="6" t="str">
        <f>IF($D733&lt;=AI$4,"",IF(AND($D732=AI$4,$D733&gt;AI$4),$F732,AI732))</f>
        <v/>
      </c>
      <c r="AJ733" s="6" t="str">
        <f>IF($D733&lt;=AJ$4,"",IF(AND($D732=AJ$4,$D733&gt;AJ$4),$F732,AJ732))</f>
        <v/>
      </c>
      <c r="AK733" s="6" t="str">
        <f>IF($D733&lt;=AK$4,"",IF(AND($D732=AK$4,$D733&gt;AK$4),$F732,AK732))</f>
        <v/>
      </c>
      <c r="AL733" s="6" t="str">
        <f>IF($D733&lt;=AL$4,"",IF(AND($D732=AL$4,$D733&gt;AL$4),$F732,AL732))</f>
        <v/>
      </c>
      <c r="AM733" s="6" t="str">
        <f>IF($D733&lt;=AM$4,"",IF(AND($D732=AM$4,$D733&gt;AM$4),$F732,AM732))</f>
        <v/>
      </c>
      <c r="AN733" s="6" t="str">
        <f>IF($D733&lt;=AN$4,"",IF(AND($D732=AN$4,$D733&gt;AN$4),$F732,AN732))</f>
        <v/>
      </c>
      <c r="AO733" s="6" t="str">
        <f>CONCATENATE(AG733," | ",AH733," | ",AI733," | ",AJ733," | ",AK733," | ",AL733," | ",AM733," | ",AN733)</f>
        <v xml:space="preserve">90MB1BJ0-C1BAY0 | 59MB1BJB-MB0A02S |  |  |  |  |  | </v>
      </c>
      <c r="AP733" s="6">
        <f>IF(TRIM(H733)="",100,J733)</f>
        <v>100</v>
      </c>
      <c r="AQ733" s="4"/>
      <c r="AR733" s="6" t="b">
        <f>NOT(TRIM(W733)&lt;&gt;"F")</f>
        <v>1</v>
      </c>
      <c r="AS733" s="6" t="str">
        <f>$B733&amp;" | "&amp;$AO733&amp;" | "&amp;IF(TRIM(H733)="","uniq"&amp;ROW(),TRIM(H733))</f>
        <v>461E | 90MB1BJ0-C1BAY0 | 59MB1BJB-MB0A02S |  |  |  |  |  |  | N7</v>
      </c>
      <c r="AT733" s="63">
        <f>IF(NOT(AR733),IF(TRIM($H733)="","Assembly","Phantom Alt"),VLOOKUP(F733,ZPCS04!B:G,6,0))</f>
        <v>759</v>
      </c>
      <c r="AU733" s="7"/>
      <c r="AV733" s="38">
        <f ca="1">IF(TRIM($W733)="F",OFFSET($A$5,MATCH($AS733,$AS$5:$AS733,0)-1,0),$A733)</f>
        <v>735</v>
      </c>
      <c r="AW733" s="38">
        <f ca="1">IFERROR(OFFSET(ZPCS04!$A$1,MATCH(F733,ZPCS04!B:B,0)-1,0),100)</f>
        <v>2</v>
      </c>
      <c r="AX733" s="7"/>
      <c r="AY733" s="6" t="b">
        <f>SUMIF(AS:AS,AS733,AP:AP)=100</f>
        <v>1</v>
      </c>
      <c r="AZ733" s="6" t="b">
        <f>SUMIF(AS:AS,AS733,AE:AE)/COUNTIF(AS:AS,AS733)=AE733</f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>C733&amp;" | "&amp;F733</f>
        <v>90MB1BJ0-C1BAY0 | 11G232247415150</v>
      </c>
      <c r="BE733" s="55" t="str">
        <f ca="1">C733&amp;" | "&amp;OFFSET($AF733,0,8-COUNTBLANK($AG733:$AN733))</f>
        <v>90MB1BJ0-C1BAY0 | 59MB1BJB-MB0A02S</v>
      </c>
      <c r="BF733" s="57">
        <f ca="1">IFERROR(VLOOKUP($BE733,$BD$5:$BF732,3,0)*$AE733,VLOOKUP($C733,Demanda!$A:$B,2,0)*$AE733)*IF(AT733="Phantom Alt",$BC733,TRUE)</f>
        <v>2000</v>
      </c>
      <c r="BG733" s="57">
        <f ca="1">BF733*(AP733/100)</f>
        <v>2000</v>
      </c>
      <c r="BH733" s="57">
        <f>SUMIF(Invoice!A:A,F733,Invoice!B:B)</f>
        <v>0</v>
      </c>
      <c r="BI733" s="57">
        <f ca="1">SUMIF(AS:AS,AS733,BG:BG)</f>
        <v>2000</v>
      </c>
      <c r="BJ733" s="57">
        <f ca="1">MIN((BI733-SUMIF($AS$5:AS732,AS733,$BJ$5:BJ732)),MAX(0,BH733-SUMIF($F$5:F732,F733,$BJ$5:BJ732)))</f>
        <v>0</v>
      </c>
      <c r="BK733" s="57">
        <f ca="1">(-SUMIF(AS:AS,AS733,BG:BG)+SUMIF(AS:AS,AS733,BJ:BJ))*(AP733=100)*AR733</f>
        <v>0</v>
      </c>
      <c r="BL733" s="57">
        <f ca="1">MAX(0,SUMIF(Invoice!A:A,F733,Invoice!B:B)-SUMIF(F:F,F733,BJ:BJ))*(COUNTIF(F:F,F733)=COUNTIF($F$5:F733,F733))</f>
        <v>0</v>
      </c>
    </row>
    <row r="734" spans="1:64" hidden="1">
      <c r="A734" s="43">
        <v>733</v>
      </c>
      <c r="B734" s="13" t="s">
        <v>147</v>
      </c>
      <c r="C734" s="13" t="s">
        <v>146</v>
      </c>
      <c r="D734" s="13">
        <v>2</v>
      </c>
      <c r="E734" s="13">
        <v>2370</v>
      </c>
      <c r="F734" s="71" t="s">
        <v>1708</v>
      </c>
      <c r="G734" s="71" t="s">
        <v>1709</v>
      </c>
      <c r="H734" s="13" t="s">
        <v>1705</v>
      </c>
      <c r="I734" s="13" t="s">
        <v>55</v>
      </c>
      <c r="J734" s="28">
        <v>0</v>
      </c>
      <c r="K734" s="13" t="s">
        <v>1428</v>
      </c>
      <c r="L734" s="13" t="s">
        <v>53</v>
      </c>
      <c r="M734" s="13">
        <v>2</v>
      </c>
      <c r="O734" s="13">
        <v>1</v>
      </c>
      <c r="P734" s="13">
        <v>2</v>
      </c>
      <c r="Q734" s="13">
        <v>4</v>
      </c>
      <c r="R734" s="13" t="s">
        <v>122</v>
      </c>
      <c r="S734" s="13" t="s">
        <v>122</v>
      </c>
      <c r="T734" s="13">
        <v>44901</v>
      </c>
      <c r="U734" s="13">
        <v>2958465</v>
      </c>
      <c r="V734" s="13" t="s">
        <v>282</v>
      </c>
      <c r="W734" s="13" t="s">
        <v>145</v>
      </c>
      <c r="Y734" s="13" t="s">
        <v>143</v>
      </c>
      <c r="Z734" s="13">
        <v>7589154</v>
      </c>
      <c r="AA734" s="13">
        <v>1356</v>
      </c>
      <c r="AB734" s="13">
        <v>678</v>
      </c>
      <c r="AE734" s="51">
        <f>M734/O734</f>
        <v>2</v>
      </c>
      <c r="AG734" s="6" t="str">
        <f>C734</f>
        <v>90MB1BJ0-C1BAY0</v>
      </c>
      <c r="AH734" s="6" t="str">
        <f>IF($D734&lt;=AH$4,"",IF(AND($D733=AH$4,$D734&gt;AH$4),$F733,AH733))</f>
        <v>59MB1BJB-MB0A02S</v>
      </c>
      <c r="AI734" s="6" t="str">
        <f>IF($D734&lt;=AI$4,"",IF(AND($D733=AI$4,$D734&gt;AI$4),$F733,AI733))</f>
        <v/>
      </c>
      <c r="AJ734" s="6" t="str">
        <f>IF($D734&lt;=AJ$4,"",IF(AND($D733=AJ$4,$D734&gt;AJ$4),$F733,AJ733))</f>
        <v/>
      </c>
      <c r="AK734" s="6" t="str">
        <f>IF($D734&lt;=AK$4,"",IF(AND($D733=AK$4,$D734&gt;AK$4),$F733,AK733))</f>
        <v/>
      </c>
      <c r="AL734" s="6" t="str">
        <f>IF($D734&lt;=AL$4,"",IF(AND($D733=AL$4,$D734&gt;AL$4),$F733,AL733))</f>
        <v/>
      </c>
      <c r="AM734" s="6" t="str">
        <f>IF($D734&lt;=AM$4,"",IF(AND($D733=AM$4,$D734&gt;AM$4),$F733,AM733))</f>
        <v/>
      </c>
      <c r="AN734" s="6" t="str">
        <f>IF($D734&lt;=AN$4,"",IF(AND($D733=AN$4,$D734&gt;AN$4),$F733,AN733))</f>
        <v/>
      </c>
      <c r="AO734" s="6" t="str">
        <f>CONCATENATE(AG734," | ",AH734," | ",AI734," | ",AJ734," | ",AK734," | ",AL734," | ",AM734," | ",AN734)</f>
        <v xml:space="preserve">90MB1BJ0-C1BAY0 | 59MB1BJB-MB0A02S |  |  |  |  |  | </v>
      </c>
      <c r="AP734" s="6">
        <f>IF(TRIM(H734)="",100,J734)</f>
        <v>0</v>
      </c>
      <c r="AQ734" s="4"/>
      <c r="AR734" s="6" t="b">
        <f>NOT(TRIM(W734)&lt;&gt;"F")</f>
        <v>1</v>
      </c>
      <c r="AS734" s="6" t="str">
        <f>$B734&amp;" | "&amp;$AO734&amp;" | "&amp;IF(TRIM(H734)="","uniq"&amp;ROW(),TRIM(H734))</f>
        <v>461E | 90MB1BJ0-C1BAY0 | 59MB1BJB-MB0A02S |  |  |  |  |  |  | N7</v>
      </c>
      <c r="AT734" s="63">
        <f>IF(NOT(AR734),IF(TRIM($H734)="","Assembly","Phantom Alt"),VLOOKUP(F734,ZPCS04!B:G,6,0))</f>
        <v>759</v>
      </c>
      <c r="AU734" s="7"/>
      <c r="AV734" s="38">
        <f ca="1">IF(TRIM($W734)="F",OFFSET($A$5,MATCH($AS734,$AS$5:$AS734,0)-1,0),$A734)</f>
        <v>735</v>
      </c>
      <c r="AW734" s="38">
        <f ca="1">IFERROR(OFFSET(ZPCS04!$A$1,MATCH(F734,ZPCS04!B:B,0)-1,0),100)</f>
        <v>2</v>
      </c>
      <c r="AX734" s="7"/>
      <c r="AY734" s="6" t="b">
        <f>SUMIF(AS:AS,AS734,AP:AP)=100</f>
        <v>1</v>
      </c>
      <c r="AZ734" s="6" t="b">
        <f>SUMIF(AS:AS,AS734,AE:AE)/COUNTIF(AS:AS,AS734)=AE734</f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>C734&amp;" | "&amp;F734</f>
        <v>90MB1BJ0-C1BAY0 | 11G232247415320</v>
      </c>
      <c r="BE734" s="55" t="str">
        <f ca="1">C734&amp;" | "&amp;OFFSET($AF734,0,8-COUNTBLANK($AG734:$AN734))</f>
        <v>90MB1BJ0-C1BAY0 | 59MB1BJB-MB0A02S</v>
      </c>
      <c r="BF734" s="57">
        <f ca="1">IFERROR(VLOOKUP($BE734,$BD$5:$BF733,3,0)*$AE734,VLOOKUP($C734,Demanda!$A:$B,2,0)*$AE734)*IF(AT734="Phantom Alt",$BC734,TRUE)</f>
        <v>2000</v>
      </c>
      <c r="BG734" s="57">
        <f ca="1">BF734*(AP734/100)</f>
        <v>0</v>
      </c>
      <c r="BH734" s="57">
        <f>SUMIF(Invoice!A:A,F734,Invoice!B:B)</f>
        <v>0</v>
      </c>
      <c r="BI734" s="57">
        <f ca="1">SUMIF(AS:AS,AS734,BG:BG)</f>
        <v>2000</v>
      </c>
      <c r="BJ734" s="57">
        <f ca="1">MIN((BI734-SUMIF($AS$5:AS733,AS734,$BJ$5:BJ733)),MAX(0,BH734-SUMIF($F$5:F733,F734,$BJ$5:BJ733)))</f>
        <v>0</v>
      </c>
      <c r="BK734" s="57">
        <f ca="1">(-SUMIF(AS:AS,AS734,BG:BG)+SUMIF(AS:AS,AS734,BJ:BJ))*(AP734=100)*AR734</f>
        <v>0</v>
      </c>
      <c r="BL734" s="57">
        <f ca="1">MAX(0,SUMIF(Invoice!A:A,F734,Invoice!B:B)-SUMIF(F:F,F734,BJ:BJ))*(COUNTIF(F:F,F734)=COUNTIF($F$5:F734,F734))</f>
        <v>0</v>
      </c>
    </row>
    <row r="735" spans="1:64" hidden="1">
      <c r="A735" s="43">
        <v>734</v>
      </c>
      <c r="B735" s="13" t="s">
        <v>147</v>
      </c>
      <c r="C735" s="13" t="s">
        <v>146</v>
      </c>
      <c r="D735" s="13">
        <v>2</v>
      </c>
      <c r="E735" s="13">
        <v>2370</v>
      </c>
      <c r="F735" s="71" t="s">
        <v>1710</v>
      </c>
      <c r="G735" s="71" t="s">
        <v>1707</v>
      </c>
      <c r="H735" s="13" t="s">
        <v>1705</v>
      </c>
      <c r="I735" s="13" t="s">
        <v>55</v>
      </c>
      <c r="J735" s="28">
        <v>0</v>
      </c>
      <c r="K735" s="13" t="s">
        <v>1428</v>
      </c>
      <c r="L735" s="13" t="s">
        <v>53</v>
      </c>
      <c r="M735" s="13">
        <v>2</v>
      </c>
      <c r="O735" s="13">
        <v>1</v>
      </c>
      <c r="P735" s="13">
        <v>2</v>
      </c>
      <c r="Q735" s="13">
        <v>3</v>
      </c>
      <c r="R735" s="13" t="s">
        <v>122</v>
      </c>
      <c r="S735" s="13" t="s">
        <v>122</v>
      </c>
      <c r="T735" s="13">
        <v>44901</v>
      </c>
      <c r="U735" s="13">
        <v>2958465</v>
      </c>
      <c r="V735" s="13" t="s">
        <v>282</v>
      </c>
      <c r="W735" s="13" t="s">
        <v>145</v>
      </c>
      <c r="Y735" s="13" t="s">
        <v>143</v>
      </c>
      <c r="Z735" s="13">
        <v>7589154</v>
      </c>
      <c r="AA735" s="13">
        <v>1354</v>
      </c>
      <c r="AB735" s="13">
        <v>677</v>
      </c>
      <c r="AE735" s="51">
        <f>M735/O735</f>
        <v>2</v>
      </c>
      <c r="AG735" s="6" t="str">
        <f>C735</f>
        <v>90MB1BJ0-C1BAY0</v>
      </c>
      <c r="AH735" s="6" t="str">
        <f>IF($D735&lt;=AH$4,"",IF(AND($D734=AH$4,$D735&gt;AH$4),$F734,AH734))</f>
        <v>59MB1BJB-MB0A02S</v>
      </c>
      <c r="AI735" s="6" t="str">
        <f>IF($D735&lt;=AI$4,"",IF(AND($D734=AI$4,$D735&gt;AI$4),$F734,AI734))</f>
        <v/>
      </c>
      <c r="AJ735" s="6" t="str">
        <f>IF($D735&lt;=AJ$4,"",IF(AND($D734=AJ$4,$D735&gt;AJ$4),$F734,AJ734))</f>
        <v/>
      </c>
      <c r="AK735" s="6" t="str">
        <f>IF($D735&lt;=AK$4,"",IF(AND($D734=AK$4,$D735&gt;AK$4),$F734,AK734))</f>
        <v/>
      </c>
      <c r="AL735" s="6" t="str">
        <f>IF($D735&lt;=AL$4,"",IF(AND($D734=AL$4,$D735&gt;AL$4),$F734,AL734))</f>
        <v/>
      </c>
      <c r="AM735" s="6" t="str">
        <f>IF($D735&lt;=AM$4,"",IF(AND($D734=AM$4,$D735&gt;AM$4),$F734,AM734))</f>
        <v/>
      </c>
      <c r="AN735" s="6" t="str">
        <f>IF($D735&lt;=AN$4,"",IF(AND($D734=AN$4,$D735&gt;AN$4),$F734,AN734))</f>
        <v/>
      </c>
      <c r="AO735" s="6" t="str">
        <f>CONCATENATE(AG735," | ",AH735," | ",AI735," | ",AJ735," | ",AK735," | ",AL735," | ",AM735," | ",AN735)</f>
        <v xml:space="preserve">90MB1BJ0-C1BAY0 | 59MB1BJB-MB0A02S |  |  |  |  |  | </v>
      </c>
      <c r="AP735" s="6">
        <f>IF(TRIM(H735)="",100,J735)</f>
        <v>0</v>
      </c>
      <c r="AQ735" s="4"/>
      <c r="AR735" s="6" t="b">
        <f>NOT(TRIM(W735)&lt;&gt;"F")</f>
        <v>1</v>
      </c>
      <c r="AS735" s="6" t="str">
        <f>$B735&amp;" | "&amp;$AO735&amp;" | "&amp;IF(TRIM(H735)="","uniq"&amp;ROW(),TRIM(H735))</f>
        <v>461E | 90MB1BJ0-C1BAY0 | 59MB1BJB-MB0A02S |  |  |  |  |  |  | N7</v>
      </c>
      <c r="AT735" s="63">
        <f>IF(NOT(AR735),IF(TRIM($H735)="","Assembly","Phantom Alt"),VLOOKUP(F735,ZPCS04!B:G,6,0))</f>
        <v>759</v>
      </c>
      <c r="AU735" s="7"/>
      <c r="AV735" s="38">
        <f ca="1">IF(TRIM($W735)="F",OFFSET($A$5,MATCH($AS735,$AS$5:$AS735,0)-1,0),$A735)</f>
        <v>735</v>
      </c>
      <c r="AW735" s="38">
        <f ca="1">IFERROR(OFFSET(ZPCS04!$A$1,MATCH(F735,ZPCS04!B:B,0)-1,0),100)</f>
        <v>2</v>
      </c>
      <c r="AX735" s="7"/>
      <c r="AY735" s="6" t="b">
        <f>SUMIF(AS:AS,AS735,AP:AP)=100</f>
        <v>1</v>
      </c>
      <c r="AZ735" s="6" t="b">
        <f>SUMIF(AS:AS,AS735,AE:AE)/COUNTIF(AS:AS,AS735)=AE735</f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>C735&amp;" | "&amp;F735</f>
        <v>90MB1BJ0-C1BAY0 | 11G232247415360</v>
      </c>
      <c r="BE735" s="55" t="str">
        <f ca="1">C735&amp;" | "&amp;OFFSET($AF735,0,8-COUNTBLANK($AG735:$AN735))</f>
        <v>90MB1BJ0-C1BAY0 | 59MB1BJB-MB0A02S</v>
      </c>
      <c r="BF735" s="57">
        <f ca="1">IFERROR(VLOOKUP($BE735,$BD$5:$BF734,3,0)*$AE735,VLOOKUP($C735,Demanda!$A:$B,2,0)*$AE735)*IF(AT735="Phantom Alt",$BC735,TRUE)</f>
        <v>2000</v>
      </c>
      <c r="BG735" s="57">
        <f ca="1">BF735*(AP735/100)</f>
        <v>0</v>
      </c>
      <c r="BH735" s="57">
        <f>SUMIF(Invoice!A:A,F735,Invoice!B:B)</f>
        <v>0</v>
      </c>
      <c r="BI735" s="57">
        <f ca="1">SUMIF(AS:AS,AS735,BG:BG)</f>
        <v>2000</v>
      </c>
      <c r="BJ735" s="57">
        <f ca="1">MIN((BI735-SUMIF($AS$5:AS734,AS735,$BJ$5:BJ734)),MAX(0,BH735-SUMIF($F$5:F734,F735,$BJ$5:BJ734)))</f>
        <v>0</v>
      </c>
      <c r="BK735" s="57">
        <f ca="1">(-SUMIF(AS:AS,AS735,BG:BG)+SUMIF(AS:AS,AS735,BJ:BJ))*(AP735=100)*AR735</f>
        <v>0</v>
      </c>
      <c r="BL735" s="57">
        <f ca="1">MAX(0,SUMIF(Invoice!A:A,F735,Invoice!B:B)-SUMIF(F:F,F735,BJ:BJ))*(COUNTIF(F:F,F735)=COUNTIF($F$5:F735,F735))</f>
        <v>0</v>
      </c>
    </row>
    <row r="736" spans="1:64" hidden="1">
      <c r="A736" s="43">
        <v>737</v>
      </c>
      <c r="B736" s="13" t="s">
        <v>147</v>
      </c>
      <c r="C736" s="13" t="s">
        <v>146</v>
      </c>
      <c r="D736" s="13">
        <v>2</v>
      </c>
      <c r="E736" s="13">
        <v>2380</v>
      </c>
      <c r="F736" s="71" t="s">
        <v>1715</v>
      </c>
      <c r="G736" s="71" t="s">
        <v>1716</v>
      </c>
      <c r="H736" s="13" t="s">
        <v>1714</v>
      </c>
      <c r="I736" s="13" t="s">
        <v>54</v>
      </c>
      <c r="J736" s="28">
        <v>100</v>
      </c>
      <c r="K736" s="13" t="s">
        <v>150</v>
      </c>
      <c r="L736" s="13" t="s">
        <v>53</v>
      </c>
      <c r="M736" s="13">
        <v>2</v>
      </c>
      <c r="N736" s="13">
        <v>2</v>
      </c>
      <c r="O736" s="13">
        <v>1</v>
      </c>
      <c r="P736" s="13">
        <v>2</v>
      </c>
      <c r="Q736" s="13">
        <v>1</v>
      </c>
      <c r="R736" s="13" t="s">
        <v>73</v>
      </c>
      <c r="S736" s="13" t="s">
        <v>73</v>
      </c>
      <c r="T736" s="13">
        <v>44901</v>
      </c>
      <c r="U736" s="13">
        <v>2958465</v>
      </c>
      <c r="V736" s="13" t="s">
        <v>282</v>
      </c>
      <c r="W736" s="13" t="s">
        <v>145</v>
      </c>
      <c r="Y736" s="13" t="s">
        <v>143</v>
      </c>
      <c r="Z736" s="13">
        <v>7589154</v>
      </c>
      <c r="AA736" s="13">
        <v>1360</v>
      </c>
      <c r="AB736" s="13">
        <v>680</v>
      </c>
      <c r="AE736" s="51">
        <f>M736/O736</f>
        <v>2</v>
      </c>
      <c r="AG736" s="6" t="str">
        <f>C736</f>
        <v>90MB1BJ0-C1BAY0</v>
      </c>
      <c r="AH736" s="6" t="str">
        <f>IF($D736&lt;=AH$4,"",IF(AND($D735=AH$4,$D736&gt;AH$4),$F735,AH735))</f>
        <v>59MB1BJB-MB0A02S</v>
      </c>
      <c r="AI736" s="6" t="str">
        <f>IF($D736&lt;=AI$4,"",IF(AND($D735=AI$4,$D736&gt;AI$4),$F735,AI735))</f>
        <v/>
      </c>
      <c r="AJ736" s="6" t="str">
        <f>IF($D736&lt;=AJ$4,"",IF(AND($D735=AJ$4,$D736&gt;AJ$4),$F735,AJ735))</f>
        <v/>
      </c>
      <c r="AK736" s="6" t="str">
        <f>IF($D736&lt;=AK$4,"",IF(AND($D735=AK$4,$D736&gt;AK$4),$F735,AK735))</f>
        <v/>
      </c>
      <c r="AL736" s="6" t="str">
        <f>IF($D736&lt;=AL$4,"",IF(AND($D735=AL$4,$D736&gt;AL$4),$F735,AL735))</f>
        <v/>
      </c>
      <c r="AM736" s="6" t="str">
        <f>IF($D736&lt;=AM$4,"",IF(AND($D735=AM$4,$D736&gt;AM$4),$F735,AM735))</f>
        <v/>
      </c>
      <c r="AN736" s="6" t="str">
        <f>IF($D736&lt;=AN$4,"",IF(AND($D735=AN$4,$D736&gt;AN$4),$F735,AN735))</f>
        <v/>
      </c>
      <c r="AO736" s="6" t="str">
        <f>CONCATENATE(AG736," | ",AH736," | ",AI736," | ",AJ736," | ",AK736," | ",AL736," | ",AM736," | ",AN736)</f>
        <v xml:space="preserve">90MB1BJ0-C1BAY0 | 59MB1BJB-MB0A02S |  |  |  |  |  | </v>
      </c>
      <c r="AP736" s="6">
        <f>IF(TRIM(H736)="",100,J736)</f>
        <v>100</v>
      </c>
      <c r="AQ736" s="4"/>
      <c r="AR736" s="6" t="b">
        <f>NOT(TRIM(W736)&lt;&gt;"F")</f>
        <v>1</v>
      </c>
      <c r="AS736" s="6" t="str">
        <f>$B736&amp;" | "&amp;$AO736&amp;" | "&amp;IF(TRIM(H736)="","uniq"&amp;ROW(),TRIM(H736))</f>
        <v>461E | 90MB1BJ0-C1BAY0 | 59MB1BJB-MB0A02S |  |  |  |  |  |  | N8</v>
      </c>
      <c r="AT736" s="63">
        <f>IF(NOT(AR736),IF(TRIM($H736)="","Assembly","Phantom Alt"),VLOOKUP(F736,ZPCS04!B:G,6,0))</f>
        <v>893</v>
      </c>
      <c r="AU736" s="7"/>
      <c r="AV736" s="38">
        <f ca="1">IF(TRIM($W736)="F",OFFSET($A$5,MATCH($AS736,$AS$5:$AS736,0)-1,0),$A736)</f>
        <v>737</v>
      </c>
      <c r="AW736" s="38">
        <f ca="1">IFERROR(OFFSET(ZPCS04!$A$1,MATCH(F736,ZPCS04!B:B,0)-1,0),100)</f>
        <v>1.99999996</v>
      </c>
      <c r="AX736" s="7"/>
      <c r="AY736" s="6" t="b">
        <f>SUMIF(AS:AS,AS736,AP:AP)=100</f>
        <v>1</v>
      </c>
      <c r="AZ736" s="6" t="b">
        <f>SUMIF(AS:AS,AS736,AE:AE)/COUNTIF(AS:AS,AS736)=AE736</f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>C736&amp;" | "&amp;F736</f>
        <v>90MB1BJ0-C1BAY0 | 11G233047101390</v>
      </c>
      <c r="BE736" s="55" t="str">
        <f ca="1">C736&amp;" | "&amp;OFFSET($AF736,0,8-COUNTBLANK($AG736:$AN736))</f>
        <v>90MB1BJ0-C1BAY0 | 59MB1BJB-MB0A02S</v>
      </c>
      <c r="BF736" s="57">
        <f ca="1">IFERROR(VLOOKUP($BE736,$BD$5:$BF735,3,0)*$AE736,VLOOKUP($C736,Demanda!$A:$B,2,0)*$AE736)*IF(AT736="Phantom Alt",$BC736,TRUE)</f>
        <v>2000</v>
      </c>
      <c r="BG736" s="57">
        <f ca="1">BF736*(AP736/100)</f>
        <v>2000</v>
      </c>
      <c r="BH736" s="57">
        <f>SUMIF(Invoice!A:A,F736,Invoice!B:B)</f>
        <v>4000</v>
      </c>
      <c r="BI736" s="57">
        <f ca="1">SUMIF(AS:AS,AS736,BG:BG)</f>
        <v>2000</v>
      </c>
      <c r="BJ736" s="57">
        <f ca="1">MIN((BI736-SUMIF($AS$5:AS735,AS736,$BJ$5:BJ735)),MAX(0,BH736-SUMIF($F$5:F735,F736,$BJ$5:BJ735)))</f>
        <v>2000</v>
      </c>
      <c r="BK736" s="57">
        <f ca="1">(-SUMIF(AS:AS,AS736,BG:BG)+SUMIF(AS:AS,AS736,BJ:BJ))*(AP736=100)*AR736</f>
        <v>0</v>
      </c>
      <c r="BL736" s="57">
        <f ca="1">MAX(0,SUMIF(Invoice!A:A,F736,Invoice!B:B)-SUMIF(F:F,F736,BJ:BJ))*(COUNTIF(F:F,F736)=COUNTIF($F$5:F736,F736))</f>
        <v>2000</v>
      </c>
    </row>
    <row r="737" spans="1:64" hidden="1">
      <c r="A737" s="43">
        <v>736</v>
      </c>
      <c r="B737" s="13" t="s">
        <v>147</v>
      </c>
      <c r="C737" s="13" t="s">
        <v>146</v>
      </c>
      <c r="D737" s="13">
        <v>2</v>
      </c>
      <c r="E737" s="13">
        <v>2380</v>
      </c>
      <c r="F737" s="71" t="s">
        <v>1712</v>
      </c>
      <c r="G737" s="71" t="s">
        <v>1713</v>
      </c>
      <c r="H737" s="13" t="s">
        <v>1714</v>
      </c>
      <c r="I737" s="13" t="s">
        <v>55</v>
      </c>
      <c r="J737" s="28">
        <v>0</v>
      </c>
      <c r="K737" s="13" t="s">
        <v>150</v>
      </c>
      <c r="L737" s="13" t="s">
        <v>53</v>
      </c>
      <c r="M737" s="13">
        <v>2</v>
      </c>
      <c r="O737" s="13">
        <v>1</v>
      </c>
      <c r="P737" s="13">
        <v>2</v>
      </c>
      <c r="Q737" s="13">
        <v>2</v>
      </c>
      <c r="R737" s="13" t="s">
        <v>73</v>
      </c>
      <c r="S737" s="13" t="s">
        <v>73</v>
      </c>
      <c r="T737" s="13">
        <v>44901</v>
      </c>
      <c r="U737" s="13">
        <v>2958465</v>
      </c>
      <c r="V737" s="13" t="s">
        <v>282</v>
      </c>
      <c r="W737" s="13" t="s">
        <v>145</v>
      </c>
      <c r="Y737" s="13" t="s">
        <v>143</v>
      </c>
      <c r="Z737" s="13">
        <v>7589154</v>
      </c>
      <c r="AA737" s="13">
        <v>1362</v>
      </c>
      <c r="AB737" s="13">
        <v>681</v>
      </c>
      <c r="AE737" s="51">
        <f>M737/O737</f>
        <v>2</v>
      </c>
      <c r="AG737" s="6" t="str">
        <f>C737</f>
        <v>90MB1BJ0-C1BAY0</v>
      </c>
      <c r="AH737" s="6" t="str">
        <f>IF($D737&lt;=AH$4,"",IF(AND($D736=AH$4,$D737&gt;AH$4),$F736,AH736))</f>
        <v>59MB1BJB-MB0A02S</v>
      </c>
      <c r="AI737" s="6" t="str">
        <f>IF($D737&lt;=AI$4,"",IF(AND($D736=AI$4,$D737&gt;AI$4),$F736,AI736))</f>
        <v/>
      </c>
      <c r="AJ737" s="6" t="str">
        <f>IF($D737&lt;=AJ$4,"",IF(AND($D736=AJ$4,$D737&gt;AJ$4),$F736,AJ736))</f>
        <v/>
      </c>
      <c r="AK737" s="6" t="str">
        <f>IF($D737&lt;=AK$4,"",IF(AND($D736=AK$4,$D737&gt;AK$4),$F736,AK736))</f>
        <v/>
      </c>
      <c r="AL737" s="6" t="str">
        <f>IF($D737&lt;=AL$4,"",IF(AND($D736=AL$4,$D737&gt;AL$4),$F736,AL736))</f>
        <v/>
      </c>
      <c r="AM737" s="6" t="str">
        <f>IF($D737&lt;=AM$4,"",IF(AND($D736=AM$4,$D737&gt;AM$4),$F736,AM736))</f>
        <v/>
      </c>
      <c r="AN737" s="6" t="str">
        <f>IF($D737&lt;=AN$4,"",IF(AND($D736=AN$4,$D737&gt;AN$4),$F736,AN736))</f>
        <v/>
      </c>
      <c r="AO737" s="6" t="str">
        <f>CONCATENATE(AG737," | ",AH737," | ",AI737," | ",AJ737," | ",AK737," | ",AL737," | ",AM737," | ",AN737)</f>
        <v xml:space="preserve">90MB1BJ0-C1BAY0 | 59MB1BJB-MB0A02S |  |  |  |  |  | </v>
      </c>
      <c r="AP737" s="6">
        <f>IF(TRIM(H737)="",100,J737)</f>
        <v>0</v>
      </c>
      <c r="AQ737" s="4"/>
      <c r="AR737" s="6" t="b">
        <f>NOT(TRIM(W737)&lt;&gt;"F")</f>
        <v>1</v>
      </c>
      <c r="AS737" s="6" t="str">
        <f>$B737&amp;" | "&amp;$AO737&amp;" | "&amp;IF(TRIM(H737)="","uniq"&amp;ROW(),TRIM(H737))</f>
        <v>461E | 90MB1BJ0-C1BAY0 | 59MB1BJB-MB0A02S |  |  |  |  |  |  | N8</v>
      </c>
      <c r="AT737" s="63">
        <f>IF(NOT(AR737),IF(TRIM($H737)="","Assembly","Phantom Alt"),VLOOKUP(F737,ZPCS04!B:G,6,0))</f>
        <v>893</v>
      </c>
      <c r="AU737" s="7"/>
      <c r="AV737" s="38">
        <f ca="1">IF(TRIM($W737)="F",OFFSET($A$5,MATCH($AS737,$AS$5:$AS737,0)-1,0),$A737)</f>
        <v>737</v>
      </c>
      <c r="AW737" s="38">
        <f ca="1">IFERROR(OFFSET(ZPCS04!$A$1,MATCH(F737,ZPCS04!B:B,0)-1,0),100)</f>
        <v>2</v>
      </c>
      <c r="AX737" s="7"/>
      <c r="AY737" s="6" t="b">
        <f>SUMIF(AS:AS,AS737,AP:AP)=100</f>
        <v>1</v>
      </c>
      <c r="AZ737" s="6" t="b">
        <f>SUMIF(AS:AS,AS737,AE:AE)/COUNTIF(AS:AS,AS737)=AE737</f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>C737&amp;" | "&amp;F737</f>
        <v>90MB1BJ0-C1BAY0 | 11204-00807000</v>
      </c>
      <c r="BE737" s="55" t="str">
        <f ca="1">C737&amp;" | "&amp;OFFSET($AF737,0,8-COUNTBLANK($AG737:$AN737))</f>
        <v>90MB1BJ0-C1BAY0 | 59MB1BJB-MB0A02S</v>
      </c>
      <c r="BF737" s="57">
        <f ca="1">IFERROR(VLOOKUP($BE737,$BD$5:$BF736,3,0)*$AE737,VLOOKUP($C737,Demanda!$A:$B,2,0)*$AE737)*IF(AT737="Phantom Alt",$BC737,TRUE)</f>
        <v>2000</v>
      </c>
      <c r="BG737" s="57">
        <f ca="1">BF737*(AP737/100)</f>
        <v>0</v>
      </c>
      <c r="BH737" s="57">
        <f>SUMIF(Invoice!A:A,F737,Invoice!B:B)</f>
        <v>0</v>
      </c>
      <c r="BI737" s="57">
        <f ca="1">SUMIF(AS:AS,AS737,BG:BG)</f>
        <v>2000</v>
      </c>
      <c r="BJ737" s="57">
        <f ca="1">MIN((BI737-SUMIF($AS$5:AS736,AS737,$BJ$5:BJ736)),MAX(0,BH737-SUMIF($F$5:F736,F737,$BJ$5:BJ736)))</f>
        <v>0</v>
      </c>
      <c r="BK737" s="57">
        <f ca="1">(-SUMIF(AS:AS,AS737,BG:BG)+SUMIF(AS:AS,AS737,BJ:BJ))*(AP737=100)*AR737</f>
        <v>0</v>
      </c>
      <c r="BL737" s="57">
        <f ca="1">MAX(0,SUMIF(Invoice!A:A,F737,Invoice!B:B)-SUMIF(F:F,F737,BJ:BJ))*(COUNTIF(F:F,F737)=COUNTIF($F$5:F737,F737))</f>
        <v>0</v>
      </c>
    </row>
    <row r="738" spans="1:64" hidden="1">
      <c r="A738" s="43">
        <v>738</v>
      </c>
      <c r="B738" s="13" t="s">
        <v>147</v>
      </c>
      <c r="C738" s="13" t="s">
        <v>146</v>
      </c>
      <c r="D738" s="13">
        <v>2</v>
      </c>
      <c r="E738" s="13">
        <v>2390</v>
      </c>
      <c r="F738" s="71" t="s">
        <v>1717</v>
      </c>
      <c r="G738" s="71" t="s">
        <v>1718</v>
      </c>
      <c r="H738" s="13" t="s">
        <v>1719</v>
      </c>
      <c r="I738" s="13" t="s">
        <v>55</v>
      </c>
      <c r="J738" s="28">
        <v>0</v>
      </c>
      <c r="K738" s="13" t="s">
        <v>150</v>
      </c>
      <c r="L738" s="13" t="s">
        <v>53</v>
      </c>
      <c r="M738" s="13">
        <v>3</v>
      </c>
      <c r="O738" s="13">
        <v>1</v>
      </c>
      <c r="P738" s="13">
        <v>2</v>
      </c>
      <c r="Q738" s="13">
        <v>2</v>
      </c>
      <c r="R738" s="13" t="s">
        <v>73</v>
      </c>
      <c r="S738" s="13" t="s">
        <v>73</v>
      </c>
      <c r="T738" s="13">
        <v>44901</v>
      </c>
      <c r="U738" s="13">
        <v>2958465</v>
      </c>
      <c r="V738" s="13" t="s">
        <v>282</v>
      </c>
      <c r="W738" s="13" t="s">
        <v>145</v>
      </c>
      <c r="Y738" s="13" t="s">
        <v>143</v>
      </c>
      <c r="Z738" s="13">
        <v>7589154</v>
      </c>
      <c r="AA738" s="13">
        <v>1366</v>
      </c>
      <c r="AB738" s="13">
        <v>683</v>
      </c>
      <c r="AE738" s="51">
        <f>M738/O738</f>
        <v>3</v>
      </c>
      <c r="AG738" s="6" t="str">
        <f>C738</f>
        <v>90MB1BJ0-C1BAY0</v>
      </c>
      <c r="AH738" s="6" t="str">
        <f>IF($D738&lt;=AH$4,"",IF(AND($D737=AH$4,$D738&gt;AH$4),$F737,AH737))</f>
        <v>59MB1BJB-MB0A02S</v>
      </c>
      <c r="AI738" s="6" t="str">
        <f>IF($D738&lt;=AI$4,"",IF(AND($D737=AI$4,$D738&gt;AI$4),$F737,AI737))</f>
        <v/>
      </c>
      <c r="AJ738" s="6" t="str">
        <f>IF($D738&lt;=AJ$4,"",IF(AND($D737=AJ$4,$D738&gt;AJ$4),$F737,AJ737))</f>
        <v/>
      </c>
      <c r="AK738" s="6" t="str">
        <f>IF($D738&lt;=AK$4,"",IF(AND($D737=AK$4,$D738&gt;AK$4),$F737,AK737))</f>
        <v/>
      </c>
      <c r="AL738" s="6" t="str">
        <f>IF($D738&lt;=AL$4,"",IF(AND($D737=AL$4,$D738&gt;AL$4),$F737,AL737))</f>
        <v/>
      </c>
      <c r="AM738" s="6" t="str">
        <f>IF($D738&lt;=AM$4,"",IF(AND($D737=AM$4,$D738&gt;AM$4),$F737,AM737))</f>
        <v/>
      </c>
      <c r="AN738" s="6" t="str">
        <f>IF($D738&lt;=AN$4,"",IF(AND($D737=AN$4,$D738&gt;AN$4),$F737,AN737))</f>
        <v/>
      </c>
      <c r="AO738" s="6" t="str">
        <f>CONCATENATE(AG738," | ",AH738," | ",AI738," | ",AJ738," | ",AK738," | ",AL738," | ",AM738," | ",AN738)</f>
        <v xml:space="preserve">90MB1BJ0-C1BAY0 | 59MB1BJB-MB0A02S |  |  |  |  |  | </v>
      </c>
      <c r="AP738" s="6">
        <f>IF(TRIM(H738)="",100,J738)</f>
        <v>0</v>
      </c>
      <c r="AQ738" s="4"/>
      <c r="AR738" s="6" t="b">
        <f>NOT(TRIM(W738)&lt;&gt;"F")</f>
        <v>1</v>
      </c>
      <c r="AS738" s="6" t="str">
        <f>$B738&amp;" | "&amp;$AO738&amp;" | "&amp;IF(TRIM(H738)="","uniq"&amp;ROW(),TRIM(H738))</f>
        <v>461E | 90MB1BJ0-C1BAY0 | 59MB1BJB-MB0A02S |  |  |  |  |  |  | N9</v>
      </c>
      <c r="AT738" s="63">
        <f>IF(NOT(AR738),IF(TRIM($H738)="","Assembly","Phantom Alt"),VLOOKUP(F738,ZPCS04!B:G,6,0))</f>
        <v>760</v>
      </c>
      <c r="AU738" s="7"/>
      <c r="AV738" s="38">
        <f ca="1">IF(TRIM($W738)="F",OFFSET($A$5,MATCH($AS738,$AS$5:$AS738,0)-1,0),$A738)</f>
        <v>738</v>
      </c>
      <c r="AW738" s="38">
        <f ca="1">IFERROR(OFFSET(ZPCS04!$A$1,MATCH(F738,ZPCS04!B:B,0)-1,0),100)</f>
        <v>1.99999996</v>
      </c>
      <c r="AX738" s="7"/>
      <c r="AY738" s="6" t="b">
        <f>SUMIF(AS:AS,AS738,AP:AP)=100</f>
        <v>1</v>
      </c>
      <c r="AZ738" s="6" t="b">
        <f>SUMIF(AS:AS,AS738,AE:AE)/COUNTIF(AS:AS,AS738)=AE738</f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>C738&amp;" | "&amp;F738</f>
        <v>90MB1BJ0-C1BAY0 | 11G233110311070</v>
      </c>
      <c r="BE738" s="55" t="str">
        <f ca="1">C738&amp;" | "&amp;OFFSET($AF738,0,8-COUNTBLANK($AG738:$AN738))</f>
        <v>90MB1BJ0-C1BAY0 | 59MB1BJB-MB0A02S</v>
      </c>
      <c r="BF738" s="57">
        <f ca="1">IFERROR(VLOOKUP($BE738,$BD$5:$BF737,3,0)*$AE738,VLOOKUP($C738,Demanda!$A:$B,2,0)*$AE738)*IF(AT738="Phantom Alt",$BC738,TRUE)</f>
        <v>3000</v>
      </c>
      <c r="BG738" s="57">
        <f ca="1">BF738*(AP738/100)</f>
        <v>0</v>
      </c>
      <c r="BH738" s="57">
        <f>SUMIF(Invoice!A:A,F738,Invoice!B:B)</f>
        <v>4000</v>
      </c>
      <c r="BI738" s="57">
        <f ca="1">SUMIF(AS:AS,AS738,BG:BG)</f>
        <v>3000</v>
      </c>
      <c r="BJ738" s="57">
        <f ca="1">MIN((BI738-SUMIF($AS$5:AS737,AS738,$BJ$5:BJ737)),MAX(0,BH738-SUMIF($F$5:F737,F738,$BJ$5:BJ737)))</f>
        <v>3000</v>
      </c>
      <c r="BK738" s="57">
        <f ca="1">(-SUMIF(AS:AS,AS738,BG:BG)+SUMIF(AS:AS,AS738,BJ:BJ))*(AP738=100)*AR738</f>
        <v>0</v>
      </c>
      <c r="BL738" s="57">
        <f ca="1">MAX(0,SUMIF(Invoice!A:A,F738,Invoice!B:B)-SUMIF(F:F,F738,BJ:BJ))*(COUNTIF(F:F,F738)=COUNTIF($F$5:F738,F738))</f>
        <v>1000</v>
      </c>
    </row>
    <row r="739" spans="1:64" hidden="1">
      <c r="A739" s="43">
        <v>739</v>
      </c>
      <c r="B739" s="13" t="s">
        <v>147</v>
      </c>
      <c r="C739" s="13" t="s">
        <v>146</v>
      </c>
      <c r="D739" s="13">
        <v>2</v>
      </c>
      <c r="E739" s="13">
        <v>2390</v>
      </c>
      <c r="F739" s="71" t="s">
        <v>1720</v>
      </c>
      <c r="G739" s="71" t="s">
        <v>1721</v>
      </c>
      <c r="H739" s="13" t="s">
        <v>1719</v>
      </c>
      <c r="I739" s="13" t="s">
        <v>54</v>
      </c>
      <c r="J739" s="28">
        <v>100</v>
      </c>
      <c r="K739" s="13" t="s">
        <v>150</v>
      </c>
      <c r="L739" s="13" t="s">
        <v>53</v>
      </c>
      <c r="M739" s="13">
        <v>3</v>
      </c>
      <c r="N739" s="13">
        <v>3</v>
      </c>
      <c r="O739" s="13">
        <v>1</v>
      </c>
      <c r="P739" s="13">
        <v>2</v>
      </c>
      <c r="Q739" s="13">
        <v>1</v>
      </c>
      <c r="R739" s="13" t="s">
        <v>73</v>
      </c>
      <c r="S739" s="13" t="s">
        <v>73</v>
      </c>
      <c r="T739" s="13">
        <v>44901</v>
      </c>
      <c r="U739" s="13">
        <v>2958465</v>
      </c>
      <c r="V739" s="13" t="s">
        <v>282</v>
      </c>
      <c r="W739" s="13" t="s">
        <v>145</v>
      </c>
      <c r="Y739" s="13" t="s">
        <v>143</v>
      </c>
      <c r="Z739" s="13">
        <v>7589154</v>
      </c>
      <c r="AA739" s="13">
        <v>1364</v>
      </c>
      <c r="AB739" s="13">
        <v>682</v>
      </c>
      <c r="AE739" s="51">
        <f>M739/O739</f>
        <v>3</v>
      </c>
      <c r="AG739" s="6" t="str">
        <f>C739</f>
        <v>90MB1BJ0-C1BAY0</v>
      </c>
      <c r="AH739" s="6" t="str">
        <f>IF($D739&lt;=AH$4,"",IF(AND($D738=AH$4,$D739&gt;AH$4),$F738,AH738))</f>
        <v>59MB1BJB-MB0A02S</v>
      </c>
      <c r="AI739" s="6" t="str">
        <f>IF($D739&lt;=AI$4,"",IF(AND($D738=AI$4,$D739&gt;AI$4),$F738,AI738))</f>
        <v/>
      </c>
      <c r="AJ739" s="6" t="str">
        <f>IF($D739&lt;=AJ$4,"",IF(AND($D738=AJ$4,$D739&gt;AJ$4),$F738,AJ738))</f>
        <v/>
      </c>
      <c r="AK739" s="6" t="str">
        <f>IF($D739&lt;=AK$4,"",IF(AND($D738=AK$4,$D739&gt;AK$4),$F738,AK738))</f>
        <v/>
      </c>
      <c r="AL739" s="6" t="str">
        <f>IF($D739&lt;=AL$4,"",IF(AND($D738=AL$4,$D739&gt;AL$4),$F738,AL738))</f>
        <v/>
      </c>
      <c r="AM739" s="6" t="str">
        <f>IF($D739&lt;=AM$4,"",IF(AND($D738=AM$4,$D739&gt;AM$4),$F738,AM738))</f>
        <v/>
      </c>
      <c r="AN739" s="6" t="str">
        <f>IF($D739&lt;=AN$4,"",IF(AND($D738=AN$4,$D739&gt;AN$4),$F738,AN738))</f>
        <v/>
      </c>
      <c r="AO739" s="6" t="str">
        <f>CONCATENATE(AG739," | ",AH739," | ",AI739," | ",AJ739," | ",AK739," | ",AL739," | ",AM739," | ",AN739)</f>
        <v xml:space="preserve">90MB1BJ0-C1BAY0 | 59MB1BJB-MB0A02S |  |  |  |  |  | </v>
      </c>
      <c r="AP739" s="6">
        <f>IF(TRIM(H739)="",100,J739)</f>
        <v>100</v>
      </c>
      <c r="AQ739" s="4"/>
      <c r="AR739" s="6" t="b">
        <f>NOT(TRIM(W739)&lt;&gt;"F")</f>
        <v>1</v>
      </c>
      <c r="AS739" s="6" t="str">
        <f>$B739&amp;" | "&amp;$AO739&amp;" | "&amp;IF(TRIM(H739)="","uniq"&amp;ROW(),TRIM(H739))</f>
        <v>461E | 90MB1BJ0-C1BAY0 | 59MB1BJB-MB0A02S |  |  |  |  |  |  | N9</v>
      </c>
      <c r="AT739" s="63">
        <f>IF(NOT(AR739),IF(TRIM($H739)="","Assembly","Phantom Alt"),VLOOKUP(F739,ZPCS04!B:G,6,0))</f>
        <v>760</v>
      </c>
      <c r="AU739" s="7"/>
      <c r="AV739" s="38">
        <f ca="1">IF(TRIM($W739)="F",OFFSET($A$5,MATCH($AS739,$AS$5:$AS739,0)-1,0),$A739)</f>
        <v>738</v>
      </c>
      <c r="AW739" s="38">
        <f ca="1">IFERROR(OFFSET(ZPCS04!$A$1,MATCH(F739,ZPCS04!B:B,0)-1,0),100)</f>
        <v>2</v>
      </c>
      <c r="AX739" s="7"/>
      <c r="AY739" s="6" t="b">
        <f>SUMIF(AS:AS,AS739,AP:AP)=100</f>
        <v>1</v>
      </c>
      <c r="AZ739" s="6" t="b">
        <f>SUMIF(AS:AS,AS739,AE:AE)/COUNTIF(AS:AS,AS739)=AE739</f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>C739&amp;" | "&amp;F739</f>
        <v>90MB1BJ0-C1BAY0 | 11G233110311320</v>
      </c>
      <c r="BE739" s="55" t="str">
        <f ca="1">C739&amp;" | "&amp;OFFSET($AF739,0,8-COUNTBLANK($AG739:$AN739))</f>
        <v>90MB1BJ0-C1BAY0 | 59MB1BJB-MB0A02S</v>
      </c>
      <c r="BF739" s="57">
        <f ca="1">IFERROR(VLOOKUP($BE739,$BD$5:$BF738,3,0)*$AE739,VLOOKUP($C739,Demanda!$A:$B,2,0)*$AE739)*IF(AT739="Phantom Alt",$BC739,TRUE)</f>
        <v>3000</v>
      </c>
      <c r="BG739" s="57">
        <f ca="1">BF739*(AP739/100)</f>
        <v>3000</v>
      </c>
      <c r="BH739" s="57">
        <f>SUMIF(Invoice!A:A,F739,Invoice!B:B)</f>
        <v>0</v>
      </c>
      <c r="BI739" s="57">
        <f ca="1">SUMIF(AS:AS,AS739,BG:BG)</f>
        <v>3000</v>
      </c>
      <c r="BJ739" s="57">
        <f ca="1">MIN((BI739-SUMIF($AS$5:AS738,AS739,$BJ$5:BJ738)),MAX(0,BH739-SUMIF($F$5:F738,F739,$BJ$5:BJ738)))</f>
        <v>0</v>
      </c>
      <c r="BK739" s="57">
        <f ca="1">(-SUMIF(AS:AS,AS739,BG:BG)+SUMIF(AS:AS,AS739,BJ:BJ))*(AP739=100)*AR739</f>
        <v>0</v>
      </c>
      <c r="BL739" s="57">
        <f ca="1">MAX(0,SUMIF(Invoice!A:A,F739,Invoice!B:B)-SUMIF(F:F,F739,BJ:BJ))*(COUNTIF(F:F,F739)=COUNTIF($F$5:F739,F739))</f>
        <v>0</v>
      </c>
    </row>
    <row r="740" spans="1:64" hidden="1">
      <c r="A740" s="43">
        <v>740</v>
      </c>
      <c r="B740" s="13" t="s">
        <v>147</v>
      </c>
      <c r="C740" s="13" t="s">
        <v>146</v>
      </c>
      <c r="D740" s="13">
        <v>2</v>
      </c>
      <c r="E740" s="13">
        <v>2390</v>
      </c>
      <c r="F740" s="71" t="s">
        <v>1722</v>
      </c>
      <c r="G740" s="71" t="s">
        <v>1723</v>
      </c>
      <c r="H740" s="13" t="s">
        <v>1719</v>
      </c>
      <c r="I740" s="13" t="s">
        <v>55</v>
      </c>
      <c r="J740" s="28">
        <v>0</v>
      </c>
      <c r="K740" s="13" t="s">
        <v>150</v>
      </c>
      <c r="L740" s="13" t="s">
        <v>53</v>
      </c>
      <c r="M740" s="13">
        <v>3</v>
      </c>
      <c r="O740" s="13">
        <v>1</v>
      </c>
      <c r="P740" s="13">
        <v>2</v>
      </c>
      <c r="Q740" s="13">
        <v>3</v>
      </c>
      <c r="R740" s="13" t="s">
        <v>73</v>
      </c>
      <c r="S740" s="13" t="s">
        <v>73</v>
      </c>
      <c r="T740" s="13">
        <v>44901</v>
      </c>
      <c r="U740" s="13">
        <v>2958465</v>
      </c>
      <c r="V740" s="13" t="s">
        <v>282</v>
      </c>
      <c r="W740" s="13" t="s">
        <v>145</v>
      </c>
      <c r="Y740" s="13" t="s">
        <v>143</v>
      </c>
      <c r="Z740" s="13">
        <v>7589154</v>
      </c>
      <c r="AA740" s="13">
        <v>1368</v>
      </c>
      <c r="AB740" s="13">
        <v>684</v>
      </c>
      <c r="AE740" s="51">
        <f>M740/O740</f>
        <v>3</v>
      </c>
      <c r="AG740" s="6" t="str">
        <f>C740</f>
        <v>90MB1BJ0-C1BAY0</v>
      </c>
      <c r="AH740" s="6" t="str">
        <f>IF($D740&lt;=AH$4,"",IF(AND($D739=AH$4,$D740&gt;AH$4),$F739,AH739))</f>
        <v>59MB1BJB-MB0A02S</v>
      </c>
      <c r="AI740" s="6" t="str">
        <f>IF($D740&lt;=AI$4,"",IF(AND($D739=AI$4,$D740&gt;AI$4),$F739,AI739))</f>
        <v/>
      </c>
      <c r="AJ740" s="6" t="str">
        <f>IF($D740&lt;=AJ$4,"",IF(AND($D739=AJ$4,$D740&gt;AJ$4),$F739,AJ739))</f>
        <v/>
      </c>
      <c r="AK740" s="6" t="str">
        <f>IF($D740&lt;=AK$4,"",IF(AND($D739=AK$4,$D740&gt;AK$4),$F739,AK739))</f>
        <v/>
      </c>
      <c r="AL740" s="6" t="str">
        <f>IF($D740&lt;=AL$4,"",IF(AND($D739=AL$4,$D740&gt;AL$4),$F739,AL739))</f>
        <v/>
      </c>
      <c r="AM740" s="6" t="str">
        <f>IF($D740&lt;=AM$4,"",IF(AND($D739=AM$4,$D740&gt;AM$4),$F739,AM739))</f>
        <v/>
      </c>
      <c r="AN740" s="6" t="str">
        <f>IF($D740&lt;=AN$4,"",IF(AND($D739=AN$4,$D740&gt;AN$4),$F739,AN739))</f>
        <v/>
      </c>
      <c r="AO740" s="6" t="str">
        <f>CONCATENATE(AG740," | ",AH740," | ",AI740," | ",AJ740," | ",AK740," | ",AL740," | ",AM740," | ",AN740)</f>
        <v xml:space="preserve">90MB1BJ0-C1BAY0 | 59MB1BJB-MB0A02S |  |  |  |  |  | </v>
      </c>
      <c r="AP740" s="6">
        <f>IF(TRIM(H740)="",100,J740)</f>
        <v>0</v>
      </c>
      <c r="AQ740" s="4"/>
      <c r="AR740" s="6" t="b">
        <f>NOT(TRIM(W740)&lt;&gt;"F")</f>
        <v>1</v>
      </c>
      <c r="AS740" s="6" t="str">
        <f>$B740&amp;" | "&amp;$AO740&amp;" | "&amp;IF(TRIM(H740)="","uniq"&amp;ROW(),TRIM(H740))</f>
        <v>461E | 90MB1BJ0-C1BAY0 | 59MB1BJB-MB0A02S |  |  |  |  |  |  | N9</v>
      </c>
      <c r="AT740" s="63">
        <f>IF(NOT(AR740),IF(TRIM($H740)="","Assembly","Phantom Alt"),VLOOKUP(F740,ZPCS04!B:G,6,0))</f>
        <v>760</v>
      </c>
      <c r="AU740" s="7"/>
      <c r="AV740" s="38">
        <f ca="1">IF(TRIM($W740)="F",OFFSET($A$5,MATCH($AS740,$AS$5:$AS740,0)-1,0),$A740)</f>
        <v>738</v>
      </c>
      <c r="AW740" s="38">
        <f ca="1">IFERROR(OFFSET(ZPCS04!$A$1,MATCH(F740,ZPCS04!B:B,0)-1,0),100)</f>
        <v>2</v>
      </c>
      <c r="AX740" s="7"/>
      <c r="AY740" s="6" t="b">
        <f>SUMIF(AS:AS,AS740,AP:AP)=100</f>
        <v>1</v>
      </c>
      <c r="AZ740" s="6" t="b">
        <f>SUMIF(AS:AS,AS740,AE:AE)/COUNTIF(AS:AS,AS740)=AE740</f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>C740&amp;" | "&amp;F740</f>
        <v>90MB1BJ0-C1BAY0 | 11G233110311390</v>
      </c>
      <c r="BE740" s="55" t="str">
        <f ca="1">C740&amp;" | "&amp;OFFSET($AF740,0,8-COUNTBLANK($AG740:$AN740))</f>
        <v>90MB1BJ0-C1BAY0 | 59MB1BJB-MB0A02S</v>
      </c>
      <c r="BF740" s="57">
        <f ca="1">IFERROR(VLOOKUP($BE740,$BD$5:$BF739,3,0)*$AE740,VLOOKUP($C740,Demanda!$A:$B,2,0)*$AE740)*IF(AT740="Phantom Alt",$BC740,TRUE)</f>
        <v>3000</v>
      </c>
      <c r="BG740" s="57">
        <f ca="1">BF740*(AP740/100)</f>
        <v>0</v>
      </c>
      <c r="BH740" s="57">
        <f>SUMIF(Invoice!A:A,F740,Invoice!B:B)</f>
        <v>0</v>
      </c>
      <c r="BI740" s="57">
        <f ca="1">SUMIF(AS:AS,AS740,BG:BG)</f>
        <v>3000</v>
      </c>
      <c r="BJ740" s="57">
        <f ca="1">MIN((BI740-SUMIF($AS$5:AS739,AS740,$BJ$5:BJ739)),MAX(0,BH740-SUMIF($F$5:F739,F740,$BJ$5:BJ739)))</f>
        <v>0</v>
      </c>
      <c r="BK740" s="57">
        <f ca="1">(-SUMIF(AS:AS,AS740,BG:BG)+SUMIF(AS:AS,AS740,BJ:BJ))*(AP740=100)*AR740</f>
        <v>0</v>
      </c>
      <c r="BL740" s="57">
        <f ca="1">MAX(0,SUMIF(Invoice!A:A,F740,Invoice!B:B)-SUMIF(F:F,F740,BJ:BJ))*(COUNTIF(F:F,F740)=COUNTIF($F$5:F740,F740))</f>
        <v>0</v>
      </c>
    </row>
    <row r="741" spans="1:64" hidden="1">
      <c r="A741" s="43">
        <v>741</v>
      </c>
      <c r="B741" s="13" t="s">
        <v>147</v>
      </c>
      <c r="C741" s="13" t="s">
        <v>146</v>
      </c>
      <c r="D741" s="13">
        <v>2</v>
      </c>
      <c r="E741" s="13">
        <v>2400</v>
      </c>
      <c r="F741" s="71" t="s">
        <v>1724</v>
      </c>
      <c r="G741" s="71" t="s">
        <v>1725</v>
      </c>
      <c r="H741" s="13" t="s">
        <v>1726</v>
      </c>
      <c r="I741" s="13" t="s">
        <v>55</v>
      </c>
      <c r="J741" s="28">
        <v>0</v>
      </c>
      <c r="K741" s="13" t="s">
        <v>1428</v>
      </c>
      <c r="L741" s="13" t="s">
        <v>53</v>
      </c>
      <c r="M741" s="13">
        <v>11</v>
      </c>
      <c r="O741" s="13">
        <v>1</v>
      </c>
      <c r="P741" s="13">
        <v>2</v>
      </c>
      <c r="Q741" s="13">
        <v>5</v>
      </c>
      <c r="R741" s="13" t="s">
        <v>122</v>
      </c>
      <c r="S741" s="13" t="s">
        <v>122</v>
      </c>
      <c r="T741" s="13">
        <v>44901</v>
      </c>
      <c r="U741" s="13">
        <v>2958465</v>
      </c>
      <c r="V741" s="13" t="s">
        <v>282</v>
      </c>
      <c r="W741" s="13" t="s">
        <v>145</v>
      </c>
      <c r="Y741" s="13" t="s">
        <v>143</v>
      </c>
      <c r="Z741" s="13">
        <v>7589154</v>
      </c>
      <c r="AA741" s="13">
        <v>1378</v>
      </c>
      <c r="AB741" s="13">
        <v>689</v>
      </c>
      <c r="AE741" s="51">
        <f>M741/O741</f>
        <v>11</v>
      </c>
      <c r="AG741" s="6" t="str">
        <f>C741</f>
        <v>90MB1BJ0-C1BAY0</v>
      </c>
      <c r="AH741" s="6" t="str">
        <f>IF($D741&lt;=AH$4,"",IF(AND($D740=AH$4,$D741&gt;AH$4),$F740,AH740))</f>
        <v>59MB1BJB-MB0A02S</v>
      </c>
      <c r="AI741" s="6" t="str">
        <f>IF($D741&lt;=AI$4,"",IF(AND($D740=AI$4,$D741&gt;AI$4),$F740,AI740))</f>
        <v/>
      </c>
      <c r="AJ741" s="6" t="str">
        <f>IF($D741&lt;=AJ$4,"",IF(AND($D740=AJ$4,$D741&gt;AJ$4),$F740,AJ740))</f>
        <v/>
      </c>
      <c r="AK741" s="6" t="str">
        <f>IF($D741&lt;=AK$4,"",IF(AND($D740=AK$4,$D741&gt;AK$4),$F740,AK740))</f>
        <v/>
      </c>
      <c r="AL741" s="6" t="str">
        <f>IF($D741&lt;=AL$4,"",IF(AND($D740=AL$4,$D741&gt;AL$4),$F740,AL740))</f>
        <v/>
      </c>
      <c r="AM741" s="6" t="str">
        <f>IF($D741&lt;=AM$4,"",IF(AND($D740=AM$4,$D741&gt;AM$4),$F740,AM740))</f>
        <v/>
      </c>
      <c r="AN741" s="6" t="str">
        <f>IF($D741&lt;=AN$4,"",IF(AND($D740=AN$4,$D741&gt;AN$4),$F740,AN740))</f>
        <v/>
      </c>
      <c r="AO741" s="6" t="str">
        <f>CONCATENATE(AG741," | ",AH741," | ",AI741," | ",AJ741," | ",AK741," | ",AL741," | ",AM741," | ",AN741)</f>
        <v xml:space="preserve">90MB1BJ0-C1BAY0 | 59MB1BJB-MB0A02S |  |  |  |  |  | </v>
      </c>
      <c r="AP741" s="6">
        <f>IF(TRIM(H741)="",100,J741)</f>
        <v>0</v>
      </c>
      <c r="AQ741" s="4"/>
      <c r="AR741" s="6" t="b">
        <f>NOT(TRIM(W741)&lt;&gt;"F")</f>
        <v>1</v>
      </c>
      <c r="AS741" s="6" t="str">
        <f>$B741&amp;" | "&amp;$AO741&amp;" | "&amp;IF(TRIM(H741)="","uniq"&amp;ROW(),TRIM(H741))</f>
        <v>461E | 90MB1BJ0-C1BAY0 | 59MB1BJB-MB0A02S |  |  |  |  |  |  | O0</v>
      </c>
      <c r="AT741" s="63">
        <f>IF(NOT(AR741),IF(TRIM($H741)="","Assembly","Phantom Alt"),VLOOKUP(F741,ZPCS04!B:G,6,0))</f>
        <v>761</v>
      </c>
      <c r="AU741" s="7"/>
      <c r="AV741" s="38">
        <f ca="1">IF(TRIM($W741)="F",OFFSET($A$5,MATCH($AS741,$AS$5:$AS741,0)-1,0),$A741)</f>
        <v>741</v>
      </c>
      <c r="AW741" s="38">
        <f ca="1">IFERROR(OFFSET(ZPCS04!$A$1,MATCH(F741,ZPCS04!B:B,0)-1,0),100)</f>
        <v>1.9999998799999998</v>
      </c>
      <c r="AX741" s="7"/>
      <c r="AY741" s="6" t="b">
        <f>SUMIF(AS:AS,AS741,AP:AP)=100</f>
        <v>1</v>
      </c>
      <c r="AZ741" s="6" t="b">
        <f>SUMIF(AS:AS,AS741,AE:AE)/COUNTIF(AS:AS,AS741)=AE741</f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>C741&amp;" | "&amp;F741</f>
        <v>90MB1BJ0-C1BAY0 | 11G233110411070</v>
      </c>
      <c r="BE741" s="55" t="str">
        <f ca="1">C741&amp;" | "&amp;OFFSET($AF741,0,8-COUNTBLANK($AG741:$AN741))</f>
        <v>90MB1BJ0-C1BAY0 | 59MB1BJB-MB0A02S</v>
      </c>
      <c r="BF741" s="57">
        <f ca="1">IFERROR(VLOOKUP($BE741,$BD$5:$BF740,3,0)*$AE741,VLOOKUP($C741,Demanda!$A:$B,2,0)*$AE741)*IF(AT741="Phantom Alt",$BC741,TRUE)</f>
        <v>11000</v>
      </c>
      <c r="BG741" s="57">
        <f ca="1">BF741*(AP741/100)</f>
        <v>0</v>
      </c>
      <c r="BH741" s="57">
        <f>SUMIF(Invoice!A:A,F741,Invoice!B:B)</f>
        <v>12000</v>
      </c>
      <c r="BI741" s="57">
        <f ca="1">SUMIF(AS:AS,AS741,BG:BG)</f>
        <v>11000</v>
      </c>
      <c r="BJ741" s="57">
        <f ca="1">MIN((BI741-SUMIF($AS$5:AS740,AS741,$BJ$5:BJ740)),MAX(0,BH741-SUMIF($F$5:F740,F741,$BJ$5:BJ740)))</f>
        <v>11000</v>
      </c>
      <c r="BK741" s="57">
        <f ca="1">(-SUMIF(AS:AS,AS741,BG:BG)+SUMIF(AS:AS,AS741,BJ:BJ))*(AP741=100)*AR741</f>
        <v>0</v>
      </c>
      <c r="BL741" s="57">
        <f ca="1">MAX(0,SUMIF(Invoice!A:A,F741,Invoice!B:B)-SUMIF(F:F,F741,BJ:BJ))*(COUNTIF(F:F,F741)=COUNTIF($F$5:F741,F741))</f>
        <v>1000</v>
      </c>
    </row>
    <row r="742" spans="1:64" hidden="1">
      <c r="A742" s="43">
        <v>742</v>
      </c>
      <c r="B742" s="13" t="s">
        <v>147</v>
      </c>
      <c r="C742" s="13" t="s">
        <v>146</v>
      </c>
      <c r="D742" s="13">
        <v>2</v>
      </c>
      <c r="E742" s="13">
        <v>2400</v>
      </c>
      <c r="F742" s="71" t="s">
        <v>1727</v>
      </c>
      <c r="G742" s="71" t="s">
        <v>1725</v>
      </c>
      <c r="H742" s="13" t="s">
        <v>1726</v>
      </c>
      <c r="I742" s="13" t="s">
        <v>55</v>
      </c>
      <c r="J742" s="28">
        <v>0</v>
      </c>
      <c r="K742" s="13" t="s">
        <v>1428</v>
      </c>
      <c r="L742" s="13" t="s">
        <v>53</v>
      </c>
      <c r="M742" s="13">
        <v>11</v>
      </c>
      <c r="O742" s="13">
        <v>1</v>
      </c>
      <c r="P742" s="13">
        <v>2</v>
      </c>
      <c r="Q742" s="13">
        <v>2</v>
      </c>
      <c r="R742" s="13" t="s">
        <v>122</v>
      </c>
      <c r="S742" s="13" t="s">
        <v>122</v>
      </c>
      <c r="T742" s="13">
        <v>44901</v>
      </c>
      <c r="U742" s="13">
        <v>2958465</v>
      </c>
      <c r="V742" s="13" t="s">
        <v>282</v>
      </c>
      <c r="W742" s="13" t="s">
        <v>145</v>
      </c>
      <c r="Y742" s="13" t="s">
        <v>143</v>
      </c>
      <c r="Z742" s="13">
        <v>7589154</v>
      </c>
      <c r="AA742" s="13">
        <v>1372</v>
      </c>
      <c r="AB742" s="13">
        <v>686</v>
      </c>
      <c r="AE742" s="51">
        <f>M742/O742</f>
        <v>11</v>
      </c>
      <c r="AG742" s="6" t="str">
        <f>C742</f>
        <v>90MB1BJ0-C1BAY0</v>
      </c>
      <c r="AH742" s="6" t="str">
        <f>IF($D742&lt;=AH$4,"",IF(AND($D741=AH$4,$D742&gt;AH$4),$F741,AH741))</f>
        <v>59MB1BJB-MB0A02S</v>
      </c>
      <c r="AI742" s="6" t="str">
        <f>IF($D742&lt;=AI$4,"",IF(AND($D741=AI$4,$D742&gt;AI$4),$F741,AI741))</f>
        <v/>
      </c>
      <c r="AJ742" s="6" t="str">
        <f>IF($D742&lt;=AJ$4,"",IF(AND($D741=AJ$4,$D742&gt;AJ$4),$F741,AJ741))</f>
        <v/>
      </c>
      <c r="AK742" s="6" t="str">
        <f>IF($D742&lt;=AK$4,"",IF(AND($D741=AK$4,$D742&gt;AK$4),$F741,AK741))</f>
        <v/>
      </c>
      <c r="AL742" s="6" t="str">
        <f>IF($D742&lt;=AL$4,"",IF(AND($D741=AL$4,$D742&gt;AL$4),$F741,AL741))</f>
        <v/>
      </c>
      <c r="AM742" s="6" t="str">
        <f>IF($D742&lt;=AM$4,"",IF(AND($D741=AM$4,$D742&gt;AM$4),$F741,AM741))</f>
        <v/>
      </c>
      <c r="AN742" s="6" t="str">
        <f>IF($D742&lt;=AN$4,"",IF(AND($D741=AN$4,$D742&gt;AN$4),$F741,AN741))</f>
        <v/>
      </c>
      <c r="AO742" s="6" t="str">
        <f>CONCATENATE(AG742," | ",AH742," | ",AI742," | ",AJ742," | ",AK742," | ",AL742," | ",AM742," | ",AN742)</f>
        <v xml:space="preserve">90MB1BJ0-C1BAY0 | 59MB1BJB-MB0A02S |  |  |  |  |  | </v>
      </c>
      <c r="AP742" s="6">
        <f>IF(TRIM(H742)="",100,J742)</f>
        <v>0</v>
      </c>
      <c r="AQ742" s="4"/>
      <c r="AR742" s="6" t="b">
        <f>NOT(TRIM(W742)&lt;&gt;"F")</f>
        <v>1</v>
      </c>
      <c r="AS742" s="6" t="str">
        <f>$B742&amp;" | "&amp;$AO742&amp;" | "&amp;IF(TRIM(H742)="","uniq"&amp;ROW(),TRIM(H742))</f>
        <v>461E | 90MB1BJ0-C1BAY0 | 59MB1BJB-MB0A02S |  |  |  |  |  |  | O0</v>
      </c>
      <c r="AT742" s="63">
        <f>IF(NOT(AR742),IF(TRIM($H742)="","Assembly","Phantom Alt"),VLOOKUP(F742,ZPCS04!B:G,6,0))</f>
        <v>761</v>
      </c>
      <c r="AU742" s="7"/>
      <c r="AV742" s="38">
        <f ca="1">IF(TRIM($W742)="F",OFFSET($A$5,MATCH($AS742,$AS$5:$AS742,0)-1,0),$A742)</f>
        <v>741</v>
      </c>
      <c r="AW742" s="38">
        <f ca="1">IFERROR(OFFSET(ZPCS04!$A$1,MATCH(F742,ZPCS04!B:B,0)-1,0),100)</f>
        <v>2</v>
      </c>
      <c r="AX742" s="7"/>
      <c r="AY742" s="6" t="b">
        <f>SUMIF(AS:AS,AS742,AP:AP)=100</f>
        <v>1</v>
      </c>
      <c r="AZ742" s="6" t="b">
        <f>SUMIF(AS:AS,AS742,AE:AE)/COUNTIF(AS:AS,AS742)=AE742</f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>C742&amp;" | "&amp;F742</f>
        <v>90MB1BJ0-C1BAY0 | 11G233110411150</v>
      </c>
      <c r="BE742" s="55" t="str">
        <f ca="1">C742&amp;" | "&amp;OFFSET($AF742,0,8-COUNTBLANK($AG742:$AN742))</f>
        <v>90MB1BJ0-C1BAY0 | 59MB1BJB-MB0A02S</v>
      </c>
      <c r="BF742" s="57">
        <f ca="1">IFERROR(VLOOKUP($BE742,$BD$5:$BF741,3,0)*$AE742,VLOOKUP($C742,Demanda!$A:$B,2,0)*$AE742)*IF(AT742="Phantom Alt",$BC742,TRUE)</f>
        <v>11000</v>
      </c>
      <c r="BG742" s="57">
        <f ca="1">BF742*(AP742/100)</f>
        <v>0</v>
      </c>
      <c r="BH742" s="57">
        <f>SUMIF(Invoice!A:A,F742,Invoice!B:B)</f>
        <v>0</v>
      </c>
      <c r="BI742" s="57">
        <f ca="1">SUMIF(AS:AS,AS742,BG:BG)</f>
        <v>11000</v>
      </c>
      <c r="BJ742" s="57">
        <f ca="1">MIN((BI742-SUMIF($AS$5:AS741,AS742,$BJ$5:BJ741)),MAX(0,BH742-SUMIF($F$5:F741,F742,$BJ$5:BJ741)))</f>
        <v>0</v>
      </c>
      <c r="BK742" s="57">
        <f ca="1">(-SUMIF(AS:AS,AS742,BG:BG)+SUMIF(AS:AS,AS742,BJ:BJ))*(AP742=100)*AR742</f>
        <v>0</v>
      </c>
      <c r="BL742" s="57">
        <f ca="1">MAX(0,SUMIF(Invoice!A:A,F742,Invoice!B:B)-SUMIF(F:F,F742,BJ:BJ))*(COUNTIF(F:F,F742)=COUNTIF($F$5:F742,F742))</f>
        <v>0</v>
      </c>
    </row>
    <row r="743" spans="1:64" hidden="1">
      <c r="A743" s="43">
        <v>743</v>
      </c>
      <c r="B743" s="13" t="s">
        <v>147</v>
      </c>
      <c r="C743" s="13" t="s">
        <v>146</v>
      </c>
      <c r="D743" s="13">
        <v>2</v>
      </c>
      <c r="E743" s="13">
        <v>2400</v>
      </c>
      <c r="F743" s="71" t="s">
        <v>1728</v>
      </c>
      <c r="G743" s="71" t="s">
        <v>1729</v>
      </c>
      <c r="H743" s="13" t="s">
        <v>1726</v>
      </c>
      <c r="I743" s="13" t="s">
        <v>54</v>
      </c>
      <c r="J743" s="28">
        <v>100</v>
      </c>
      <c r="K743" s="13" t="s">
        <v>1428</v>
      </c>
      <c r="L743" s="13" t="s">
        <v>53</v>
      </c>
      <c r="M743" s="13">
        <v>11</v>
      </c>
      <c r="N743" s="13">
        <v>11</v>
      </c>
      <c r="O743" s="13">
        <v>1</v>
      </c>
      <c r="P743" s="13">
        <v>2</v>
      </c>
      <c r="Q743" s="13">
        <v>1</v>
      </c>
      <c r="R743" s="13" t="s">
        <v>122</v>
      </c>
      <c r="S743" s="13" t="s">
        <v>122</v>
      </c>
      <c r="T743" s="13">
        <v>44901</v>
      </c>
      <c r="U743" s="13">
        <v>2958465</v>
      </c>
      <c r="V743" s="13" t="s">
        <v>282</v>
      </c>
      <c r="W743" s="13" t="s">
        <v>145</v>
      </c>
      <c r="Y743" s="13" t="s">
        <v>143</v>
      </c>
      <c r="Z743" s="13">
        <v>7589154</v>
      </c>
      <c r="AA743" s="13">
        <v>1370</v>
      </c>
      <c r="AB743" s="13">
        <v>685</v>
      </c>
      <c r="AE743" s="51">
        <f>M743/O743</f>
        <v>11</v>
      </c>
      <c r="AG743" s="6" t="str">
        <f>C743</f>
        <v>90MB1BJ0-C1BAY0</v>
      </c>
      <c r="AH743" s="6" t="str">
        <f>IF($D743&lt;=AH$4,"",IF(AND($D742=AH$4,$D743&gt;AH$4),$F742,AH742))</f>
        <v>59MB1BJB-MB0A02S</v>
      </c>
      <c r="AI743" s="6" t="str">
        <f>IF($D743&lt;=AI$4,"",IF(AND($D742=AI$4,$D743&gt;AI$4),$F742,AI742))</f>
        <v/>
      </c>
      <c r="AJ743" s="6" t="str">
        <f>IF($D743&lt;=AJ$4,"",IF(AND($D742=AJ$4,$D743&gt;AJ$4),$F742,AJ742))</f>
        <v/>
      </c>
      <c r="AK743" s="6" t="str">
        <f>IF($D743&lt;=AK$4,"",IF(AND($D742=AK$4,$D743&gt;AK$4),$F742,AK742))</f>
        <v/>
      </c>
      <c r="AL743" s="6" t="str">
        <f>IF($D743&lt;=AL$4,"",IF(AND($D742=AL$4,$D743&gt;AL$4),$F742,AL742))</f>
        <v/>
      </c>
      <c r="AM743" s="6" t="str">
        <f>IF($D743&lt;=AM$4,"",IF(AND($D742=AM$4,$D743&gt;AM$4),$F742,AM742))</f>
        <v/>
      </c>
      <c r="AN743" s="6" t="str">
        <f>IF($D743&lt;=AN$4,"",IF(AND($D742=AN$4,$D743&gt;AN$4),$F742,AN742))</f>
        <v/>
      </c>
      <c r="AO743" s="6" t="str">
        <f>CONCATENATE(AG743," | ",AH743," | ",AI743," | ",AJ743," | ",AK743," | ",AL743," | ",AM743," | ",AN743)</f>
        <v xml:space="preserve">90MB1BJ0-C1BAY0 | 59MB1BJB-MB0A02S |  |  |  |  |  | </v>
      </c>
      <c r="AP743" s="6">
        <f>IF(TRIM(H743)="",100,J743)</f>
        <v>100</v>
      </c>
      <c r="AQ743" s="4"/>
      <c r="AR743" s="6" t="b">
        <f>NOT(TRIM(W743)&lt;&gt;"F")</f>
        <v>1</v>
      </c>
      <c r="AS743" s="6" t="str">
        <f>$B743&amp;" | "&amp;$AO743&amp;" | "&amp;IF(TRIM(H743)="","uniq"&amp;ROW(),TRIM(H743))</f>
        <v>461E | 90MB1BJ0-C1BAY0 | 59MB1BJB-MB0A02S |  |  |  |  |  |  | O0</v>
      </c>
      <c r="AT743" s="63">
        <f>IF(NOT(AR743),IF(TRIM($H743)="","Assembly","Phantom Alt"),VLOOKUP(F743,ZPCS04!B:G,6,0))</f>
        <v>761</v>
      </c>
      <c r="AU743" s="7"/>
      <c r="AV743" s="38">
        <f ca="1">IF(TRIM($W743)="F",OFFSET($A$5,MATCH($AS743,$AS$5:$AS743,0)-1,0),$A743)</f>
        <v>741</v>
      </c>
      <c r="AW743" s="38">
        <f ca="1">IFERROR(OFFSET(ZPCS04!$A$1,MATCH(F743,ZPCS04!B:B,0)-1,0),100)</f>
        <v>2</v>
      </c>
      <c r="AX743" s="7"/>
      <c r="AY743" s="6" t="b">
        <f>SUMIF(AS:AS,AS743,AP:AP)=100</f>
        <v>1</v>
      </c>
      <c r="AZ743" s="6" t="b">
        <f>SUMIF(AS:AS,AS743,AE:AE)/COUNTIF(AS:AS,AS743)=AE743</f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>C743&amp;" | "&amp;F743</f>
        <v>90MB1BJ0-C1BAY0 | 11G233110411320</v>
      </c>
      <c r="BE743" s="55" t="str">
        <f ca="1">C743&amp;" | "&amp;OFFSET($AF743,0,8-COUNTBLANK($AG743:$AN743))</f>
        <v>90MB1BJ0-C1BAY0 | 59MB1BJB-MB0A02S</v>
      </c>
      <c r="BF743" s="57">
        <f ca="1">IFERROR(VLOOKUP($BE743,$BD$5:$BF742,3,0)*$AE743,VLOOKUP($C743,Demanda!$A:$B,2,0)*$AE743)*IF(AT743="Phantom Alt",$BC743,TRUE)</f>
        <v>11000</v>
      </c>
      <c r="BG743" s="57">
        <f ca="1">BF743*(AP743/100)</f>
        <v>11000</v>
      </c>
      <c r="BH743" s="57">
        <f>SUMIF(Invoice!A:A,F743,Invoice!B:B)</f>
        <v>0</v>
      </c>
      <c r="BI743" s="57">
        <f ca="1">SUMIF(AS:AS,AS743,BG:BG)</f>
        <v>11000</v>
      </c>
      <c r="BJ743" s="57">
        <f ca="1">MIN((BI743-SUMIF($AS$5:AS742,AS743,$BJ$5:BJ742)),MAX(0,BH743-SUMIF($F$5:F742,F743,$BJ$5:BJ742)))</f>
        <v>0</v>
      </c>
      <c r="BK743" s="57">
        <f ca="1">(-SUMIF(AS:AS,AS743,BG:BG)+SUMIF(AS:AS,AS743,BJ:BJ))*(AP743=100)*AR743</f>
        <v>0</v>
      </c>
      <c r="BL743" s="57">
        <f ca="1">MAX(0,SUMIF(Invoice!A:A,F743,Invoice!B:B)-SUMIF(F:F,F743,BJ:BJ))*(COUNTIF(F:F,F743)=COUNTIF($F$5:F743,F743))</f>
        <v>0</v>
      </c>
    </row>
    <row r="744" spans="1:64" hidden="1">
      <c r="A744" s="43">
        <v>744</v>
      </c>
      <c r="B744" s="13" t="s">
        <v>147</v>
      </c>
      <c r="C744" s="13" t="s">
        <v>146</v>
      </c>
      <c r="D744" s="13">
        <v>2</v>
      </c>
      <c r="E744" s="13">
        <v>2400</v>
      </c>
      <c r="F744" s="71" t="s">
        <v>1730</v>
      </c>
      <c r="G744" s="71" t="s">
        <v>1731</v>
      </c>
      <c r="H744" s="13" t="s">
        <v>1726</v>
      </c>
      <c r="I744" s="13" t="s">
        <v>55</v>
      </c>
      <c r="J744" s="28">
        <v>0</v>
      </c>
      <c r="K744" s="13" t="s">
        <v>150</v>
      </c>
      <c r="L744" s="13" t="s">
        <v>53</v>
      </c>
      <c r="M744" s="13">
        <v>11</v>
      </c>
      <c r="O744" s="13">
        <v>1</v>
      </c>
      <c r="P744" s="13">
        <v>2</v>
      </c>
      <c r="Q744" s="13">
        <v>3</v>
      </c>
      <c r="R744" s="13" t="s">
        <v>73</v>
      </c>
      <c r="S744" s="13" t="s">
        <v>73</v>
      </c>
      <c r="T744" s="13">
        <v>44901</v>
      </c>
      <c r="U744" s="13">
        <v>2958465</v>
      </c>
      <c r="V744" s="13" t="s">
        <v>282</v>
      </c>
      <c r="W744" s="13" t="s">
        <v>145</v>
      </c>
      <c r="Y744" s="13" t="s">
        <v>143</v>
      </c>
      <c r="Z744" s="13">
        <v>7589154</v>
      </c>
      <c r="AA744" s="13">
        <v>1374</v>
      </c>
      <c r="AB744" s="13">
        <v>687</v>
      </c>
      <c r="AE744" s="51">
        <f>M744/O744</f>
        <v>11</v>
      </c>
      <c r="AG744" s="6" t="str">
        <f>C744</f>
        <v>90MB1BJ0-C1BAY0</v>
      </c>
      <c r="AH744" s="6" t="str">
        <f>IF($D744&lt;=AH$4,"",IF(AND($D743=AH$4,$D744&gt;AH$4),$F743,AH743))</f>
        <v>59MB1BJB-MB0A02S</v>
      </c>
      <c r="AI744" s="6" t="str">
        <f>IF($D744&lt;=AI$4,"",IF(AND($D743=AI$4,$D744&gt;AI$4),$F743,AI743))</f>
        <v/>
      </c>
      <c r="AJ744" s="6" t="str">
        <f>IF($D744&lt;=AJ$4,"",IF(AND($D743=AJ$4,$D744&gt;AJ$4),$F743,AJ743))</f>
        <v/>
      </c>
      <c r="AK744" s="6" t="str">
        <f>IF($D744&lt;=AK$4,"",IF(AND($D743=AK$4,$D744&gt;AK$4),$F743,AK743))</f>
        <v/>
      </c>
      <c r="AL744" s="6" t="str">
        <f>IF($D744&lt;=AL$4,"",IF(AND($D743=AL$4,$D744&gt;AL$4),$F743,AL743))</f>
        <v/>
      </c>
      <c r="AM744" s="6" t="str">
        <f>IF($D744&lt;=AM$4,"",IF(AND($D743=AM$4,$D744&gt;AM$4),$F743,AM743))</f>
        <v/>
      </c>
      <c r="AN744" s="6" t="str">
        <f>IF($D744&lt;=AN$4,"",IF(AND($D743=AN$4,$D744&gt;AN$4),$F743,AN743))</f>
        <v/>
      </c>
      <c r="AO744" s="6" t="str">
        <f>CONCATENATE(AG744," | ",AH744," | ",AI744," | ",AJ744," | ",AK744," | ",AL744," | ",AM744," | ",AN744)</f>
        <v xml:space="preserve">90MB1BJ0-C1BAY0 | 59MB1BJB-MB0A02S |  |  |  |  |  | </v>
      </c>
      <c r="AP744" s="6">
        <f>IF(TRIM(H744)="",100,J744)</f>
        <v>0</v>
      </c>
      <c r="AQ744" s="4"/>
      <c r="AR744" s="6" t="b">
        <f>NOT(TRIM(W744)&lt;&gt;"F")</f>
        <v>1</v>
      </c>
      <c r="AS744" s="6" t="str">
        <f>$B744&amp;" | "&amp;$AO744&amp;" | "&amp;IF(TRIM(H744)="","uniq"&amp;ROW(),TRIM(H744))</f>
        <v>461E | 90MB1BJ0-C1BAY0 | 59MB1BJB-MB0A02S |  |  |  |  |  |  | O0</v>
      </c>
      <c r="AT744" s="63">
        <f>IF(NOT(AR744),IF(TRIM($H744)="","Assembly","Phantom Alt"),VLOOKUP(F744,ZPCS04!B:G,6,0))</f>
        <v>761</v>
      </c>
      <c r="AU744" s="7"/>
      <c r="AV744" s="38">
        <f ca="1">IF(TRIM($W744)="F",OFFSET($A$5,MATCH($AS744,$AS$5:$AS744,0)-1,0),$A744)</f>
        <v>741</v>
      </c>
      <c r="AW744" s="38">
        <f ca="1">IFERROR(OFFSET(ZPCS04!$A$1,MATCH(F744,ZPCS04!B:B,0)-1,0),100)</f>
        <v>2</v>
      </c>
      <c r="AX744" s="7"/>
      <c r="AY744" s="6" t="b">
        <f>SUMIF(AS:AS,AS744,AP:AP)=100</f>
        <v>1</v>
      </c>
      <c r="AZ744" s="6" t="b">
        <f>SUMIF(AS:AS,AS744,AE:AE)/COUNTIF(AS:AS,AS744)=AE744</f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>C744&amp;" | "&amp;F744</f>
        <v>90MB1BJ0-C1BAY0 | 11G233110411360</v>
      </c>
      <c r="BE744" s="55" t="str">
        <f ca="1">C744&amp;" | "&amp;OFFSET($AF744,0,8-COUNTBLANK($AG744:$AN744))</f>
        <v>90MB1BJ0-C1BAY0 | 59MB1BJB-MB0A02S</v>
      </c>
      <c r="BF744" s="57">
        <f ca="1">IFERROR(VLOOKUP($BE744,$BD$5:$BF743,3,0)*$AE744,VLOOKUP($C744,Demanda!$A:$B,2,0)*$AE744)*IF(AT744="Phantom Alt",$BC744,TRUE)</f>
        <v>11000</v>
      </c>
      <c r="BG744" s="57">
        <f ca="1">BF744*(AP744/100)</f>
        <v>0</v>
      </c>
      <c r="BH744" s="57">
        <f>SUMIF(Invoice!A:A,F744,Invoice!B:B)</f>
        <v>0</v>
      </c>
      <c r="BI744" s="57">
        <f ca="1">SUMIF(AS:AS,AS744,BG:BG)</f>
        <v>11000</v>
      </c>
      <c r="BJ744" s="57">
        <f ca="1">MIN((BI744-SUMIF($AS$5:AS743,AS744,$BJ$5:BJ743)),MAX(0,BH744-SUMIF($F$5:F743,F744,$BJ$5:BJ743)))</f>
        <v>0</v>
      </c>
      <c r="BK744" s="57">
        <f ca="1">(-SUMIF(AS:AS,AS744,BG:BG)+SUMIF(AS:AS,AS744,BJ:BJ))*(AP744=100)*AR744</f>
        <v>0</v>
      </c>
      <c r="BL744" s="57">
        <f ca="1">MAX(0,SUMIF(Invoice!A:A,F744,Invoice!B:B)-SUMIF(F:F,F744,BJ:BJ))*(COUNTIF(F:F,F744)=COUNTIF($F$5:F744,F744))</f>
        <v>0</v>
      </c>
    </row>
    <row r="745" spans="1:64" hidden="1">
      <c r="A745" s="43">
        <v>745</v>
      </c>
      <c r="B745" s="13" t="s">
        <v>147</v>
      </c>
      <c r="C745" s="13" t="s">
        <v>146</v>
      </c>
      <c r="D745" s="13">
        <v>2</v>
      </c>
      <c r="E745" s="13">
        <v>2400</v>
      </c>
      <c r="F745" s="71" t="s">
        <v>1732</v>
      </c>
      <c r="G745" s="71" t="s">
        <v>1729</v>
      </c>
      <c r="H745" s="13" t="s">
        <v>1726</v>
      </c>
      <c r="I745" s="13" t="s">
        <v>55</v>
      </c>
      <c r="J745" s="28">
        <v>0</v>
      </c>
      <c r="K745" s="13" t="s">
        <v>1428</v>
      </c>
      <c r="L745" s="13" t="s">
        <v>53</v>
      </c>
      <c r="M745" s="13">
        <v>11</v>
      </c>
      <c r="O745" s="13">
        <v>1</v>
      </c>
      <c r="P745" s="13">
        <v>2</v>
      </c>
      <c r="Q745" s="13">
        <v>4</v>
      </c>
      <c r="R745" s="13" t="s">
        <v>122</v>
      </c>
      <c r="S745" s="13" t="s">
        <v>122</v>
      </c>
      <c r="T745" s="13">
        <v>44901</v>
      </c>
      <c r="U745" s="13">
        <v>2958465</v>
      </c>
      <c r="V745" s="13" t="s">
        <v>282</v>
      </c>
      <c r="W745" s="13" t="s">
        <v>145</v>
      </c>
      <c r="Y745" s="13" t="s">
        <v>143</v>
      </c>
      <c r="Z745" s="13">
        <v>7589154</v>
      </c>
      <c r="AA745" s="13">
        <v>1376</v>
      </c>
      <c r="AB745" s="13">
        <v>688</v>
      </c>
      <c r="AE745" s="51">
        <f>M745/O745</f>
        <v>11</v>
      </c>
      <c r="AG745" s="6" t="str">
        <f>C745</f>
        <v>90MB1BJ0-C1BAY0</v>
      </c>
      <c r="AH745" s="6" t="str">
        <f>IF($D745&lt;=AH$4,"",IF(AND($D744=AH$4,$D745&gt;AH$4),$F744,AH744))</f>
        <v>59MB1BJB-MB0A02S</v>
      </c>
      <c r="AI745" s="6" t="str">
        <f>IF($D745&lt;=AI$4,"",IF(AND($D744=AI$4,$D745&gt;AI$4),$F744,AI744))</f>
        <v/>
      </c>
      <c r="AJ745" s="6" t="str">
        <f>IF($D745&lt;=AJ$4,"",IF(AND($D744=AJ$4,$D745&gt;AJ$4),$F744,AJ744))</f>
        <v/>
      </c>
      <c r="AK745" s="6" t="str">
        <f>IF($D745&lt;=AK$4,"",IF(AND($D744=AK$4,$D745&gt;AK$4),$F744,AK744))</f>
        <v/>
      </c>
      <c r="AL745" s="6" t="str">
        <f>IF($D745&lt;=AL$4,"",IF(AND($D744=AL$4,$D745&gt;AL$4),$F744,AL744))</f>
        <v/>
      </c>
      <c r="AM745" s="6" t="str">
        <f>IF($D745&lt;=AM$4,"",IF(AND($D744=AM$4,$D745&gt;AM$4),$F744,AM744))</f>
        <v/>
      </c>
      <c r="AN745" s="6" t="str">
        <f>IF($D745&lt;=AN$4,"",IF(AND($D744=AN$4,$D745&gt;AN$4),$F744,AN744))</f>
        <v/>
      </c>
      <c r="AO745" s="6" t="str">
        <f>CONCATENATE(AG745," | ",AH745," | ",AI745," | ",AJ745," | ",AK745," | ",AL745," | ",AM745," | ",AN745)</f>
        <v xml:space="preserve">90MB1BJ0-C1BAY0 | 59MB1BJB-MB0A02S |  |  |  |  |  | </v>
      </c>
      <c r="AP745" s="6">
        <f>IF(TRIM(H745)="",100,J745)</f>
        <v>0</v>
      </c>
      <c r="AQ745" s="4"/>
      <c r="AR745" s="6" t="b">
        <f>NOT(TRIM(W745)&lt;&gt;"F")</f>
        <v>1</v>
      </c>
      <c r="AS745" s="6" t="str">
        <f>$B745&amp;" | "&amp;$AO745&amp;" | "&amp;IF(TRIM(H745)="","uniq"&amp;ROW(),TRIM(H745))</f>
        <v>461E | 90MB1BJ0-C1BAY0 | 59MB1BJB-MB0A02S |  |  |  |  |  |  | O0</v>
      </c>
      <c r="AT745" s="63">
        <f>IF(NOT(AR745),IF(TRIM($H745)="","Assembly","Phantom Alt"),VLOOKUP(F745,ZPCS04!B:G,6,0))</f>
        <v>761</v>
      </c>
      <c r="AU745" s="7"/>
      <c r="AV745" s="38">
        <f ca="1">IF(TRIM($W745)="F",OFFSET($A$5,MATCH($AS745,$AS$5:$AS745,0)-1,0),$A745)</f>
        <v>741</v>
      </c>
      <c r="AW745" s="38">
        <f ca="1">IFERROR(OFFSET(ZPCS04!$A$1,MATCH(F745,ZPCS04!B:B,0)-1,0),100)</f>
        <v>2</v>
      </c>
      <c r="AX745" s="7"/>
      <c r="AY745" s="6" t="b">
        <f>SUMIF(AS:AS,AS745,AP:AP)=100</f>
        <v>1</v>
      </c>
      <c r="AZ745" s="6" t="b">
        <f>SUMIF(AS:AS,AS745,AE:AE)/COUNTIF(AS:AS,AS745)=AE745</f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>C745&amp;" | "&amp;F745</f>
        <v>90MB1BJ0-C1BAY0 | 11G233110411390</v>
      </c>
      <c r="BE745" s="55" t="str">
        <f ca="1">C745&amp;" | "&amp;OFFSET($AF745,0,8-COUNTBLANK($AG745:$AN745))</f>
        <v>90MB1BJ0-C1BAY0 | 59MB1BJB-MB0A02S</v>
      </c>
      <c r="BF745" s="57">
        <f ca="1">IFERROR(VLOOKUP($BE745,$BD$5:$BF744,3,0)*$AE745,VLOOKUP($C745,Demanda!$A:$B,2,0)*$AE745)*IF(AT745="Phantom Alt",$BC745,TRUE)</f>
        <v>11000</v>
      </c>
      <c r="BG745" s="57">
        <f ca="1">BF745*(AP745/100)</f>
        <v>0</v>
      </c>
      <c r="BH745" s="57">
        <f>SUMIF(Invoice!A:A,F745,Invoice!B:B)</f>
        <v>0</v>
      </c>
      <c r="BI745" s="57">
        <f ca="1">SUMIF(AS:AS,AS745,BG:BG)</f>
        <v>11000</v>
      </c>
      <c r="BJ745" s="57">
        <f ca="1">MIN((BI745-SUMIF($AS$5:AS744,AS745,$BJ$5:BJ744)),MAX(0,BH745-SUMIF($F$5:F744,F745,$BJ$5:BJ744)))</f>
        <v>0</v>
      </c>
      <c r="BK745" s="57">
        <f ca="1">(-SUMIF(AS:AS,AS745,BG:BG)+SUMIF(AS:AS,AS745,BJ:BJ))*(AP745=100)*AR745</f>
        <v>0</v>
      </c>
      <c r="BL745" s="57">
        <f ca="1">MAX(0,SUMIF(Invoice!A:A,F745,Invoice!B:B)-SUMIF(F:F,F745,BJ:BJ))*(COUNTIF(F:F,F745)=COUNTIF($F$5:F745,F745))</f>
        <v>0</v>
      </c>
    </row>
    <row r="746" spans="1:64" hidden="1">
      <c r="A746" s="43">
        <v>747</v>
      </c>
      <c r="B746" s="13" t="s">
        <v>147</v>
      </c>
      <c r="C746" s="13" t="s">
        <v>146</v>
      </c>
      <c r="D746" s="13">
        <v>2</v>
      </c>
      <c r="E746" s="13">
        <v>2410</v>
      </c>
      <c r="F746" s="71" t="s">
        <v>1736</v>
      </c>
      <c r="G746" s="71" t="s">
        <v>1734</v>
      </c>
      <c r="H746" s="13" t="s">
        <v>1735</v>
      </c>
      <c r="I746" s="13" t="s">
        <v>55</v>
      </c>
      <c r="J746" s="28">
        <v>0</v>
      </c>
      <c r="K746" s="13" t="s">
        <v>150</v>
      </c>
      <c r="L746" s="13" t="s">
        <v>53</v>
      </c>
      <c r="M746" s="13">
        <v>45</v>
      </c>
      <c r="O746" s="13">
        <v>1</v>
      </c>
      <c r="P746" s="13">
        <v>2</v>
      </c>
      <c r="Q746" s="13">
        <v>3</v>
      </c>
      <c r="R746" s="13" t="s">
        <v>73</v>
      </c>
      <c r="S746" s="13" t="s">
        <v>73</v>
      </c>
      <c r="T746" s="13">
        <v>44901</v>
      </c>
      <c r="U746" s="13">
        <v>2958465</v>
      </c>
      <c r="V746" s="13" t="s">
        <v>282</v>
      </c>
      <c r="W746" s="13" t="s">
        <v>145</v>
      </c>
      <c r="Y746" s="13" t="s">
        <v>143</v>
      </c>
      <c r="Z746" s="13">
        <v>7589154</v>
      </c>
      <c r="AA746" s="13">
        <v>1384</v>
      </c>
      <c r="AB746" s="13">
        <v>692</v>
      </c>
      <c r="AE746" s="51">
        <f>M746/O746</f>
        <v>45</v>
      </c>
      <c r="AG746" s="6" t="str">
        <f>C746</f>
        <v>90MB1BJ0-C1BAY0</v>
      </c>
      <c r="AH746" s="6" t="str">
        <f>IF($D746&lt;=AH$4,"",IF(AND($D745=AH$4,$D746&gt;AH$4),$F745,AH745))</f>
        <v>59MB1BJB-MB0A02S</v>
      </c>
      <c r="AI746" s="6" t="str">
        <f>IF($D746&lt;=AI$4,"",IF(AND($D745=AI$4,$D746&gt;AI$4),$F745,AI745))</f>
        <v/>
      </c>
      <c r="AJ746" s="6" t="str">
        <f>IF($D746&lt;=AJ$4,"",IF(AND($D745=AJ$4,$D746&gt;AJ$4),$F745,AJ745))</f>
        <v/>
      </c>
      <c r="AK746" s="6" t="str">
        <f>IF($D746&lt;=AK$4,"",IF(AND($D745=AK$4,$D746&gt;AK$4),$F745,AK745))</f>
        <v/>
      </c>
      <c r="AL746" s="6" t="str">
        <f>IF($D746&lt;=AL$4,"",IF(AND($D745=AL$4,$D746&gt;AL$4),$F745,AL745))</f>
        <v/>
      </c>
      <c r="AM746" s="6" t="str">
        <f>IF($D746&lt;=AM$4,"",IF(AND($D745=AM$4,$D746&gt;AM$4),$F745,AM745))</f>
        <v/>
      </c>
      <c r="AN746" s="6" t="str">
        <f>IF($D746&lt;=AN$4,"",IF(AND($D745=AN$4,$D746&gt;AN$4),$F745,AN745))</f>
        <v/>
      </c>
      <c r="AO746" s="6" t="str">
        <f>CONCATENATE(AG746," | ",AH746," | ",AI746," | ",AJ746," | ",AK746," | ",AL746," | ",AM746," | ",AN746)</f>
        <v xml:space="preserve">90MB1BJ0-C1BAY0 | 59MB1BJB-MB0A02S |  |  |  |  |  | </v>
      </c>
      <c r="AP746" s="6">
        <f>IF(TRIM(H746)="",100,J746)</f>
        <v>0</v>
      </c>
      <c r="AQ746" s="4"/>
      <c r="AR746" s="6" t="b">
        <f>NOT(TRIM(W746)&lt;&gt;"F")</f>
        <v>1</v>
      </c>
      <c r="AS746" s="6" t="str">
        <f>$B746&amp;" | "&amp;$AO746&amp;" | "&amp;IF(TRIM(H746)="","uniq"&amp;ROW(),TRIM(H746))</f>
        <v>461E | 90MB1BJ0-C1BAY0 | 59MB1BJB-MB0A02S |  |  |  |  |  |  | O1</v>
      </c>
      <c r="AT746" s="63">
        <f>IF(NOT(AR746),IF(TRIM($H746)="","Assembly","Phantom Alt"),VLOOKUP(F746,ZPCS04!B:G,6,0))</f>
        <v>763</v>
      </c>
      <c r="AU746" s="7"/>
      <c r="AV746" s="38">
        <f ca="1">IF(TRIM($W746)="F",OFFSET($A$5,MATCH($AS746,$AS$5:$AS746,0)-1,0),$A746)</f>
        <v>747</v>
      </c>
      <c r="AW746" s="38">
        <f ca="1">IFERROR(OFFSET(ZPCS04!$A$1,MATCH(F746,ZPCS04!B:B,0)-1,0),100)</f>
        <v>1.99999952</v>
      </c>
      <c r="AX746" s="7"/>
      <c r="AY746" s="6" t="b">
        <f>SUMIF(AS:AS,AS746,AP:AP)=100</f>
        <v>1</v>
      </c>
      <c r="AZ746" s="6" t="b">
        <f>SUMIF(AS:AS,AS746,AE:AE)/COUNTIF(AS:AS,AS746)=AE746</f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>C746&amp;" | "&amp;F746</f>
        <v>90MB1BJ0-C1BAY0 | 11G233110511150</v>
      </c>
      <c r="BE746" s="55" t="str">
        <f ca="1">C746&amp;" | "&amp;OFFSET($AF746,0,8-COUNTBLANK($AG746:$AN746))</f>
        <v>90MB1BJ0-C1BAY0 | 59MB1BJB-MB0A02S</v>
      </c>
      <c r="BF746" s="57">
        <f ca="1">IFERROR(VLOOKUP($BE746,$BD$5:$BF745,3,0)*$AE746,VLOOKUP($C746,Demanda!$A:$B,2,0)*$AE746)*IF(AT746="Phantom Alt",$BC746,TRUE)</f>
        <v>45000</v>
      </c>
      <c r="BG746" s="57">
        <f ca="1">BF746*(AP746/100)</f>
        <v>0</v>
      </c>
      <c r="BH746" s="57">
        <f>SUMIF(Invoice!A:A,F746,Invoice!B:B)</f>
        <v>48000</v>
      </c>
      <c r="BI746" s="57">
        <f ca="1">SUMIF(AS:AS,AS746,BG:BG)</f>
        <v>45000</v>
      </c>
      <c r="BJ746" s="57">
        <f ca="1">MIN((BI746-SUMIF($AS$5:AS745,AS746,$BJ$5:BJ745)),MAX(0,BH746-SUMIF($F$5:F745,F746,$BJ$5:BJ745)))</f>
        <v>45000</v>
      </c>
      <c r="BK746" s="57">
        <f ca="1">(-SUMIF(AS:AS,AS746,BG:BG)+SUMIF(AS:AS,AS746,BJ:BJ))*(AP746=100)*AR746</f>
        <v>0</v>
      </c>
      <c r="BL746" s="57">
        <f ca="1">MAX(0,SUMIF(Invoice!A:A,F746,Invoice!B:B)-SUMIF(F:F,F746,BJ:BJ))*(COUNTIF(F:F,F746)=COUNTIF($F$5:F746,F746))</f>
        <v>3000</v>
      </c>
    </row>
    <row r="747" spans="1:64" hidden="1">
      <c r="A747" s="43">
        <v>746</v>
      </c>
      <c r="B747" s="13" t="s">
        <v>147</v>
      </c>
      <c r="C747" s="13" t="s">
        <v>146</v>
      </c>
      <c r="D747" s="13">
        <v>2</v>
      </c>
      <c r="E747" s="13">
        <v>2410</v>
      </c>
      <c r="F747" s="71" t="s">
        <v>1733</v>
      </c>
      <c r="G747" s="71" t="s">
        <v>1734</v>
      </c>
      <c r="H747" s="13" t="s">
        <v>1735</v>
      </c>
      <c r="I747" s="13" t="s">
        <v>55</v>
      </c>
      <c r="J747" s="28">
        <v>0</v>
      </c>
      <c r="K747" s="13" t="s">
        <v>1428</v>
      </c>
      <c r="L747" s="13" t="s">
        <v>53</v>
      </c>
      <c r="M747" s="13">
        <v>45</v>
      </c>
      <c r="O747" s="13">
        <v>1</v>
      </c>
      <c r="P747" s="13">
        <v>2</v>
      </c>
      <c r="Q747" s="13">
        <v>5</v>
      </c>
      <c r="R747" s="13" t="s">
        <v>122</v>
      </c>
      <c r="S747" s="13" t="s">
        <v>122</v>
      </c>
      <c r="T747" s="13">
        <v>44901</v>
      </c>
      <c r="U747" s="13">
        <v>2958465</v>
      </c>
      <c r="V747" s="13" t="s">
        <v>282</v>
      </c>
      <c r="W747" s="13" t="s">
        <v>145</v>
      </c>
      <c r="Y747" s="13" t="s">
        <v>143</v>
      </c>
      <c r="Z747" s="13">
        <v>7589154</v>
      </c>
      <c r="AA747" s="13">
        <v>1388</v>
      </c>
      <c r="AB747" s="13">
        <v>694</v>
      </c>
      <c r="AE747" s="51">
        <f>M747/O747</f>
        <v>45</v>
      </c>
      <c r="AG747" s="6" t="str">
        <f>C747</f>
        <v>90MB1BJ0-C1BAY0</v>
      </c>
      <c r="AH747" s="6" t="str">
        <f>IF($D747&lt;=AH$4,"",IF(AND($D746=AH$4,$D747&gt;AH$4),$F746,AH746))</f>
        <v>59MB1BJB-MB0A02S</v>
      </c>
      <c r="AI747" s="6" t="str">
        <f>IF($D747&lt;=AI$4,"",IF(AND($D746=AI$4,$D747&gt;AI$4),$F746,AI746))</f>
        <v/>
      </c>
      <c r="AJ747" s="6" t="str">
        <f>IF($D747&lt;=AJ$4,"",IF(AND($D746=AJ$4,$D747&gt;AJ$4),$F746,AJ746))</f>
        <v/>
      </c>
      <c r="AK747" s="6" t="str">
        <f>IF($D747&lt;=AK$4,"",IF(AND($D746=AK$4,$D747&gt;AK$4),$F746,AK746))</f>
        <v/>
      </c>
      <c r="AL747" s="6" t="str">
        <f>IF($D747&lt;=AL$4,"",IF(AND($D746=AL$4,$D747&gt;AL$4),$F746,AL746))</f>
        <v/>
      </c>
      <c r="AM747" s="6" t="str">
        <f>IF($D747&lt;=AM$4,"",IF(AND($D746=AM$4,$D747&gt;AM$4),$F746,AM746))</f>
        <v/>
      </c>
      <c r="AN747" s="6" t="str">
        <f>IF($D747&lt;=AN$4,"",IF(AND($D746=AN$4,$D747&gt;AN$4),$F746,AN746))</f>
        <v/>
      </c>
      <c r="AO747" s="6" t="str">
        <f>CONCATENATE(AG747," | ",AH747," | ",AI747," | ",AJ747," | ",AK747," | ",AL747," | ",AM747," | ",AN747)</f>
        <v xml:space="preserve">90MB1BJ0-C1BAY0 | 59MB1BJB-MB0A02S |  |  |  |  |  | </v>
      </c>
      <c r="AP747" s="6">
        <f>IF(TRIM(H747)="",100,J747)</f>
        <v>0</v>
      </c>
      <c r="AQ747" s="4"/>
      <c r="AR747" s="6" t="b">
        <f>NOT(TRIM(W747)&lt;&gt;"F")</f>
        <v>1</v>
      </c>
      <c r="AS747" s="6" t="str">
        <f>$B747&amp;" | "&amp;$AO747&amp;" | "&amp;IF(TRIM(H747)="","uniq"&amp;ROW(),TRIM(H747))</f>
        <v>461E | 90MB1BJ0-C1BAY0 | 59MB1BJB-MB0A02S |  |  |  |  |  |  | O1</v>
      </c>
      <c r="AT747" s="63">
        <f>IF(NOT(AR747),IF(TRIM($H747)="","Assembly","Phantom Alt"),VLOOKUP(F747,ZPCS04!B:G,6,0))</f>
        <v>763</v>
      </c>
      <c r="AU747" s="7"/>
      <c r="AV747" s="38">
        <f ca="1">IF(TRIM($W747)="F",OFFSET($A$5,MATCH($AS747,$AS$5:$AS747,0)-1,0),$A747)</f>
        <v>747</v>
      </c>
      <c r="AW747" s="38">
        <f ca="1">IFERROR(OFFSET(ZPCS04!$A$1,MATCH(F747,ZPCS04!B:B,0)-1,0),100)</f>
        <v>2</v>
      </c>
      <c r="AX747" s="7"/>
      <c r="AY747" s="6" t="b">
        <f>SUMIF(AS:AS,AS747,AP:AP)=100</f>
        <v>1</v>
      </c>
      <c r="AZ747" s="6" t="b">
        <f>SUMIF(AS:AS,AS747,AE:AE)/COUNTIF(AS:AS,AS747)=AE747</f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>C747&amp;" | "&amp;F747</f>
        <v>90MB1BJ0-C1BAY0 | 11G233110511070</v>
      </c>
      <c r="BE747" s="55" t="str">
        <f ca="1">C747&amp;" | "&amp;OFFSET($AF747,0,8-COUNTBLANK($AG747:$AN747))</f>
        <v>90MB1BJ0-C1BAY0 | 59MB1BJB-MB0A02S</v>
      </c>
      <c r="BF747" s="57">
        <f ca="1">IFERROR(VLOOKUP($BE747,$BD$5:$BF746,3,0)*$AE747,VLOOKUP($C747,Demanda!$A:$B,2,0)*$AE747)*IF(AT747="Phantom Alt",$BC747,TRUE)</f>
        <v>45000</v>
      </c>
      <c r="BG747" s="57">
        <f ca="1">BF747*(AP747/100)</f>
        <v>0</v>
      </c>
      <c r="BH747" s="57">
        <f>SUMIF(Invoice!A:A,F747,Invoice!B:B)</f>
        <v>0</v>
      </c>
      <c r="BI747" s="57">
        <f ca="1">SUMIF(AS:AS,AS747,BG:BG)</f>
        <v>45000</v>
      </c>
      <c r="BJ747" s="57">
        <f ca="1">MIN((BI747-SUMIF($AS$5:AS746,AS747,$BJ$5:BJ746)),MAX(0,BH747-SUMIF($F$5:F746,F747,$BJ$5:BJ746)))</f>
        <v>0</v>
      </c>
      <c r="BK747" s="57">
        <f ca="1">(-SUMIF(AS:AS,AS747,BG:BG)+SUMIF(AS:AS,AS747,BJ:BJ))*(AP747=100)*AR747</f>
        <v>0</v>
      </c>
      <c r="BL747" s="57">
        <f ca="1">MAX(0,SUMIF(Invoice!A:A,F747,Invoice!B:B)-SUMIF(F:F,F747,BJ:BJ))*(COUNTIF(F:F,F747)=COUNTIF($F$5:F747,F747))</f>
        <v>0</v>
      </c>
    </row>
    <row r="748" spans="1:64" hidden="1">
      <c r="A748" s="43">
        <v>748</v>
      </c>
      <c r="B748" s="13" t="s">
        <v>147</v>
      </c>
      <c r="C748" s="13" t="s">
        <v>146</v>
      </c>
      <c r="D748" s="13">
        <v>2</v>
      </c>
      <c r="E748" s="13">
        <v>2410</v>
      </c>
      <c r="F748" s="71" t="s">
        <v>1737</v>
      </c>
      <c r="G748" s="71" t="s">
        <v>1738</v>
      </c>
      <c r="H748" s="13" t="s">
        <v>1735</v>
      </c>
      <c r="I748" s="13" t="s">
        <v>55</v>
      </c>
      <c r="J748" s="28">
        <v>0</v>
      </c>
      <c r="K748" s="13" t="s">
        <v>1428</v>
      </c>
      <c r="L748" s="13" t="s">
        <v>53</v>
      </c>
      <c r="M748" s="13">
        <v>45</v>
      </c>
      <c r="O748" s="13">
        <v>1</v>
      </c>
      <c r="P748" s="13">
        <v>2</v>
      </c>
      <c r="Q748" s="13">
        <v>2</v>
      </c>
      <c r="R748" s="13" t="s">
        <v>122</v>
      </c>
      <c r="S748" s="13" t="s">
        <v>122</v>
      </c>
      <c r="T748" s="13">
        <v>44901</v>
      </c>
      <c r="U748" s="13">
        <v>2958465</v>
      </c>
      <c r="V748" s="13" t="s">
        <v>282</v>
      </c>
      <c r="W748" s="13" t="s">
        <v>145</v>
      </c>
      <c r="Y748" s="13" t="s">
        <v>143</v>
      </c>
      <c r="Z748" s="13">
        <v>7589154</v>
      </c>
      <c r="AA748" s="13">
        <v>1382</v>
      </c>
      <c r="AB748" s="13">
        <v>691</v>
      </c>
      <c r="AE748" s="51">
        <f>M748/O748</f>
        <v>45</v>
      </c>
      <c r="AG748" s="6" t="str">
        <f>C748</f>
        <v>90MB1BJ0-C1BAY0</v>
      </c>
      <c r="AH748" s="6" t="str">
        <f>IF($D748&lt;=AH$4,"",IF(AND($D747=AH$4,$D748&gt;AH$4),$F747,AH747))</f>
        <v>59MB1BJB-MB0A02S</v>
      </c>
      <c r="AI748" s="6" t="str">
        <f>IF($D748&lt;=AI$4,"",IF(AND($D747=AI$4,$D748&gt;AI$4),$F747,AI747))</f>
        <v/>
      </c>
      <c r="AJ748" s="6" t="str">
        <f>IF($D748&lt;=AJ$4,"",IF(AND($D747=AJ$4,$D748&gt;AJ$4),$F747,AJ747))</f>
        <v/>
      </c>
      <c r="AK748" s="6" t="str">
        <f>IF($D748&lt;=AK$4,"",IF(AND($D747=AK$4,$D748&gt;AK$4),$F747,AK747))</f>
        <v/>
      </c>
      <c r="AL748" s="6" t="str">
        <f>IF($D748&lt;=AL$4,"",IF(AND($D747=AL$4,$D748&gt;AL$4),$F747,AL747))</f>
        <v/>
      </c>
      <c r="AM748" s="6" t="str">
        <f>IF($D748&lt;=AM$4,"",IF(AND($D747=AM$4,$D748&gt;AM$4),$F747,AM747))</f>
        <v/>
      </c>
      <c r="AN748" s="6" t="str">
        <f>IF($D748&lt;=AN$4,"",IF(AND($D747=AN$4,$D748&gt;AN$4),$F747,AN747))</f>
        <v/>
      </c>
      <c r="AO748" s="6" t="str">
        <f>CONCATENATE(AG748," | ",AH748," | ",AI748," | ",AJ748," | ",AK748," | ",AL748," | ",AM748," | ",AN748)</f>
        <v xml:space="preserve">90MB1BJ0-C1BAY0 | 59MB1BJB-MB0A02S |  |  |  |  |  | </v>
      </c>
      <c r="AP748" s="6">
        <f>IF(TRIM(H748)="",100,J748)</f>
        <v>0</v>
      </c>
      <c r="AQ748" s="4"/>
      <c r="AR748" s="6" t="b">
        <f>NOT(TRIM(W748)&lt;&gt;"F")</f>
        <v>1</v>
      </c>
      <c r="AS748" s="6" t="str">
        <f>$B748&amp;" | "&amp;$AO748&amp;" | "&amp;IF(TRIM(H748)="","uniq"&amp;ROW(),TRIM(H748))</f>
        <v>461E | 90MB1BJ0-C1BAY0 | 59MB1BJB-MB0A02S |  |  |  |  |  |  | O1</v>
      </c>
      <c r="AT748" s="63">
        <f>IF(NOT(AR748),IF(TRIM($H748)="","Assembly","Phantom Alt"),VLOOKUP(F748,ZPCS04!B:G,6,0))</f>
        <v>763</v>
      </c>
      <c r="AU748" s="7"/>
      <c r="AV748" s="38">
        <f ca="1">IF(TRIM($W748)="F",OFFSET($A$5,MATCH($AS748,$AS$5:$AS748,0)-1,0),$A748)</f>
        <v>747</v>
      </c>
      <c r="AW748" s="38">
        <f ca="1">IFERROR(OFFSET(ZPCS04!$A$1,MATCH(F748,ZPCS04!B:B,0)-1,0),100)</f>
        <v>2</v>
      </c>
      <c r="AX748" s="7"/>
      <c r="AY748" s="6" t="b">
        <f>SUMIF(AS:AS,AS748,AP:AP)=100</f>
        <v>1</v>
      </c>
      <c r="AZ748" s="6" t="b">
        <f>SUMIF(AS:AS,AS748,AE:AE)/COUNTIF(AS:AS,AS748)=AE748</f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>C748&amp;" | "&amp;F748</f>
        <v>90MB1BJ0-C1BAY0 | 11G233110511320</v>
      </c>
      <c r="BE748" s="55" t="str">
        <f ca="1">C748&amp;" | "&amp;OFFSET($AF748,0,8-COUNTBLANK($AG748:$AN748))</f>
        <v>90MB1BJ0-C1BAY0 | 59MB1BJB-MB0A02S</v>
      </c>
      <c r="BF748" s="57">
        <f ca="1">IFERROR(VLOOKUP($BE748,$BD$5:$BF747,3,0)*$AE748,VLOOKUP($C748,Demanda!$A:$B,2,0)*$AE748)*IF(AT748="Phantom Alt",$BC748,TRUE)</f>
        <v>45000</v>
      </c>
      <c r="BG748" s="57">
        <f ca="1">BF748*(AP748/100)</f>
        <v>0</v>
      </c>
      <c r="BH748" s="57">
        <f>SUMIF(Invoice!A:A,F748,Invoice!B:B)</f>
        <v>0</v>
      </c>
      <c r="BI748" s="57">
        <f ca="1">SUMIF(AS:AS,AS748,BG:BG)</f>
        <v>45000</v>
      </c>
      <c r="BJ748" s="57">
        <f ca="1">MIN((BI748-SUMIF($AS$5:AS747,AS748,$BJ$5:BJ747)),MAX(0,BH748-SUMIF($F$5:F747,F748,$BJ$5:BJ747)))</f>
        <v>0</v>
      </c>
      <c r="BK748" s="57">
        <f ca="1">(-SUMIF(AS:AS,AS748,BG:BG)+SUMIF(AS:AS,AS748,BJ:BJ))*(AP748=100)*AR748</f>
        <v>0</v>
      </c>
      <c r="BL748" s="57">
        <f ca="1">MAX(0,SUMIF(Invoice!A:A,F748,Invoice!B:B)-SUMIF(F:F,F748,BJ:BJ))*(COUNTIF(F:F,F748)=COUNTIF($F$5:F748,F748))</f>
        <v>0</v>
      </c>
    </row>
    <row r="749" spans="1:64" hidden="1">
      <c r="A749" s="43">
        <v>749</v>
      </c>
      <c r="B749" s="13" t="s">
        <v>147</v>
      </c>
      <c r="C749" s="13" t="s">
        <v>146</v>
      </c>
      <c r="D749" s="13">
        <v>2</v>
      </c>
      <c r="E749" s="13">
        <v>2410</v>
      </c>
      <c r="F749" s="71" t="s">
        <v>1739</v>
      </c>
      <c r="G749" s="71" t="s">
        <v>1740</v>
      </c>
      <c r="H749" s="13" t="s">
        <v>1735</v>
      </c>
      <c r="I749" s="13" t="s">
        <v>55</v>
      </c>
      <c r="J749" s="28">
        <v>0</v>
      </c>
      <c r="K749" s="13" t="s">
        <v>150</v>
      </c>
      <c r="L749" s="13" t="s">
        <v>53</v>
      </c>
      <c r="M749" s="13">
        <v>45</v>
      </c>
      <c r="O749" s="13">
        <v>1</v>
      </c>
      <c r="P749" s="13">
        <v>2</v>
      </c>
      <c r="Q749" s="13">
        <v>4</v>
      </c>
      <c r="R749" s="13" t="s">
        <v>73</v>
      </c>
      <c r="S749" s="13" t="s">
        <v>73</v>
      </c>
      <c r="T749" s="13">
        <v>44901</v>
      </c>
      <c r="U749" s="13">
        <v>2958465</v>
      </c>
      <c r="V749" s="13" t="s">
        <v>282</v>
      </c>
      <c r="W749" s="13" t="s">
        <v>145</v>
      </c>
      <c r="Y749" s="13" t="s">
        <v>143</v>
      </c>
      <c r="Z749" s="13">
        <v>7589154</v>
      </c>
      <c r="AA749" s="13">
        <v>1386</v>
      </c>
      <c r="AB749" s="13">
        <v>693</v>
      </c>
      <c r="AE749" s="51">
        <f>M749/O749</f>
        <v>45</v>
      </c>
      <c r="AG749" s="6" t="str">
        <f>C749</f>
        <v>90MB1BJ0-C1BAY0</v>
      </c>
      <c r="AH749" s="6" t="str">
        <f>IF($D749&lt;=AH$4,"",IF(AND($D748=AH$4,$D749&gt;AH$4),$F748,AH748))</f>
        <v>59MB1BJB-MB0A02S</v>
      </c>
      <c r="AI749" s="6" t="str">
        <f>IF($D749&lt;=AI$4,"",IF(AND($D748=AI$4,$D749&gt;AI$4),$F748,AI748))</f>
        <v/>
      </c>
      <c r="AJ749" s="6" t="str">
        <f>IF($D749&lt;=AJ$4,"",IF(AND($D748=AJ$4,$D749&gt;AJ$4),$F748,AJ748))</f>
        <v/>
      </c>
      <c r="AK749" s="6" t="str">
        <f>IF($D749&lt;=AK$4,"",IF(AND($D748=AK$4,$D749&gt;AK$4),$F748,AK748))</f>
        <v/>
      </c>
      <c r="AL749" s="6" t="str">
        <f>IF($D749&lt;=AL$4,"",IF(AND($D748=AL$4,$D749&gt;AL$4),$F748,AL748))</f>
        <v/>
      </c>
      <c r="AM749" s="6" t="str">
        <f>IF($D749&lt;=AM$4,"",IF(AND($D748=AM$4,$D749&gt;AM$4),$F748,AM748))</f>
        <v/>
      </c>
      <c r="AN749" s="6" t="str">
        <f>IF($D749&lt;=AN$4,"",IF(AND($D748=AN$4,$D749&gt;AN$4),$F748,AN748))</f>
        <v/>
      </c>
      <c r="AO749" s="6" t="str">
        <f>CONCATENATE(AG749," | ",AH749," | ",AI749," | ",AJ749," | ",AK749," | ",AL749," | ",AM749," | ",AN749)</f>
        <v xml:space="preserve">90MB1BJ0-C1BAY0 | 59MB1BJB-MB0A02S |  |  |  |  |  | </v>
      </c>
      <c r="AP749" s="6">
        <f>IF(TRIM(H749)="",100,J749)</f>
        <v>0</v>
      </c>
      <c r="AQ749" s="4"/>
      <c r="AR749" s="6" t="b">
        <f>NOT(TRIM(W749)&lt;&gt;"F")</f>
        <v>1</v>
      </c>
      <c r="AS749" s="6" t="str">
        <f>$B749&amp;" | "&amp;$AO749&amp;" | "&amp;IF(TRIM(H749)="","uniq"&amp;ROW(),TRIM(H749))</f>
        <v>461E | 90MB1BJ0-C1BAY0 | 59MB1BJB-MB0A02S |  |  |  |  |  |  | O1</v>
      </c>
      <c r="AT749" s="63">
        <f>IF(NOT(AR749),IF(TRIM($H749)="","Assembly","Phantom Alt"),VLOOKUP(F749,ZPCS04!B:G,6,0))</f>
        <v>763</v>
      </c>
      <c r="AU749" s="7"/>
      <c r="AV749" s="38">
        <f ca="1">IF(TRIM($W749)="F",OFFSET($A$5,MATCH($AS749,$AS$5:$AS749,0)-1,0),$A749)</f>
        <v>747</v>
      </c>
      <c r="AW749" s="38">
        <f ca="1">IFERROR(OFFSET(ZPCS04!$A$1,MATCH(F749,ZPCS04!B:B,0)-1,0),100)</f>
        <v>2</v>
      </c>
      <c r="AX749" s="7"/>
      <c r="AY749" s="6" t="b">
        <f>SUMIF(AS:AS,AS749,AP:AP)=100</f>
        <v>1</v>
      </c>
      <c r="AZ749" s="6" t="b">
        <f>SUMIF(AS:AS,AS749,AE:AE)/COUNTIF(AS:AS,AS749)=AE749</f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>C749&amp;" | "&amp;F749</f>
        <v>90MB1BJ0-C1BAY0 | 11G233110511370</v>
      </c>
      <c r="BE749" s="55" t="str">
        <f ca="1">C749&amp;" | "&amp;OFFSET($AF749,0,8-COUNTBLANK($AG749:$AN749))</f>
        <v>90MB1BJ0-C1BAY0 | 59MB1BJB-MB0A02S</v>
      </c>
      <c r="BF749" s="57">
        <f ca="1">IFERROR(VLOOKUP($BE749,$BD$5:$BF748,3,0)*$AE749,VLOOKUP($C749,Demanda!$A:$B,2,0)*$AE749)*IF(AT749="Phantom Alt",$BC749,TRUE)</f>
        <v>45000</v>
      </c>
      <c r="BG749" s="57">
        <f ca="1">BF749*(AP749/100)</f>
        <v>0</v>
      </c>
      <c r="BH749" s="57">
        <f>SUMIF(Invoice!A:A,F749,Invoice!B:B)</f>
        <v>0</v>
      </c>
      <c r="BI749" s="57">
        <f ca="1">SUMIF(AS:AS,AS749,BG:BG)</f>
        <v>45000</v>
      </c>
      <c r="BJ749" s="57">
        <f ca="1">MIN((BI749-SUMIF($AS$5:AS748,AS749,$BJ$5:BJ748)),MAX(0,BH749-SUMIF($F$5:F748,F749,$BJ$5:BJ748)))</f>
        <v>0</v>
      </c>
      <c r="BK749" s="57">
        <f ca="1">(-SUMIF(AS:AS,AS749,BG:BG)+SUMIF(AS:AS,AS749,BJ:BJ))*(AP749=100)*AR749</f>
        <v>0</v>
      </c>
      <c r="BL749" s="57">
        <f ca="1">MAX(0,SUMIF(Invoice!A:A,F749,Invoice!B:B)-SUMIF(F:F,F749,BJ:BJ))*(COUNTIF(F:F,F749)=COUNTIF($F$5:F749,F749))</f>
        <v>0</v>
      </c>
    </row>
    <row r="750" spans="1:64" hidden="1">
      <c r="A750" s="43">
        <v>750</v>
      </c>
      <c r="B750" s="13" t="s">
        <v>147</v>
      </c>
      <c r="C750" s="13" t="s">
        <v>146</v>
      </c>
      <c r="D750" s="13">
        <v>2</v>
      </c>
      <c r="E750" s="13">
        <v>2410</v>
      </c>
      <c r="F750" s="71" t="s">
        <v>1741</v>
      </c>
      <c r="G750" s="71" t="s">
        <v>1742</v>
      </c>
      <c r="H750" s="13" t="s">
        <v>1735</v>
      </c>
      <c r="I750" s="13" t="s">
        <v>54</v>
      </c>
      <c r="J750" s="28">
        <v>100</v>
      </c>
      <c r="K750" s="13" t="s">
        <v>1428</v>
      </c>
      <c r="L750" s="13" t="s">
        <v>53</v>
      </c>
      <c r="M750" s="13">
        <v>45</v>
      </c>
      <c r="N750" s="13">
        <v>45</v>
      </c>
      <c r="O750" s="13">
        <v>1</v>
      </c>
      <c r="P750" s="13">
        <v>2</v>
      </c>
      <c r="Q750" s="13">
        <v>1</v>
      </c>
      <c r="R750" s="13" t="s">
        <v>122</v>
      </c>
      <c r="S750" s="13" t="s">
        <v>122</v>
      </c>
      <c r="T750" s="13">
        <v>44901</v>
      </c>
      <c r="U750" s="13">
        <v>2958465</v>
      </c>
      <c r="V750" s="13" t="s">
        <v>282</v>
      </c>
      <c r="W750" s="13" t="s">
        <v>145</v>
      </c>
      <c r="Y750" s="13" t="s">
        <v>143</v>
      </c>
      <c r="Z750" s="13">
        <v>7589154</v>
      </c>
      <c r="AA750" s="13">
        <v>1380</v>
      </c>
      <c r="AB750" s="13">
        <v>690</v>
      </c>
      <c r="AE750" s="51">
        <f>M750/O750</f>
        <v>45</v>
      </c>
      <c r="AG750" s="6" t="str">
        <f>C750</f>
        <v>90MB1BJ0-C1BAY0</v>
      </c>
      <c r="AH750" s="6" t="str">
        <f>IF($D750&lt;=AH$4,"",IF(AND($D749=AH$4,$D750&gt;AH$4),$F749,AH749))</f>
        <v>59MB1BJB-MB0A02S</v>
      </c>
      <c r="AI750" s="6" t="str">
        <f>IF($D750&lt;=AI$4,"",IF(AND($D749=AI$4,$D750&gt;AI$4),$F749,AI749))</f>
        <v/>
      </c>
      <c r="AJ750" s="6" t="str">
        <f>IF($D750&lt;=AJ$4,"",IF(AND($D749=AJ$4,$D750&gt;AJ$4),$F749,AJ749))</f>
        <v/>
      </c>
      <c r="AK750" s="6" t="str">
        <f>IF($D750&lt;=AK$4,"",IF(AND($D749=AK$4,$D750&gt;AK$4),$F749,AK749))</f>
        <v/>
      </c>
      <c r="AL750" s="6" t="str">
        <f>IF($D750&lt;=AL$4,"",IF(AND($D749=AL$4,$D750&gt;AL$4),$F749,AL749))</f>
        <v/>
      </c>
      <c r="AM750" s="6" t="str">
        <f>IF($D750&lt;=AM$4,"",IF(AND($D749=AM$4,$D750&gt;AM$4),$F749,AM749))</f>
        <v/>
      </c>
      <c r="AN750" s="6" t="str">
        <f>IF($D750&lt;=AN$4,"",IF(AND($D749=AN$4,$D750&gt;AN$4),$F749,AN749))</f>
        <v/>
      </c>
      <c r="AO750" s="6" t="str">
        <f>CONCATENATE(AG750," | ",AH750," | ",AI750," | ",AJ750," | ",AK750," | ",AL750," | ",AM750," | ",AN750)</f>
        <v xml:space="preserve">90MB1BJ0-C1BAY0 | 59MB1BJB-MB0A02S |  |  |  |  |  | </v>
      </c>
      <c r="AP750" s="6">
        <f>IF(TRIM(H750)="",100,J750)</f>
        <v>100</v>
      </c>
      <c r="AQ750" s="4"/>
      <c r="AR750" s="6" t="b">
        <f>NOT(TRIM(W750)&lt;&gt;"F")</f>
        <v>1</v>
      </c>
      <c r="AS750" s="6" t="str">
        <f>$B750&amp;" | "&amp;$AO750&amp;" | "&amp;IF(TRIM(H750)="","uniq"&amp;ROW(),TRIM(H750))</f>
        <v>461E | 90MB1BJ0-C1BAY0 | 59MB1BJB-MB0A02S |  |  |  |  |  |  | O1</v>
      </c>
      <c r="AT750" s="63">
        <f>IF(NOT(AR750),IF(TRIM($H750)="","Assembly","Phantom Alt"),VLOOKUP(F750,ZPCS04!B:G,6,0))</f>
        <v>763</v>
      </c>
      <c r="AU750" s="7"/>
      <c r="AV750" s="38">
        <f ca="1">IF(TRIM($W750)="F",OFFSET($A$5,MATCH($AS750,$AS$5:$AS750,0)-1,0),$A750)</f>
        <v>747</v>
      </c>
      <c r="AW750" s="38">
        <f ca="1">IFERROR(OFFSET(ZPCS04!$A$1,MATCH(F750,ZPCS04!B:B,0)-1,0),100)</f>
        <v>2</v>
      </c>
      <c r="AX750" s="7"/>
      <c r="AY750" s="6" t="b">
        <f>SUMIF(AS:AS,AS750,AP:AP)=100</f>
        <v>1</v>
      </c>
      <c r="AZ750" s="6" t="b">
        <f>SUMIF(AS:AS,AS750,AE:AE)/COUNTIF(AS:AS,AS750)=AE750</f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>C750&amp;" | "&amp;F750</f>
        <v>90MB1BJ0-C1BAY0 | 11G233110511390</v>
      </c>
      <c r="BE750" s="55" t="str">
        <f ca="1">C750&amp;" | "&amp;OFFSET($AF750,0,8-COUNTBLANK($AG750:$AN750))</f>
        <v>90MB1BJ0-C1BAY0 | 59MB1BJB-MB0A02S</v>
      </c>
      <c r="BF750" s="57">
        <f ca="1">IFERROR(VLOOKUP($BE750,$BD$5:$BF749,3,0)*$AE750,VLOOKUP($C750,Demanda!$A:$B,2,0)*$AE750)*IF(AT750="Phantom Alt",$BC750,TRUE)</f>
        <v>45000</v>
      </c>
      <c r="BG750" s="57">
        <f ca="1">BF750*(AP750/100)</f>
        <v>45000</v>
      </c>
      <c r="BH750" s="57">
        <f>SUMIF(Invoice!A:A,F750,Invoice!B:B)</f>
        <v>0</v>
      </c>
      <c r="BI750" s="57">
        <f ca="1">SUMIF(AS:AS,AS750,BG:BG)</f>
        <v>45000</v>
      </c>
      <c r="BJ750" s="57">
        <f ca="1">MIN((BI750-SUMIF($AS$5:AS749,AS750,$BJ$5:BJ749)),MAX(0,BH750-SUMIF($F$5:F749,F750,$BJ$5:BJ749)))</f>
        <v>0</v>
      </c>
      <c r="BK750" s="57">
        <f ca="1">(-SUMIF(AS:AS,AS750,BG:BG)+SUMIF(AS:AS,AS750,BJ:BJ))*(AP750=100)*AR750</f>
        <v>0</v>
      </c>
      <c r="BL750" s="57">
        <f ca="1">MAX(0,SUMIF(Invoice!A:A,F750,Invoice!B:B)-SUMIF(F:F,F750,BJ:BJ))*(COUNTIF(F:F,F750)=COUNTIF($F$5:F750,F750))</f>
        <v>0</v>
      </c>
    </row>
    <row r="751" spans="1:64" hidden="1">
      <c r="A751" s="43">
        <v>751</v>
      </c>
      <c r="B751" s="13" t="s">
        <v>147</v>
      </c>
      <c r="C751" s="13" t="s">
        <v>146</v>
      </c>
      <c r="D751" s="13">
        <v>2</v>
      </c>
      <c r="E751" s="13">
        <v>2420</v>
      </c>
      <c r="F751" s="71" t="s">
        <v>1743</v>
      </c>
      <c r="G751" s="71" t="s">
        <v>1744</v>
      </c>
      <c r="H751" s="13" t="s">
        <v>1745</v>
      </c>
      <c r="I751" s="13" t="s">
        <v>55</v>
      </c>
      <c r="J751" s="28">
        <v>0</v>
      </c>
      <c r="K751" s="13" t="s">
        <v>150</v>
      </c>
      <c r="L751" s="13" t="s">
        <v>53</v>
      </c>
      <c r="M751" s="13">
        <v>16</v>
      </c>
      <c r="O751" s="13">
        <v>1</v>
      </c>
      <c r="P751" s="13">
        <v>2</v>
      </c>
      <c r="Q751" s="13">
        <v>3</v>
      </c>
      <c r="R751" s="13" t="s">
        <v>73</v>
      </c>
      <c r="S751" s="13" t="s">
        <v>73</v>
      </c>
      <c r="T751" s="13">
        <v>44901</v>
      </c>
      <c r="U751" s="13">
        <v>2958465</v>
      </c>
      <c r="V751" s="13" t="s">
        <v>282</v>
      </c>
      <c r="W751" s="13" t="s">
        <v>145</v>
      </c>
      <c r="Y751" s="13" t="s">
        <v>143</v>
      </c>
      <c r="Z751" s="13">
        <v>7589154</v>
      </c>
      <c r="AA751" s="13">
        <v>1394</v>
      </c>
      <c r="AB751" s="13">
        <v>697</v>
      </c>
      <c r="AE751" s="51">
        <f>M751/O751</f>
        <v>16</v>
      </c>
      <c r="AG751" s="6" t="str">
        <f>C751</f>
        <v>90MB1BJ0-C1BAY0</v>
      </c>
      <c r="AH751" s="6" t="str">
        <f>IF($D751&lt;=AH$4,"",IF(AND($D750=AH$4,$D751&gt;AH$4),$F750,AH750))</f>
        <v>59MB1BJB-MB0A02S</v>
      </c>
      <c r="AI751" s="6" t="str">
        <f>IF($D751&lt;=AI$4,"",IF(AND($D750=AI$4,$D751&gt;AI$4),$F750,AI750))</f>
        <v/>
      </c>
      <c r="AJ751" s="6" t="str">
        <f>IF($D751&lt;=AJ$4,"",IF(AND($D750=AJ$4,$D751&gt;AJ$4),$F750,AJ750))</f>
        <v/>
      </c>
      <c r="AK751" s="6" t="str">
        <f>IF($D751&lt;=AK$4,"",IF(AND($D750=AK$4,$D751&gt;AK$4),$F750,AK750))</f>
        <v/>
      </c>
      <c r="AL751" s="6" t="str">
        <f>IF($D751&lt;=AL$4,"",IF(AND($D750=AL$4,$D751&gt;AL$4),$F750,AL750))</f>
        <v/>
      </c>
      <c r="AM751" s="6" t="str">
        <f>IF($D751&lt;=AM$4,"",IF(AND($D750=AM$4,$D751&gt;AM$4),$F750,AM750))</f>
        <v/>
      </c>
      <c r="AN751" s="6" t="str">
        <f>IF($D751&lt;=AN$4,"",IF(AND($D750=AN$4,$D751&gt;AN$4),$F750,AN750))</f>
        <v/>
      </c>
      <c r="AO751" s="6" t="str">
        <f>CONCATENATE(AG751," | ",AH751," | ",AI751," | ",AJ751," | ",AK751," | ",AL751," | ",AM751," | ",AN751)</f>
        <v xml:space="preserve">90MB1BJ0-C1BAY0 | 59MB1BJB-MB0A02S |  |  |  |  |  | </v>
      </c>
      <c r="AP751" s="6">
        <f>IF(TRIM(H751)="",100,J751)</f>
        <v>0</v>
      </c>
      <c r="AQ751" s="4"/>
      <c r="AR751" s="6" t="b">
        <f>NOT(TRIM(W751)&lt;&gt;"F")</f>
        <v>1</v>
      </c>
      <c r="AS751" s="6" t="str">
        <f>$B751&amp;" | "&amp;$AO751&amp;" | "&amp;IF(TRIM(H751)="","uniq"&amp;ROW(),TRIM(H751))</f>
        <v>461E | 90MB1BJ0-C1BAY0 | 59MB1BJB-MB0A02S |  |  |  |  |  |  | O2</v>
      </c>
      <c r="AT751" s="63">
        <f>IF(NOT(AR751),IF(TRIM($H751)="","Assembly","Phantom Alt"),VLOOKUP(F751,ZPCS04!B:G,6,0))</f>
        <v>1283</v>
      </c>
      <c r="AU751" s="7"/>
      <c r="AV751" s="38">
        <f ca="1">IF(TRIM($W751)="F",OFFSET($A$5,MATCH($AS751,$AS$5:$AS751,0)-1,0),$A751)</f>
        <v>751</v>
      </c>
      <c r="AW751" s="38">
        <f ca="1">IFERROR(OFFSET(ZPCS04!$A$1,MATCH(F751,ZPCS04!B:B,0)-1,0),100)</f>
        <v>1.9999998400000001</v>
      </c>
      <c r="AX751" s="7"/>
      <c r="AY751" s="6" t="b">
        <f>SUMIF(AS:AS,AS751,AP:AP)=100</f>
        <v>1</v>
      </c>
      <c r="AZ751" s="6" t="b">
        <f>SUMIF(AS:AS,AS751,AE:AE)/COUNTIF(AS:AS,AS751)=AE751</f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>C751&amp;" | "&amp;F751</f>
        <v>90MB1BJ0-C1BAY0 | 11G233122411070</v>
      </c>
      <c r="BE751" s="55" t="str">
        <f ca="1">C751&amp;" | "&amp;OFFSET($AF751,0,8-COUNTBLANK($AG751:$AN751))</f>
        <v>90MB1BJ0-C1BAY0 | 59MB1BJB-MB0A02S</v>
      </c>
      <c r="BF751" s="57">
        <f ca="1">IFERROR(VLOOKUP($BE751,$BD$5:$BF750,3,0)*$AE751,VLOOKUP($C751,Demanda!$A:$B,2,0)*$AE751)*IF(AT751="Phantom Alt",$BC751,TRUE)</f>
        <v>16000</v>
      </c>
      <c r="BG751" s="57">
        <f ca="1">BF751*(AP751/100)</f>
        <v>0</v>
      </c>
      <c r="BH751" s="57">
        <f>SUMIF(Invoice!A:A,F751,Invoice!B:B)</f>
        <v>16000</v>
      </c>
      <c r="BI751" s="57">
        <f ca="1">SUMIF(AS:AS,AS751,BG:BG)</f>
        <v>16000</v>
      </c>
      <c r="BJ751" s="57">
        <f ca="1">MIN((BI751-SUMIF($AS$5:AS750,AS751,$BJ$5:BJ750)),MAX(0,BH751-SUMIF($F$5:F750,F751,$BJ$5:BJ750)))</f>
        <v>16000</v>
      </c>
      <c r="BK751" s="57">
        <f ca="1">(-SUMIF(AS:AS,AS751,BG:BG)+SUMIF(AS:AS,AS751,BJ:BJ))*(AP751=100)*AR751</f>
        <v>0</v>
      </c>
      <c r="BL751" s="57">
        <f ca="1">MAX(0,SUMIF(Invoice!A:A,F751,Invoice!B:B)-SUMIF(F:F,F751,BJ:BJ))*(COUNTIF(F:F,F751)=COUNTIF($F$5:F751,F751))</f>
        <v>0</v>
      </c>
    </row>
    <row r="752" spans="1:64" hidden="1">
      <c r="A752" s="43">
        <v>752</v>
      </c>
      <c r="B752" s="13" t="s">
        <v>147</v>
      </c>
      <c r="C752" s="13" t="s">
        <v>146</v>
      </c>
      <c r="D752" s="13">
        <v>2</v>
      </c>
      <c r="E752" s="13">
        <v>2420</v>
      </c>
      <c r="F752" s="71" t="s">
        <v>1746</v>
      </c>
      <c r="G752" s="71" t="s">
        <v>1744</v>
      </c>
      <c r="H752" s="13" t="s">
        <v>1745</v>
      </c>
      <c r="I752" s="13" t="s">
        <v>54</v>
      </c>
      <c r="J752" s="28">
        <v>100</v>
      </c>
      <c r="K752" s="13" t="s">
        <v>1428</v>
      </c>
      <c r="L752" s="13" t="s">
        <v>53</v>
      </c>
      <c r="M752" s="13">
        <v>16</v>
      </c>
      <c r="N752" s="13">
        <v>16</v>
      </c>
      <c r="O752" s="13">
        <v>1</v>
      </c>
      <c r="P752" s="13">
        <v>2</v>
      </c>
      <c r="Q752" s="13">
        <v>1</v>
      </c>
      <c r="R752" s="13" t="s">
        <v>122</v>
      </c>
      <c r="S752" s="13" t="s">
        <v>122</v>
      </c>
      <c r="T752" s="13">
        <v>44901</v>
      </c>
      <c r="U752" s="13">
        <v>2958465</v>
      </c>
      <c r="V752" s="13" t="s">
        <v>282</v>
      </c>
      <c r="W752" s="13" t="s">
        <v>145</v>
      </c>
      <c r="Y752" s="13" t="s">
        <v>143</v>
      </c>
      <c r="Z752" s="13">
        <v>7589154</v>
      </c>
      <c r="AA752" s="13">
        <v>1390</v>
      </c>
      <c r="AB752" s="13">
        <v>695</v>
      </c>
      <c r="AE752" s="51">
        <f>M752/O752</f>
        <v>16</v>
      </c>
      <c r="AG752" s="6" t="str">
        <f>C752</f>
        <v>90MB1BJ0-C1BAY0</v>
      </c>
      <c r="AH752" s="6" t="str">
        <f>IF($D752&lt;=AH$4,"",IF(AND($D751=AH$4,$D752&gt;AH$4),$F751,AH751))</f>
        <v>59MB1BJB-MB0A02S</v>
      </c>
      <c r="AI752" s="6" t="str">
        <f>IF($D752&lt;=AI$4,"",IF(AND($D751=AI$4,$D752&gt;AI$4),$F751,AI751))</f>
        <v/>
      </c>
      <c r="AJ752" s="6" t="str">
        <f>IF($D752&lt;=AJ$4,"",IF(AND($D751=AJ$4,$D752&gt;AJ$4),$F751,AJ751))</f>
        <v/>
      </c>
      <c r="AK752" s="6" t="str">
        <f>IF($D752&lt;=AK$4,"",IF(AND($D751=AK$4,$D752&gt;AK$4),$F751,AK751))</f>
        <v/>
      </c>
      <c r="AL752" s="6" t="str">
        <f>IF($D752&lt;=AL$4,"",IF(AND($D751=AL$4,$D752&gt;AL$4),$F751,AL751))</f>
        <v/>
      </c>
      <c r="AM752" s="6" t="str">
        <f>IF($D752&lt;=AM$4,"",IF(AND($D751=AM$4,$D752&gt;AM$4),$F751,AM751))</f>
        <v/>
      </c>
      <c r="AN752" s="6" t="str">
        <f>IF($D752&lt;=AN$4,"",IF(AND($D751=AN$4,$D752&gt;AN$4),$F751,AN751))</f>
        <v/>
      </c>
      <c r="AO752" s="6" t="str">
        <f>CONCATENATE(AG752," | ",AH752," | ",AI752," | ",AJ752," | ",AK752," | ",AL752," | ",AM752," | ",AN752)</f>
        <v xml:space="preserve">90MB1BJ0-C1BAY0 | 59MB1BJB-MB0A02S |  |  |  |  |  | </v>
      </c>
      <c r="AP752" s="6">
        <f>IF(TRIM(H752)="",100,J752)</f>
        <v>100</v>
      </c>
      <c r="AQ752" s="4"/>
      <c r="AR752" s="6" t="b">
        <f>NOT(TRIM(W752)&lt;&gt;"F")</f>
        <v>1</v>
      </c>
      <c r="AS752" s="6" t="str">
        <f>$B752&amp;" | "&amp;$AO752&amp;" | "&amp;IF(TRIM(H752)="","uniq"&amp;ROW(),TRIM(H752))</f>
        <v>461E | 90MB1BJ0-C1BAY0 | 59MB1BJB-MB0A02S |  |  |  |  |  |  | O2</v>
      </c>
      <c r="AT752" s="63">
        <f>IF(NOT(AR752),IF(TRIM($H752)="","Assembly","Phantom Alt"),VLOOKUP(F752,ZPCS04!B:G,6,0))</f>
        <v>1283</v>
      </c>
      <c r="AU752" s="7"/>
      <c r="AV752" s="38">
        <f ca="1">IF(TRIM($W752)="F",OFFSET($A$5,MATCH($AS752,$AS$5:$AS752,0)-1,0),$A752)</f>
        <v>751</v>
      </c>
      <c r="AW752" s="38">
        <f ca="1">IFERROR(OFFSET(ZPCS04!$A$1,MATCH(F752,ZPCS04!B:B,0)-1,0),100)</f>
        <v>2</v>
      </c>
      <c r="AX752" s="7"/>
      <c r="AY752" s="6" t="b">
        <f>SUMIF(AS:AS,AS752,AP:AP)=100</f>
        <v>1</v>
      </c>
      <c r="AZ752" s="6" t="b">
        <f>SUMIF(AS:AS,AS752,AE:AE)/COUNTIF(AS:AS,AS752)=AE752</f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>C752&amp;" | "&amp;F752</f>
        <v>90MB1BJ0-C1BAY0 | 11G233122411150</v>
      </c>
      <c r="BE752" s="55" t="str">
        <f ca="1">C752&amp;" | "&amp;OFFSET($AF752,0,8-COUNTBLANK($AG752:$AN752))</f>
        <v>90MB1BJ0-C1BAY0 | 59MB1BJB-MB0A02S</v>
      </c>
      <c r="BF752" s="57">
        <f ca="1">IFERROR(VLOOKUP($BE752,$BD$5:$BF751,3,0)*$AE752,VLOOKUP($C752,Demanda!$A:$B,2,0)*$AE752)*IF(AT752="Phantom Alt",$BC752,TRUE)</f>
        <v>16000</v>
      </c>
      <c r="BG752" s="57">
        <f ca="1">BF752*(AP752/100)</f>
        <v>16000</v>
      </c>
      <c r="BH752" s="57">
        <f>SUMIF(Invoice!A:A,F752,Invoice!B:B)</f>
        <v>0</v>
      </c>
      <c r="BI752" s="57">
        <f ca="1">SUMIF(AS:AS,AS752,BG:BG)</f>
        <v>16000</v>
      </c>
      <c r="BJ752" s="57">
        <f ca="1">MIN((BI752-SUMIF($AS$5:AS751,AS752,$BJ$5:BJ751)),MAX(0,BH752-SUMIF($F$5:F751,F752,$BJ$5:BJ751)))</f>
        <v>0</v>
      </c>
      <c r="BK752" s="57">
        <f ca="1">(-SUMIF(AS:AS,AS752,BG:BG)+SUMIF(AS:AS,AS752,BJ:BJ))*(AP752=100)*AR752</f>
        <v>0</v>
      </c>
      <c r="BL752" s="57">
        <f ca="1">MAX(0,SUMIF(Invoice!A:A,F752,Invoice!B:B)-SUMIF(F:F,F752,BJ:BJ))*(COUNTIF(F:F,F752)=COUNTIF($F$5:F752,F752))</f>
        <v>0</v>
      </c>
    </row>
    <row r="753" spans="1:64" hidden="1">
      <c r="A753" s="43">
        <v>753</v>
      </c>
      <c r="B753" s="13" t="s">
        <v>147</v>
      </c>
      <c r="C753" s="13" t="s">
        <v>146</v>
      </c>
      <c r="D753" s="13">
        <v>2</v>
      </c>
      <c r="E753" s="13">
        <v>2420</v>
      </c>
      <c r="F753" s="71" t="s">
        <v>1747</v>
      </c>
      <c r="G753" s="71" t="s">
        <v>1744</v>
      </c>
      <c r="H753" s="13" t="s">
        <v>1745</v>
      </c>
      <c r="I753" s="13" t="s">
        <v>55</v>
      </c>
      <c r="J753" s="28">
        <v>0</v>
      </c>
      <c r="K753" s="13" t="s">
        <v>1428</v>
      </c>
      <c r="L753" s="13" t="s">
        <v>53</v>
      </c>
      <c r="M753" s="13">
        <v>16</v>
      </c>
      <c r="O753" s="13">
        <v>1</v>
      </c>
      <c r="P753" s="13">
        <v>2</v>
      </c>
      <c r="Q753" s="13">
        <v>2</v>
      </c>
      <c r="R753" s="13" t="s">
        <v>122</v>
      </c>
      <c r="S753" s="13" t="s">
        <v>122</v>
      </c>
      <c r="T753" s="13">
        <v>44901</v>
      </c>
      <c r="U753" s="13">
        <v>2958465</v>
      </c>
      <c r="V753" s="13" t="s">
        <v>282</v>
      </c>
      <c r="W753" s="13" t="s">
        <v>145</v>
      </c>
      <c r="Y753" s="13" t="s">
        <v>143</v>
      </c>
      <c r="Z753" s="13">
        <v>7589154</v>
      </c>
      <c r="AA753" s="13">
        <v>1392</v>
      </c>
      <c r="AB753" s="13">
        <v>696</v>
      </c>
      <c r="AE753" s="51">
        <f>M753/O753</f>
        <v>16</v>
      </c>
      <c r="AG753" s="6" t="str">
        <f>C753</f>
        <v>90MB1BJ0-C1BAY0</v>
      </c>
      <c r="AH753" s="6" t="str">
        <f>IF($D753&lt;=AH$4,"",IF(AND($D752=AH$4,$D753&gt;AH$4),$F752,AH752))</f>
        <v>59MB1BJB-MB0A02S</v>
      </c>
      <c r="AI753" s="6" t="str">
        <f>IF($D753&lt;=AI$4,"",IF(AND($D752=AI$4,$D753&gt;AI$4),$F752,AI752))</f>
        <v/>
      </c>
      <c r="AJ753" s="6" t="str">
        <f>IF($D753&lt;=AJ$4,"",IF(AND($D752=AJ$4,$D753&gt;AJ$4),$F752,AJ752))</f>
        <v/>
      </c>
      <c r="AK753" s="6" t="str">
        <f>IF($D753&lt;=AK$4,"",IF(AND($D752=AK$4,$D753&gt;AK$4),$F752,AK752))</f>
        <v/>
      </c>
      <c r="AL753" s="6" t="str">
        <f>IF($D753&lt;=AL$4,"",IF(AND($D752=AL$4,$D753&gt;AL$4),$F752,AL752))</f>
        <v/>
      </c>
      <c r="AM753" s="6" t="str">
        <f>IF($D753&lt;=AM$4,"",IF(AND($D752=AM$4,$D753&gt;AM$4),$F752,AM752))</f>
        <v/>
      </c>
      <c r="AN753" s="6" t="str">
        <f>IF($D753&lt;=AN$4,"",IF(AND($D752=AN$4,$D753&gt;AN$4),$F752,AN752))</f>
        <v/>
      </c>
      <c r="AO753" s="6" t="str">
        <f>CONCATENATE(AG753," | ",AH753," | ",AI753," | ",AJ753," | ",AK753," | ",AL753," | ",AM753," | ",AN753)</f>
        <v xml:space="preserve">90MB1BJ0-C1BAY0 | 59MB1BJB-MB0A02S |  |  |  |  |  | </v>
      </c>
      <c r="AP753" s="6">
        <f>IF(TRIM(H753)="",100,J753)</f>
        <v>0</v>
      </c>
      <c r="AQ753" s="4"/>
      <c r="AR753" s="6" t="b">
        <f>NOT(TRIM(W753)&lt;&gt;"F")</f>
        <v>1</v>
      </c>
      <c r="AS753" s="6" t="str">
        <f>$B753&amp;" | "&amp;$AO753&amp;" | "&amp;IF(TRIM(H753)="","uniq"&amp;ROW(),TRIM(H753))</f>
        <v>461E | 90MB1BJ0-C1BAY0 | 59MB1BJB-MB0A02S |  |  |  |  |  |  | O2</v>
      </c>
      <c r="AT753" s="63">
        <f>IF(NOT(AR753),IF(TRIM($H753)="","Assembly","Phantom Alt"),VLOOKUP(F753,ZPCS04!B:G,6,0))</f>
        <v>1283</v>
      </c>
      <c r="AU753" s="7"/>
      <c r="AV753" s="38">
        <f ca="1">IF(TRIM($W753)="F",OFFSET($A$5,MATCH($AS753,$AS$5:$AS753,0)-1,0),$A753)</f>
        <v>751</v>
      </c>
      <c r="AW753" s="38">
        <f ca="1">IFERROR(OFFSET(ZPCS04!$A$1,MATCH(F753,ZPCS04!B:B,0)-1,0),100)</f>
        <v>2</v>
      </c>
      <c r="AX753" s="7"/>
      <c r="AY753" s="6" t="b">
        <f>SUMIF(AS:AS,AS753,AP:AP)=100</f>
        <v>1</v>
      </c>
      <c r="AZ753" s="6" t="b">
        <f>SUMIF(AS:AS,AS753,AE:AE)/COUNTIF(AS:AS,AS753)=AE753</f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>C753&amp;" | "&amp;F753</f>
        <v>90MB1BJ0-C1BAY0 | 11G233122411320</v>
      </c>
      <c r="BE753" s="55" t="str">
        <f ca="1">C753&amp;" | "&amp;OFFSET($AF753,0,8-COUNTBLANK($AG753:$AN753))</f>
        <v>90MB1BJ0-C1BAY0 | 59MB1BJB-MB0A02S</v>
      </c>
      <c r="BF753" s="57">
        <f ca="1">IFERROR(VLOOKUP($BE753,$BD$5:$BF752,3,0)*$AE753,VLOOKUP($C753,Demanda!$A:$B,2,0)*$AE753)*IF(AT753="Phantom Alt",$BC753,TRUE)</f>
        <v>16000</v>
      </c>
      <c r="BG753" s="57">
        <f ca="1">BF753*(AP753/100)</f>
        <v>0</v>
      </c>
      <c r="BH753" s="57">
        <f>SUMIF(Invoice!A:A,F753,Invoice!B:B)</f>
        <v>0</v>
      </c>
      <c r="BI753" s="57">
        <f ca="1">SUMIF(AS:AS,AS753,BG:BG)</f>
        <v>16000</v>
      </c>
      <c r="BJ753" s="57">
        <f ca="1">MIN((BI753-SUMIF($AS$5:AS752,AS753,$BJ$5:BJ752)),MAX(0,BH753-SUMIF($F$5:F752,F753,$BJ$5:BJ752)))</f>
        <v>0</v>
      </c>
      <c r="BK753" s="57">
        <f ca="1">(-SUMIF(AS:AS,AS753,BG:BG)+SUMIF(AS:AS,AS753,BJ:BJ))*(AP753=100)*AR753</f>
        <v>0</v>
      </c>
      <c r="BL753" s="57">
        <f ca="1">MAX(0,SUMIF(Invoice!A:A,F753,Invoice!B:B)-SUMIF(F:F,F753,BJ:BJ))*(COUNTIF(F:F,F753)=COUNTIF($F$5:F753,F753))</f>
        <v>0</v>
      </c>
    </row>
    <row r="754" spans="1:64" hidden="1">
      <c r="A754" s="43">
        <v>754</v>
      </c>
      <c r="B754" s="13" t="s">
        <v>147</v>
      </c>
      <c r="C754" s="13" t="s">
        <v>146</v>
      </c>
      <c r="D754" s="13">
        <v>2</v>
      </c>
      <c r="E754" s="13">
        <v>2420</v>
      </c>
      <c r="F754" s="71" t="s">
        <v>1748</v>
      </c>
      <c r="G754" s="71" t="s">
        <v>1749</v>
      </c>
      <c r="H754" s="13" t="s">
        <v>1745</v>
      </c>
      <c r="I754" s="13" t="s">
        <v>55</v>
      </c>
      <c r="J754" s="28">
        <v>0</v>
      </c>
      <c r="K754" s="13" t="s">
        <v>150</v>
      </c>
      <c r="L754" s="13" t="s">
        <v>53</v>
      </c>
      <c r="M754" s="13">
        <v>16</v>
      </c>
      <c r="O754" s="13">
        <v>1</v>
      </c>
      <c r="P754" s="13">
        <v>2</v>
      </c>
      <c r="Q754" s="13">
        <v>4</v>
      </c>
      <c r="R754" s="13" t="s">
        <v>73</v>
      </c>
      <c r="S754" s="13" t="s">
        <v>73</v>
      </c>
      <c r="T754" s="13">
        <v>44901</v>
      </c>
      <c r="U754" s="13">
        <v>2958465</v>
      </c>
      <c r="V754" s="13" t="s">
        <v>282</v>
      </c>
      <c r="W754" s="13" t="s">
        <v>145</v>
      </c>
      <c r="Y754" s="13" t="s">
        <v>143</v>
      </c>
      <c r="Z754" s="13">
        <v>7589154</v>
      </c>
      <c r="AA754" s="13">
        <v>1396</v>
      </c>
      <c r="AB754" s="13">
        <v>698</v>
      </c>
      <c r="AE754" s="51">
        <f>M754/O754</f>
        <v>16</v>
      </c>
      <c r="AG754" s="6" t="str">
        <f>C754</f>
        <v>90MB1BJ0-C1BAY0</v>
      </c>
      <c r="AH754" s="6" t="str">
        <f>IF($D754&lt;=AH$4,"",IF(AND($D753=AH$4,$D754&gt;AH$4),$F753,AH753))</f>
        <v>59MB1BJB-MB0A02S</v>
      </c>
      <c r="AI754" s="6" t="str">
        <f>IF($D754&lt;=AI$4,"",IF(AND($D753=AI$4,$D754&gt;AI$4),$F753,AI753))</f>
        <v/>
      </c>
      <c r="AJ754" s="6" t="str">
        <f>IF($D754&lt;=AJ$4,"",IF(AND($D753=AJ$4,$D754&gt;AJ$4),$F753,AJ753))</f>
        <v/>
      </c>
      <c r="AK754" s="6" t="str">
        <f>IF($D754&lt;=AK$4,"",IF(AND($D753=AK$4,$D754&gt;AK$4),$F753,AK753))</f>
        <v/>
      </c>
      <c r="AL754" s="6" t="str">
        <f>IF($D754&lt;=AL$4,"",IF(AND($D753=AL$4,$D754&gt;AL$4),$F753,AL753))</f>
        <v/>
      </c>
      <c r="AM754" s="6" t="str">
        <f>IF($D754&lt;=AM$4,"",IF(AND($D753=AM$4,$D754&gt;AM$4),$F753,AM753))</f>
        <v/>
      </c>
      <c r="AN754" s="6" t="str">
        <f>IF($D754&lt;=AN$4,"",IF(AND($D753=AN$4,$D754&gt;AN$4),$F753,AN753))</f>
        <v/>
      </c>
      <c r="AO754" s="6" t="str">
        <f>CONCATENATE(AG754," | ",AH754," | ",AI754," | ",AJ754," | ",AK754," | ",AL754," | ",AM754," | ",AN754)</f>
        <v xml:space="preserve">90MB1BJ0-C1BAY0 | 59MB1BJB-MB0A02S |  |  |  |  |  | </v>
      </c>
      <c r="AP754" s="6">
        <f>IF(TRIM(H754)="",100,J754)</f>
        <v>0</v>
      </c>
      <c r="AQ754" s="4"/>
      <c r="AR754" s="6" t="b">
        <f>NOT(TRIM(W754)&lt;&gt;"F")</f>
        <v>1</v>
      </c>
      <c r="AS754" s="6" t="str">
        <f>$B754&amp;" | "&amp;$AO754&amp;" | "&amp;IF(TRIM(H754)="","uniq"&amp;ROW(),TRIM(H754))</f>
        <v>461E | 90MB1BJ0-C1BAY0 | 59MB1BJB-MB0A02S |  |  |  |  |  |  | O2</v>
      </c>
      <c r="AT754" s="63">
        <f>IF(NOT(AR754),IF(TRIM($H754)="","Assembly","Phantom Alt"),VLOOKUP(F754,ZPCS04!B:G,6,0))</f>
        <v>1283</v>
      </c>
      <c r="AU754" s="7"/>
      <c r="AV754" s="38">
        <f ca="1">IF(TRIM($W754)="F",OFFSET($A$5,MATCH($AS754,$AS$5:$AS754,0)-1,0),$A754)</f>
        <v>751</v>
      </c>
      <c r="AW754" s="38">
        <f ca="1">IFERROR(OFFSET(ZPCS04!$A$1,MATCH(F754,ZPCS04!B:B,0)-1,0),100)</f>
        <v>2</v>
      </c>
      <c r="AX754" s="7"/>
      <c r="AY754" s="6" t="b">
        <f>SUMIF(AS:AS,AS754,AP:AP)=100</f>
        <v>1</v>
      </c>
      <c r="AZ754" s="6" t="b">
        <f>SUMIF(AS:AS,AS754,AE:AE)/COUNTIF(AS:AS,AS754)=AE754</f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>C754&amp;" | "&amp;F754</f>
        <v>90MB1BJ0-C1BAY0 | 11G233122411390</v>
      </c>
      <c r="BE754" s="55" t="str">
        <f ca="1">C754&amp;" | "&amp;OFFSET($AF754,0,8-COUNTBLANK($AG754:$AN754))</f>
        <v>90MB1BJ0-C1BAY0 | 59MB1BJB-MB0A02S</v>
      </c>
      <c r="BF754" s="57">
        <f ca="1">IFERROR(VLOOKUP($BE754,$BD$5:$BF753,3,0)*$AE754,VLOOKUP($C754,Demanda!$A:$B,2,0)*$AE754)*IF(AT754="Phantom Alt",$BC754,TRUE)</f>
        <v>16000</v>
      </c>
      <c r="BG754" s="57">
        <f ca="1">BF754*(AP754/100)</f>
        <v>0</v>
      </c>
      <c r="BH754" s="57">
        <f>SUMIF(Invoice!A:A,F754,Invoice!B:B)</f>
        <v>0</v>
      </c>
      <c r="BI754" s="57">
        <f ca="1">SUMIF(AS:AS,AS754,BG:BG)</f>
        <v>16000</v>
      </c>
      <c r="BJ754" s="57">
        <f ca="1">MIN((BI754-SUMIF($AS$5:AS753,AS754,$BJ$5:BJ753)),MAX(0,BH754-SUMIF($F$5:F753,F754,$BJ$5:BJ753)))</f>
        <v>0</v>
      </c>
      <c r="BK754" s="57">
        <f ca="1">(-SUMIF(AS:AS,AS754,BG:BG)+SUMIF(AS:AS,AS754,BJ:BJ))*(AP754=100)*AR754</f>
        <v>0</v>
      </c>
      <c r="BL754" s="57">
        <f ca="1">MAX(0,SUMIF(Invoice!A:A,F754,Invoice!B:B)-SUMIF(F:F,F754,BJ:BJ))*(COUNTIF(F:F,F754)=COUNTIF($F$5:F754,F754))</f>
        <v>0</v>
      </c>
    </row>
    <row r="755" spans="1:64" hidden="1">
      <c r="A755" s="43">
        <v>758</v>
      </c>
      <c r="B755" s="13" t="s">
        <v>147</v>
      </c>
      <c r="C755" s="13" t="s">
        <v>146</v>
      </c>
      <c r="D755" s="13">
        <v>2</v>
      </c>
      <c r="E755" s="13">
        <v>2430</v>
      </c>
      <c r="F755" s="71" t="s">
        <v>1756</v>
      </c>
      <c r="G755" s="71" t="s">
        <v>1754</v>
      </c>
      <c r="H755" s="13" t="s">
        <v>1752</v>
      </c>
      <c r="I755" s="13" t="s">
        <v>54</v>
      </c>
      <c r="J755" s="28">
        <v>100</v>
      </c>
      <c r="K755" s="13" t="s">
        <v>1428</v>
      </c>
      <c r="L755" s="13" t="s">
        <v>53</v>
      </c>
      <c r="M755" s="13">
        <v>2</v>
      </c>
      <c r="N755" s="13">
        <v>2</v>
      </c>
      <c r="O755" s="13">
        <v>1</v>
      </c>
      <c r="P755" s="13">
        <v>2</v>
      </c>
      <c r="Q755" s="13">
        <v>1</v>
      </c>
      <c r="R755" s="13" t="s">
        <v>122</v>
      </c>
      <c r="S755" s="13" t="s">
        <v>122</v>
      </c>
      <c r="T755" s="13">
        <v>44901</v>
      </c>
      <c r="U755" s="13">
        <v>2958465</v>
      </c>
      <c r="V755" s="13" t="s">
        <v>282</v>
      </c>
      <c r="W755" s="13" t="s">
        <v>145</v>
      </c>
      <c r="Y755" s="13" t="s">
        <v>143</v>
      </c>
      <c r="Z755" s="13">
        <v>7589154</v>
      </c>
      <c r="AA755" s="13">
        <v>1398</v>
      </c>
      <c r="AB755" s="13">
        <v>699</v>
      </c>
      <c r="AE755" s="51">
        <f>M755/O755</f>
        <v>2</v>
      </c>
      <c r="AG755" s="6" t="str">
        <f>C755</f>
        <v>90MB1BJ0-C1BAY0</v>
      </c>
      <c r="AH755" s="6" t="str">
        <f>IF($D755&lt;=AH$4,"",IF(AND($D754=AH$4,$D755&gt;AH$4),$F754,AH754))</f>
        <v>59MB1BJB-MB0A02S</v>
      </c>
      <c r="AI755" s="6" t="str">
        <f>IF($D755&lt;=AI$4,"",IF(AND($D754=AI$4,$D755&gt;AI$4),$F754,AI754))</f>
        <v/>
      </c>
      <c r="AJ755" s="6" t="str">
        <f>IF($D755&lt;=AJ$4,"",IF(AND($D754=AJ$4,$D755&gt;AJ$4),$F754,AJ754))</f>
        <v/>
      </c>
      <c r="AK755" s="6" t="str">
        <f>IF($D755&lt;=AK$4,"",IF(AND($D754=AK$4,$D755&gt;AK$4),$F754,AK754))</f>
        <v/>
      </c>
      <c r="AL755" s="6" t="str">
        <f>IF($D755&lt;=AL$4,"",IF(AND($D754=AL$4,$D755&gt;AL$4),$F754,AL754))</f>
        <v/>
      </c>
      <c r="AM755" s="6" t="str">
        <f>IF($D755&lt;=AM$4,"",IF(AND($D754=AM$4,$D755&gt;AM$4),$F754,AM754))</f>
        <v/>
      </c>
      <c r="AN755" s="6" t="str">
        <f>IF($D755&lt;=AN$4,"",IF(AND($D754=AN$4,$D755&gt;AN$4),$F754,AN754))</f>
        <v/>
      </c>
      <c r="AO755" s="6" t="str">
        <f>CONCATENATE(AG755," | ",AH755," | ",AI755," | ",AJ755," | ",AK755," | ",AL755," | ",AM755," | ",AN755)</f>
        <v xml:space="preserve">90MB1BJ0-C1BAY0 | 59MB1BJB-MB0A02S |  |  |  |  |  | </v>
      </c>
      <c r="AP755" s="6">
        <f>IF(TRIM(H755)="",100,J755)</f>
        <v>100</v>
      </c>
      <c r="AQ755" s="4"/>
      <c r="AR755" s="6" t="b">
        <f>NOT(TRIM(W755)&lt;&gt;"F")</f>
        <v>1</v>
      </c>
      <c r="AS755" s="6" t="str">
        <f>$B755&amp;" | "&amp;$AO755&amp;" | "&amp;IF(TRIM(H755)="","uniq"&amp;ROW(),TRIM(H755))</f>
        <v>461E | 90MB1BJ0-C1BAY0 | 59MB1BJB-MB0A02S |  |  |  |  |  |  | O3</v>
      </c>
      <c r="AT755" s="63">
        <f>IF(NOT(AR755),IF(TRIM($H755)="","Assembly","Phantom Alt"),VLOOKUP(F755,ZPCS04!B:G,6,0))</f>
        <v>764</v>
      </c>
      <c r="AU755" s="7"/>
      <c r="AV755" s="38">
        <f ca="1">IF(TRIM($W755)="F",OFFSET($A$5,MATCH($AS755,$AS$5:$AS755,0)-1,0),$A755)</f>
        <v>758</v>
      </c>
      <c r="AW755" s="38">
        <f ca="1">IFERROR(OFFSET(ZPCS04!$A$1,MATCH(F755,ZPCS04!B:B,0)-1,0),100)</f>
        <v>1.99999996</v>
      </c>
      <c r="AX755" s="7"/>
      <c r="AY755" s="6" t="b">
        <f>SUMIF(AS:AS,AS755,AP:AP)=100</f>
        <v>1</v>
      </c>
      <c r="AZ755" s="6" t="b">
        <f>SUMIF(AS:AS,AS755,AE:AE)/COUNTIF(AS:AS,AS755)=AE755</f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>C755&amp;" | "&amp;F755</f>
        <v>90MB1BJ0-C1BAY0 | 11G233147214390</v>
      </c>
      <c r="BE755" s="55" t="str">
        <f ca="1">C755&amp;" | "&amp;OFFSET($AF755,0,8-COUNTBLANK($AG755:$AN755))</f>
        <v>90MB1BJ0-C1BAY0 | 59MB1BJB-MB0A02S</v>
      </c>
      <c r="BF755" s="57">
        <f ca="1">IFERROR(VLOOKUP($BE755,$BD$5:$BF754,3,0)*$AE755,VLOOKUP($C755,Demanda!$A:$B,2,0)*$AE755)*IF(AT755="Phantom Alt",$BC755,TRUE)</f>
        <v>2000</v>
      </c>
      <c r="BG755" s="57">
        <f ca="1">BF755*(AP755/100)</f>
        <v>2000</v>
      </c>
      <c r="BH755" s="57">
        <f>SUMIF(Invoice!A:A,F755,Invoice!B:B)</f>
        <v>4000</v>
      </c>
      <c r="BI755" s="57">
        <f ca="1">SUMIF(AS:AS,AS755,BG:BG)</f>
        <v>2000</v>
      </c>
      <c r="BJ755" s="57">
        <f ca="1">MIN((BI755-SUMIF($AS$5:AS754,AS755,$BJ$5:BJ754)),MAX(0,BH755-SUMIF($F$5:F754,F755,$BJ$5:BJ754)))</f>
        <v>2000</v>
      </c>
      <c r="BK755" s="57">
        <f ca="1">(-SUMIF(AS:AS,AS755,BG:BG)+SUMIF(AS:AS,AS755,BJ:BJ))*(AP755=100)*AR755</f>
        <v>0</v>
      </c>
      <c r="BL755" s="57">
        <f ca="1">MAX(0,SUMIF(Invoice!A:A,F755,Invoice!B:B)-SUMIF(F:F,F755,BJ:BJ))*(COUNTIF(F:F,F755)=COUNTIF($F$5:F755,F755))</f>
        <v>2000</v>
      </c>
    </row>
    <row r="756" spans="1:64" hidden="1">
      <c r="A756" s="43">
        <v>755</v>
      </c>
      <c r="B756" s="13" t="s">
        <v>147</v>
      </c>
      <c r="C756" s="13" t="s">
        <v>146</v>
      </c>
      <c r="D756" s="13">
        <v>2</v>
      </c>
      <c r="E756" s="13">
        <v>2430</v>
      </c>
      <c r="F756" s="71" t="s">
        <v>1750</v>
      </c>
      <c r="G756" s="71" t="s">
        <v>1751</v>
      </c>
      <c r="H756" s="13" t="s">
        <v>1752</v>
      </c>
      <c r="I756" s="13" t="s">
        <v>55</v>
      </c>
      <c r="J756" s="28">
        <v>0</v>
      </c>
      <c r="K756" s="13" t="s">
        <v>150</v>
      </c>
      <c r="L756" s="13" t="s">
        <v>53</v>
      </c>
      <c r="M756" s="13">
        <v>2</v>
      </c>
      <c r="O756" s="13">
        <v>1</v>
      </c>
      <c r="P756" s="13">
        <v>2</v>
      </c>
      <c r="Q756" s="13">
        <v>2</v>
      </c>
      <c r="R756" s="13" t="s">
        <v>73</v>
      </c>
      <c r="S756" s="13" t="s">
        <v>73</v>
      </c>
      <c r="T756" s="13">
        <v>44901</v>
      </c>
      <c r="U756" s="13">
        <v>2958465</v>
      </c>
      <c r="V756" s="13" t="s">
        <v>282</v>
      </c>
      <c r="W756" s="13" t="s">
        <v>145</v>
      </c>
      <c r="Y756" s="13" t="s">
        <v>143</v>
      </c>
      <c r="Z756" s="13">
        <v>7589154</v>
      </c>
      <c r="AA756" s="13">
        <v>1400</v>
      </c>
      <c r="AB756" s="13">
        <v>700</v>
      </c>
      <c r="AE756" s="51">
        <f>M756/O756</f>
        <v>2</v>
      </c>
      <c r="AG756" s="6" t="str">
        <f>C756</f>
        <v>90MB1BJ0-C1BAY0</v>
      </c>
      <c r="AH756" s="6" t="str">
        <f>IF($D756&lt;=AH$4,"",IF(AND($D755=AH$4,$D756&gt;AH$4),$F755,AH755))</f>
        <v>59MB1BJB-MB0A02S</v>
      </c>
      <c r="AI756" s="6" t="str">
        <f>IF($D756&lt;=AI$4,"",IF(AND($D755=AI$4,$D756&gt;AI$4),$F755,AI755))</f>
        <v/>
      </c>
      <c r="AJ756" s="6" t="str">
        <f>IF($D756&lt;=AJ$4,"",IF(AND($D755=AJ$4,$D756&gt;AJ$4),$F755,AJ755))</f>
        <v/>
      </c>
      <c r="AK756" s="6" t="str">
        <f>IF($D756&lt;=AK$4,"",IF(AND($D755=AK$4,$D756&gt;AK$4),$F755,AK755))</f>
        <v/>
      </c>
      <c r="AL756" s="6" t="str">
        <f>IF($D756&lt;=AL$4,"",IF(AND($D755=AL$4,$D756&gt;AL$4),$F755,AL755))</f>
        <v/>
      </c>
      <c r="AM756" s="6" t="str">
        <f>IF($D756&lt;=AM$4,"",IF(AND($D755=AM$4,$D756&gt;AM$4),$F755,AM755))</f>
        <v/>
      </c>
      <c r="AN756" s="6" t="str">
        <f>IF($D756&lt;=AN$4,"",IF(AND($D755=AN$4,$D756&gt;AN$4),$F755,AN755))</f>
        <v/>
      </c>
      <c r="AO756" s="6" t="str">
        <f>CONCATENATE(AG756," | ",AH756," | ",AI756," | ",AJ756," | ",AK756," | ",AL756," | ",AM756," | ",AN756)</f>
        <v xml:space="preserve">90MB1BJ0-C1BAY0 | 59MB1BJB-MB0A02S |  |  |  |  |  | </v>
      </c>
      <c r="AP756" s="6">
        <f>IF(TRIM(H756)="",100,J756)</f>
        <v>0</v>
      </c>
      <c r="AQ756" s="4"/>
      <c r="AR756" s="6" t="b">
        <f>NOT(TRIM(W756)&lt;&gt;"F")</f>
        <v>1</v>
      </c>
      <c r="AS756" s="6" t="str">
        <f>$B756&amp;" | "&amp;$AO756&amp;" | "&amp;IF(TRIM(H756)="","uniq"&amp;ROW(),TRIM(H756))</f>
        <v>461E | 90MB1BJ0-C1BAY0 | 59MB1BJB-MB0A02S |  |  |  |  |  |  | O3</v>
      </c>
      <c r="AT756" s="63">
        <f>IF(NOT(AR756),IF(TRIM($H756)="","Assembly","Phantom Alt"),VLOOKUP(F756,ZPCS04!B:G,6,0))</f>
        <v>764</v>
      </c>
      <c r="AU756" s="7"/>
      <c r="AV756" s="38">
        <f ca="1">IF(TRIM($W756)="F",OFFSET($A$5,MATCH($AS756,$AS$5:$AS756,0)-1,0),$A756)</f>
        <v>758</v>
      </c>
      <c r="AW756" s="38">
        <f ca="1">IFERROR(OFFSET(ZPCS04!$A$1,MATCH(F756,ZPCS04!B:B,0)-1,0),100)</f>
        <v>2</v>
      </c>
      <c r="AX756" s="7"/>
      <c r="AY756" s="6" t="b">
        <f>SUMIF(AS:AS,AS756,AP:AP)=100</f>
        <v>1</v>
      </c>
      <c r="AZ756" s="6" t="b">
        <f>SUMIF(AS:AS,AS756,AE:AE)/COUNTIF(AS:AS,AS756)=AE756</f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>C756&amp;" | "&amp;F756</f>
        <v>90MB1BJ0-C1BAY0 | 11G233147214070</v>
      </c>
      <c r="BE756" s="55" t="str">
        <f ca="1">C756&amp;" | "&amp;OFFSET($AF756,0,8-COUNTBLANK($AG756:$AN756))</f>
        <v>90MB1BJ0-C1BAY0 | 59MB1BJB-MB0A02S</v>
      </c>
      <c r="BF756" s="57">
        <f ca="1">IFERROR(VLOOKUP($BE756,$BD$5:$BF755,3,0)*$AE756,VLOOKUP($C756,Demanda!$A:$B,2,0)*$AE756)*IF(AT756="Phantom Alt",$BC756,TRUE)</f>
        <v>2000</v>
      </c>
      <c r="BG756" s="57">
        <f ca="1">BF756*(AP756/100)</f>
        <v>0</v>
      </c>
      <c r="BH756" s="57">
        <f>SUMIF(Invoice!A:A,F756,Invoice!B:B)</f>
        <v>0</v>
      </c>
      <c r="BI756" s="57">
        <f ca="1">SUMIF(AS:AS,AS756,BG:BG)</f>
        <v>2000</v>
      </c>
      <c r="BJ756" s="57">
        <f ca="1">MIN((BI756-SUMIF($AS$5:AS755,AS756,$BJ$5:BJ755)),MAX(0,BH756-SUMIF($F$5:F755,F756,$BJ$5:BJ755)))</f>
        <v>0</v>
      </c>
      <c r="BK756" s="57">
        <f ca="1">(-SUMIF(AS:AS,AS756,BG:BG)+SUMIF(AS:AS,AS756,BJ:BJ))*(AP756=100)*AR756</f>
        <v>0</v>
      </c>
      <c r="BL756" s="57">
        <f ca="1">MAX(0,SUMIF(Invoice!A:A,F756,Invoice!B:B)-SUMIF(F:F,F756,BJ:BJ))*(COUNTIF(F:F,F756)=COUNTIF($F$5:F756,F756))</f>
        <v>0</v>
      </c>
    </row>
    <row r="757" spans="1:64" hidden="1">
      <c r="A757" s="43">
        <v>756</v>
      </c>
      <c r="B757" s="13" t="s">
        <v>147</v>
      </c>
      <c r="C757" s="13" t="s">
        <v>146</v>
      </c>
      <c r="D757" s="13">
        <v>2</v>
      </c>
      <c r="E757" s="13">
        <v>2430</v>
      </c>
      <c r="F757" s="71" t="s">
        <v>1753</v>
      </c>
      <c r="G757" s="71" t="s">
        <v>1754</v>
      </c>
      <c r="H757" s="13" t="s">
        <v>1752</v>
      </c>
      <c r="I757" s="13" t="s">
        <v>55</v>
      </c>
      <c r="J757" s="28">
        <v>0</v>
      </c>
      <c r="K757" s="13" t="s">
        <v>1428</v>
      </c>
      <c r="L757" s="13" t="s">
        <v>53</v>
      </c>
      <c r="M757" s="13">
        <v>2</v>
      </c>
      <c r="O757" s="13">
        <v>1</v>
      </c>
      <c r="P757" s="13">
        <v>2</v>
      </c>
      <c r="Q757" s="13">
        <v>4</v>
      </c>
      <c r="R757" s="13" t="s">
        <v>122</v>
      </c>
      <c r="S757" s="13" t="s">
        <v>122</v>
      </c>
      <c r="T757" s="13">
        <v>44901</v>
      </c>
      <c r="U757" s="13">
        <v>2958465</v>
      </c>
      <c r="V757" s="13" t="s">
        <v>282</v>
      </c>
      <c r="W757" s="13" t="s">
        <v>145</v>
      </c>
      <c r="Y757" s="13" t="s">
        <v>143</v>
      </c>
      <c r="Z757" s="13">
        <v>7589154</v>
      </c>
      <c r="AA757" s="13">
        <v>1404</v>
      </c>
      <c r="AB757" s="13">
        <v>702</v>
      </c>
      <c r="AE757" s="51">
        <f>M757/O757</f>
        <v>2</v>
      </c>
      <c r="AG757" s="6" t="str">
        <f>C757</f>
        <v>90MB1BJ0-C1BAY0</v>
      </c>
      <c r="AH757" s="6" t="str">
        <f>IF($D757&lt;=AH$4,"",IF(AND($D756=AH$4,$D757&gt;AH$4),$F756,AH756))</f>
        <v>59MB1BJB-MB0A02S</v>
      </c>
      <c r="AI757" s="6" t="str">
        <f>IF($D757&lt;=AI$4,"",IF(AND($D756=AI$4,$D757&gt;AI$4),$F756,AI756))</f>
        <v/>
      </c>
      <c r="AJ757" s="6" t="str">
        <f>IF($D757&lt;=AJ$4,"",IF(AND($D756=AJ$4,$D757&gt;AJ$4),$F756,AJ756))</f>
        <v/>
      </c>
      <c r="AK757" s="6" t="str">
        <f>IF($D757&lt;=AK$4,"",IF(AND($D756=AK$4,$D757&gt;AK$4),$F756,AK756))</f>
        <v/>
      </c>
      <c r="AL757" s="6" t="str">
        <f>IF($D757&lt;=AL$4,"",IF(AND($D756=AL$4,$D757&gt;AL$4),$F756,AL756))</f>
        <v/>
      </c>
      <c r="AM757" s="6" t="str">
        <f>IF($D757&lt;=AM$4,"",IF(AND($D756=AM$4,$D757&gt;AM$4),$F756,AM756))</f>
        <v/>
      </c>
      <c r="AN757" s="6" t="str">
        <f>IF($D757&lt;=AN$4,"",IF(AND($D756=AN$4,$D757&gt;AN$4),$F756,AN756))</f>
        <v/>
      </c>
      <c r="AO757" s="6" t="str">
        <f>CONCATENATE(AG757," | ",AH757," | ",AI757," | ",AJ757," | ",AK757," | ",AL757," | ",AM757," | ",AN757)</f>
        <v xml:space="preserve">90MB1BJ0-C1BAY0 | 59MB1BJB-MB0A02S |  |  |  |  |  | </v>
      </c>
      <c r="AP757" s="6">
        <f>IF(TRIM(H757)="",100,J757)</f>
        <v>0</v>
      </c>
      <c r="AQ757" s="4"/>
      <c r="AR757" s="6" t="b">
        <f>NOT(TRIM(W757)&lt;&gt;"F")</f>
        <v>1</v>
      </c>
      <c r="AS757" s="6" t="str">
        <f>$B757&amp;" | "&amp;$AO757&amp;" | "&amp;IF(TRIM(H757)="","uniq"&amp;ROW(),TRIM(H757))</f>
        <v>461E | 90MB1BJ0-C1BAY0 | 59MB1BJB-MB0A02S |  |  |  |  |  |  | O3</v>
      </c>
      <c r="AT757" s="63">
        <f>IF(NOT(AR757),IF(TRIM($H757)="","Assembly","Phantom Alt"),VLOOKUP(F757,ZPCS04!B:G,6,0))</f>
        <v>764</v>
      </c>
      <c r="AU757" s="7"/>
      <c r="AV757" s="38">
        <f ca="1">IF(TRIM($W757)="F",OFFSET($A$5,MATCH($AS757,$AS$5:$AS757,0)-1,0),$A757)</f>
        <v>758</v>
      </c>
      <c r="AW757" s="38">
        <f ca="1">IFERROR(OFFSET(ZPCS04!$A$1,MATCH(F757,ZPCS04!B:B,0)-1,0),100)</f>
        <v>2</v>
      </c>
      <c r="AX757" s="7"/>
      <c r="AY757" s="6" t="b">
        <f>SUMIF(AS:AS,AS757,AP:AP)=100</f>
        <v>1</v>
      </c>
      <c r="AZ757" s="6" t="b">
        <f>SUMIF(AS:AS,AS757,AE:AE)/COUNTIF(AS:AS,AS757)=AE757</f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>C757&amp;" | "&amp;F757</f>
        <v>90MB1BJ0-C1BAY0 | 11G233147214150</v>
      </c>
      <c r="BE757" s="55" t="str">
        <f ca="1">C757&amp;" | "&amp;OFFSET($AF757,0,8-COUNTBLANK($AG757:$AN757))</f>
        <v>90MB1BJ0-C1BAY0 | 59MB1BJB-MB0A02S</v>
      </c>
      <c r="BF757" s="57">
        <f ca="1">IFERROR(VLOOKUP($BE757,$BD$5:$BF756,3,0)*$AE757,VLOOKUP($C757,Demanda!$A:$B,2,0)*$AE757)*IF(AT757="Phantom Alt",$BC757,TRUE)</f>
        <v>2000</v>
      </c>
      <c r="BG757" s="57">
        <f ca="1">BF757*(AP757/100)</f>
        <v>0</v>
      </c>
      <c r="BH757" s="57">
        <f>SUMIF(Invoice!A:A,F757,Invoice!B:B)</f>
        <v>0</v>
      </c>
      <c r="BI757" s="57">
        <f ca="1">SUMIF(AS:AS,AS757,BG:BG)</f>
        <v>2000</v>
      </c>
      <c r="BJ757" s="57">
        <f ca="1">MIN((BI757-SUMIF($AS$5:AS756,AS757,$BJ$5:BJ756)),MAX(0,BH757-SUMIF($F$5:F756,F757,$BJ$5:BJ756)))</f>
        <v>0</v>
      </c>
      <c r="BK757" s="57">
        <f ca="1">(-SUMIF(AS:AS,AS757,BG:BG)+SUMIF(AS:AS,AS757,BJ:BJ))*(AP757=100)*AR757</f>
        <v>0</v>
      </c>
      <c r="BL757" s="57">
        <f ca="1">MAX(0,SUMIF(Invoice!A:A,F757,Invoice!B:B)-SUMIF(F:F,F757,BJ:BJ))*(COUNTIF(F:F,F757)=COUNTIF($F$5:F757,F757))</f>
        <v>0</v>
      </c>
    </row>
    <row r="758" spans="1:64" hidden="1">
      <c r="A758" s="43">
        <v>757</v>
      </c>
      <c r="B758" s="13" t="s">
        <v>147</v>
      </c>
      <c r="C758" s="13" t="s">
        <v>146</v>
      </c>
      <c r="D758" s="13">
        <v>2</v>
      </c>
      <c r="E758" s="13">
        <v>2430</v>
      </c>
      <c r="F758" s="71" t="s">
        <v>1755</v>
      </c>
      <c r="G758" s="71" t="s">
        <v>1754</v>
      </c>
      <c r="H758" s="13" t="s">
        <v>1752</v>
      </c>
      <c r="I758" s="13" t="s">
        <v>55</v>
      </c>
      <c r="J758" s="28">
        <v>0</v>
      </c>
      <c r="K758" s="13" t="s">
        <v>1428</v>
      </c>
      <c r="L758" s="13" t="s">
        <v>53</v>
      </c>
      <c r="M758" s="13">
        <v>2</v>
      </c>
      <c r="O758" s="13">
        <v>1</v>
      </c>
      <c r="P758" s="13">
        <v>2</v>
      </c>
      <c r="Q758" s="13">
        <v>3</v>
      </c>
      <c r="R758" s="13" t="s">
        <v>122</v>
      </c>
      <c r="S758" s="13" t="s">
        <v>122</v>
      </c>
      <c r="T758" s="13">
        <v>44901</v>
      </c>
      <c r="U758" s="13">
        <v>2958465</v>
      </c>
      <c r="V758" s="13" t="s">
        <v>282</v>
      </c>
      <c r="W758" s="13" t="s">
        <v>145</v>
      </c>
      <c r="Y758" s="13" t="s">
        <v>143</v>
      </c>
      <c r="Z758" s="13">
        <v>7589154</v>
      </c>
      <c r="AA758" s="13">
        <v>1402</v>
      </c>
      <c r="AB758" s="13">
        <v>701</v>
      </c>
      <c r="AE758" s="51">
        <f>M758/O758</f>
        <v>2</v>
      </c>
      <c r="AG758" s="6" t="str">
        <f>C758</f>
        <v>90MB1BJ0-C1BAY0</v>
      </c>
      <c r="AH758" s="6" t="str">
        <f>IF($D758&lt;=AH$4,"",IF(AND($D757=AH$4,$D758&gt;AH$4),$F757,AH757))</f>
        <v>59MB1BJB-MB0A02S</v>
      </c>
      <c r="AI758" s="6" t="str">
        <f>IF($D758&lt;=AI$4,"",IF(AND($D757=AI$4,$D758&gt;AI$4),$F757,AI757))</f>
        <v/>
      </c>
      <c r="AJ758" s="6" t="str">
        <f>IF($D758&lt;=AJ$4,"",IF(AND($D757=AJ$4,$D758&gt;AJ$4),$F757,AJ757))</f>
        <v/>
      </c>
      <c r="AK758" s="6" t="str">
        <f>IF($D758&lt;=AK$4,"",IF(AND($D757=AK$4,$D758&gt;AK$4),$F757,AK757))</f>
        <v/>
      </c>
      <c r="AL758" s="6" t="str">
        <f>IF($D758&lt;=AL$4,"",IF(AND($D757=AL$4,$D758&gt;AL$4),$F757,AL757))</f>
        <v/>
      </c>
      <c r="AM758" s="6" t="str">
        <f>IF($D758&lt;=AM$4,"",IF(AND($D757=AM$4,$D758&gt;AM$4),$F757,AM757))</f>
        <v/>
      </c>
      <c r="AN758" s="6" t="str">
        <f>IF($D758&lt;=AN$4,"",IF(AND($D757=AN$4,$D758&gt;AN$4),$F757,AN757))</f>
        <v/>
      </c>
      <c r="AO758" s="6" t="str">
        <f>CONCATENATE(AG758," | ",AH758," | ",AI758," | ",AJ758," | ",AK758," | ",AL758," | ",AM758," | ",AN758)</f>
        <v xml:space="preserve">90MB1BJ0-C1BAY0 | 59MB1BJB-MB0A02S |  |  |  |  |  | </v>
      </c>
      <c r="AP758" s="6">
        <f>IF(TRIM(H758)="",100,J758)</f>
        <v>0</v>
      </c>
      <c r="AQ758" s="4"/>
      <c r="AR758" s="6" t="b">
        <f>NOT(TRIM(W758)&lt;&gt;"F")</f>
        <v>1</v>
      </c>
      <c r="AS758" s="6" t="str">
        <f>$B758&amp;" | "&amp;$AO758&amp;" | "&amp;IF(TRIM(H758)="","uniq"&amp;ROW(),TRIM(H758))</f>
        <v>461E | 90MB1BJ0-C1BAY0 | 59MB1BJB-MB0A02S |  |  |  |  |  |  | O3</v>
      </c>
      <c r="AT758" s="63">
        <f>IF(NOT(AR758),IF(TRIM($H758)="","Assembly","Phantom Alt"),VLOOKUP(F758,ZPCS04!B:G,6,0))</f>
        <v>764</v>
      </c>
      <c r="AU758" s="7"/>
      <c r="AV758" s="38">
        <f ca="1">IF(TRIM($W758)="F",OFFSET($A$5,MATCH($AS758,$AS$5:$AS758,0)-1,0),$A758)</f>
        <v>758</v>
      </c>
      <c r="AW758" s="38">
        <f ca="1">IFERROR(OFFSET(ZPCS04!$A$1,MATCH(F758,ZPCS04!B:B,0)-1,0),100)</f>
        <v>2</v>
      </c>
      <c r="AX758" s="7"/>
      <c r="AY758" s="6" t="b">
        <f>SUMIF(AS:AS,AS758,AP:AP)=100</f>
        <v>1</v>
      </c>
      <c r="AZ758" s="6" t="b">
        <f>SUMIF(AS:AS,AS758,AE:AE)/COUNTIF(AS:AS,AS758)=AE758</f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>C758&amp;" | "&amp;F758</f>
        <v>90MB1BJ0-C1BAY0 | 11G233147214321</v>
      </c>
      <c r="BE758" s="55" t="str">
        <f ca="1">C758&amp;" | "&amp;OFFSET($AF758,0,8-COUNTBLANK($AG758:$AN758))</f>
        <v>90MB1BJ0-C1BAY0 | 59MB1BJB-MB0A02S</v>
      </c>
      <c r="BF758" s="57">
        <f ca="1">IFERROR(VLOOKUP($BE758,$BD$5:$BF757,3,0)*$AE758,VLOOKUP($C758,Demanda!$A:$B,2,0)*$AE758)*IF(AT758="Phantom Alt",$BC758,TRUE)</f>
        <v>2000</v>
      </c>
      <c r="BG758" s="57">
        <f ca="1">BF758*(AP758/100)</f>
        <v>0</v>
      </c>
      <c r="BH758" s="57">
        <f>SUMIF(Invoice!A:A,F758,Invoice!B:B)</f>
        <v>0</v>
      </c>
      <c r="BI758" s="57">
        <f ca="1">SUMIF(AS:AS,AS758,BG:BG)</f>
        <v>2000</v>
      </c>
      <c r="BJ758" s="57">
        <f ca="1">MIN((BI758-SUMIF($AS$5:AS757,AS758,$BJ$5:BJ757)),MAX(0,BH758-SUMIF($F$5:F757,F758,$BJ$5:BJ757)))</f>
        <v>0</v>
      </c>
      <c r="BK758" s="57">
        <f ca="1">(-SUMIF(AS:AS,AS758,BG:BG)+SUMIF(AS:AS,AS758,BJ:BJ))*(AP758=100)*AR758</f>
        <v>0</v>
      </c>
      <c r="BL758" s="57">
        <f ca="1">MAX(0,SUMIF(Invoice!A:A,F758,Invoice!B:B)-SUMIF(F:F,F758,BJ:BJ))*(COUNTIF(F:F,F758)=COUNTIF($F$5:F758,F758))</f>
        <v>0</v>
      </c>
    </row>
    <row r="759" spans="1:64" hidden="1">
      <c r="A759" s="43">
        <v>762</v>
      </c>
      <c r="B759" s="13" t="s">
        <v>147</v>
      </c>
      <c r="C759" s="13" t="s">
        <v>146</v>
      </c>
      <c r="D759" s="13">
        <v>2</v>
      </c>
      <c r="E759" s="13">
        <v>2440</v>
      </c>
      <c r="F759" s="71" t="s">
        <v>1764</v>
      </c>
      <c r="G759" s="71" t="s">
        <v>1765</v>
      </c>
      <c r="H759" s="13" t="s">
        <v>1759</v>
      </c>
      <c r="I759" s="13" t="s">
        <v>55</v>
      </c>
      <c r="J759" s="28">
        <v>0</v>
      </c>
      <c r="K759" s="13" t="s">
        <v>150</v>
      </c>
      <c r="L759" s="13" t="s">
        <v>53</v>
      </c>
      <c r="M759" s="13">
        <v>1</v>
      </c>
      <c r="O759" s="13">
        <v>1</v>
      </c>
      <c r="P759" s="13">
        <v>2</v>
      </c>
      <c r="Q759" s="13">
        <v>2</v>
      </c>
      <c r="R759" s="13" t="s">
        <v>73</v>
      </c>
      <c r="S759" s="13" t="s">
        <v>73</v>
      </c>
      <c r="T759" s="13">
        <v>44901</v>
      </c>
      <c r="U759" s="13">
        <v>2958465</v>
      </c>
      <c r="V759" s="13" t="s">
        <v>282</v>
      </c>
      <c r="W759" s="13" t="s">
        <v>145</v>
      </c>
      <c r="Y759" s="13" t="s">
        <v>143</v>
      </c>
      <c r="Z759" s="13">
        <v>7589154</v>
      </c>
      <c r="AA759" s="13">
        <v>1408</v>
      </c>
      <c r="AB759" s="13">
        <v>704</v>
      </c>
      <c r="AE759" s="51">
        <f>M759/O759</f>
        <v>1</v>
      </c>
      <c r="AG759" s="6" t="str">
        <f>C759</f>
        <v>90MB1BJ0-C1BAY0</v>
      </c>
      <c r="AH759" s="6" t="str">
        <f>IF($D759&lt;=AH$4,"",IF(AND($D758=AH$4,$D759&gt;AH$4),$F758,AH758))</f>
        <v>59MB1BJB-MB0A02S</v>
      </c>
      <c r="AI759" s="6" t="str">
        <f>IF($D759&lt;=AI$4,"",IF(AND($D758=AI$4,$D759&gt;AI$4),$F758,AI758))</f>
        <v/>
      </c>
      <c r="AJ759" s="6" t="str">
        <f>IF($D759&lt;=AJ$4,"",IF(AND($D758=AJ$4,$D759&gt;AJ$4),$F758,AJ758))</f>
        <v/>
      </c>
      <c r="AK759" s="6" t="str">
        <f>IF($D759&lt;=AK$4,"",IF(AND($D758=AK$4,$D759&gt;AK$4),$F758,AK758))</f>
        <v/>
      </c>
      <c r="AL759" s="6" t="str">
        <f>IF($D759&lt;=AL$4,"",IF(AND($D758=AL$4,$D759&gt;AL$4),$F758,AL758))</f>
        <v/>
      </c>
      <c r="AM759" s="6" t="str">
        <f>IF($D759&lt;=AM$4,"",IF(AND($D758=AM$4,$D759&gt;AM$4),$F758,AM758))</f>
        <v/>
      </c>
      <c r="AN759" s="6" t="str">
        <f>IF($D759&lt;=AN$4,"",IF(AND($D758=AN$4,$D759&gt;AN$4),$F758,AN758))</f>
        <v/>
      </c>
      <c r="AO759" s="6" t="str">
        <f>CONCATENATE(AG759," | ",AH759," | ",AI759," | ",AJ759," | ",AK759," | ",AL759," | ",AM759," | ",AN759)</f>
        <v xml:space="preserve">90MB1BJ0-C1BAY0 | 59MB1BJB-MB0A02S |  |  |  |  |  | </v>
      </c>
      <c r="AP759" s="6">
        <f>IF(TRIM(H759)="",100,J759)</f>
        <v>0</v>
      </c>
      <c r="AQ759" s="4"/>
      <c r="AR759" s="6" t="b">
        <f>NOT(TRIM(W759)&lt;&gt;"F")</f>
        <v>1</v>
      </c>
      <c r="AS759" s="6" t="str">
        <f>$B759&amp;" | "&amp;$AO759&amp;" | "&amp;IF(TRIM(H759)="","uniq"&amp;ROW(),TRIM(H759))</f>
        <v>461E | 90MB1BJ0-C1BAY0 | 59MB1BJB-MB0A02S |  |  |  |  |  |  | O4</v>
      </c>
      <c r="AT759" s="63">
        <f>IF(NOT(AR759),IF(TRIM($H759)="","Assembly","Phantom Alt"),VLOOKUP(F759,ZPCS04!B:G,6,0))</f>
        <v>999</v>
      </c>
      <c r="AU759" s="7"/>
      <c r="AV759" s="38">
        <f ca="1">IF(TRIM($W759)="F",OFFSET($A$5,MATCH($AS759,$AS$5:$AS759,0)-1,0),$A759)</f>
        <v>762</v>
      </c>
      <c r="AW759" s="38">
        <f ca="1">IFERROR(OFFSET(ZPCS04!$A$1,MATCH(F759,ZPCS04!B:B,0)-1,0),100)</f>
        <v>1.99999996</v>
      </c>
      <c r="AX759" s="7"/>
      <c r="AY759" s="6" t="b">
        <f>SUMIF(AS:AS,AS759,AP:AP)=100</f>
        <v>1</v>
      </c>
      <c r="AZ759" s="6" t="b">
        <f>SUMIF(AS:AS,AS759,AE:AE)/COUNTIF(AS:AS,AS759)=AE759</f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>C759&amp;" | "&amp;F759</f>
        <v>90MB1BJ0-C1BAY0 | 11G233156214390</v>
      </c>
      <c r="BE759" s="55" t="str">
        <f ca="1">C759&amp;" | "&amp;OFFSET($AF759,0,8-COUNTBLANK($AG759:$AN759))</f>
        <v>90MB1BJ0-C1BAY0 | 59MB1BJB-MB0A02S</v>
      </c>
      <c r="BF759" s="57">
        <f ca="1">IFERROR(VLOOKUP($BE759,$BD$5:$BF758,3,0)*$AE759,VLOOKUP($C759,Demanda!$A:$B,2,0)*$AE759)*IF(AT759="Phantom Alt",$BC759,TRUE)</f>
        <v>1000</v>
      </c>
      <c r="BG759" s="57">
        <f ca="1">BF759*(AP759/100)</f>
        <v>0</v>
      </c>
      <c r="BH759" s="57">
        <f>SUMIF(Invoice!A:A,F759,Invoice!B:B)</f>
        <v>4000</v>
      </c>
      <c r="BI759" s="57">
        <f ca="1">SUMIF(AS:AS,AS759,BG:BG)</f>
        <v>1000</v>
      </c>
      <c r="BJ759" s="57">
        <f ca="1">MIN((BI759-SUMIF($AS$5:AS758,AS759,$BJ$5:BJ758)),MAX(0,BH759-SUMIF($F$5:F758,F759,$BJ$5:BJ758)))</f>
        <v>1000</v>
      </c>
      <c r="BK759" s="57">
        <f ca="1">(-SUMIF(AS:AS,AS759,BG:BG)+SUMIF(AS:AS,AS759,BJ:BJ))*(AP759=100)*AR759</f>
        <v>0</v>
      </c>
      <c r="BL759" s="57">
        <f ca="1">MAX(0,SUMIF(Invoice!A:A,F759,Invoice!B:B)-SUMIF(F:F,F759,BJ:BJ))*(COUNTIF(F:F,F759)=COUNTIF($F$5:F759,F759))</f>
        <v>3000</v>
      </c>
    </row>
    <row r="760" spans="1:64" hidden="1">
      <c r="A760" s="43">
        <v>759</v>
      </c>
      <c r="B760" s="13" t="s">
        <v>147</v>
      </c>
      <c r="C760" s="13" t="s">
        <v>146</v>
      </c>
      <c r="D760" s="13">
        <v>2</v>
      </c>
      <c r="E760" s="13">
        <v>2440</v>
      </c>
      <c r="F760" s="71" t="s">
        <v>1757</v>
      </c>
      <c r="G760" s="71" t="s">
        <v>1758</v>
      </c>
      <c r="H760" s="13" t="s">
        <v>1759</v>
      </c>
      <c r="I760" s="13" t="s">
        <v>54</v>
      </c>
      <c r="J760" s="28">
        <v>100</v>
      </c>
      <c r="K760" s="13" t="s">
        <v>150</v>
      </c>
      <c r="L760" s="13" t="s">
        <v>53</v>
      </c>
      <c r="M760" s="13">
        <v>1</v>
      </c>
      <c r="N760" s="13">
        <v>1</v>
      </c>
      <c r="O760" s="13">
        <v>1</v>
      </c>
      <c r="P760" s="13">
        <v>2</v>
      </c>
      <c r="Q760" s="13">
        <v>1</v>
      </c>
      <c r="R760" s="13" t="s">
        <v>73</v>
      </c>
      <c r="S760" s="13" t="s">
        <v>73</v>
      </c>
      <c r="T760" s="13">
        <v>44901</v>
      </c>
      <c r="U760" s="13">
        <v>2958465</v>
      </c>
      <c r="V760" s="13" t="s">
        <v>282</v>
      </c>
      <c r="W760" s="13" t="s">
        <v>145</v>
      </c>
      <c r="Y760" s="13" t="s">
        <v>143</v>
      </c>
      <c r="Z760" s="13">
        <v>7589154</v>
      </c>
      <c r="AA760" s="13">
        <v>1406</v>
      </c>
      <c r="AB760" s="13">
        <v>703</v>
      </c>
      <c r="AE760" s="51">
        <f>M760/O760</f>
        <v>1</v>
      </c>
      <c r="AG760" s="6" t="str">
        <f>C760</f>
        <v>90MB1BJ0-C1BAY0</v>
      </c>
      <c r="AH760" s="6" t="str">
        <f>IF($D760&lt;=AH$4,"",IF(AND($D759=AH$4,$D760&gt;AH$4),$F759,AH759))</f>
        <v>59MB1BJB-MB0A02S</v>
      </c>
      <c r="AI760" s="6" t="str">
        <f>IF($D760&lt;=AI$4,"",IF(AND($D759=AI$4,$D760&gt;AI$4),$F759,AI759))</f>
        <v/>
      </c>
      <c r="AJ760" s="6" t="str">
        <f>IF($D760&lt;=AJ$4,"",IF(AND($D759=AJ$4,$D760&gt;AJ$4),$F759,AJ759))</f>
        <v/>
      </c>
      <c r="AK760" s="6" t="str">
        <f>IF($D760&lt;=AK$4,"",IF(AND($D759=AK$4,$D760&gt;AK$4),$F759,AK759))</f>
        <v/>
      </c>
      <c r="AL760" s="6" t="str">
        <f>IF($D760&lt;=AL$4,"",IF(AND($D759=AL$4,$D760&gt;AL$4),$F759,AL759))</f>
        <v/>
      </c>
      <c r="AM760" s="6" t="str">
        <f>IF($D760&lt;=AM$4,"",IF(AND($D759=AM$4,$D760&gt;AM$4),$F759,AM759))</f>
        <v/>
      </c>
      <c r="AN760" s="6" t="str">
        <f>IF($D760&lt;=AN$4,"",IF(AND($D759=AN$4,$D760&gt;AN$4),$F759,AN759))</f>
        <v/>
      </c>
      <c r="AO760" s="6" t="str">
        <f>CONCATENATE(AG760," | ",AH760," | ",AI760," | ",AJ760," | ",AK760," | ",AL760," | ",AM760," | ",AN760)</f>
        <v xml:space="preserve">90MB1BJ0-C1BAY0 | 59MB1BJB-MB0A02S |  |  |  |  |  | </v>
      </c>
      <c r="AP760" s="6">
        <f>IF(TRIM(H760)="",100,J760)</f>
        <v>100</v>
      </c>
      <c r="AQ760" s="4"/>
      <c r="AR760" s="6" t="b">
        <f>NOT(TRIM(W760)&lt;&gt;"F")</f>
        <v>1</v>
      </c>
      <c r="AS760" s="6" t="str">
        <f>$B760&amp;" | "&amp;$AO760&amp;" | "&amp;IF(TRIM(H760)="","uniq"&amp;ROW(),TRIM(H760))</f>
        <v>461E | 90MB1BJ0-C1BAY0 | 59MB1BJB-MB0A02S |  |  |  |  |  |  | O4</v>
      </c>
      <c r="AT760" s="63">
        <f>IF(NOT(AR760),IF(TRIM($H760)="","Assembly","Phantom Alt"),VLOOKUP(F760,ZPCS04!B:G,6,0))</f>
        <v>999</v>
      </c>
      <c r="AU760" s="7"/>
      <c r="AV760" s="38">
        <f ca="1">IF(TRIM($W760)="F",OFFSET($A$5,MATCH($AS760,$AS$5:$AS760,0)-1,0),$A760)</f>
        <v>762</v>
      </c>
      <c r="AW760" s="38">
        <f ca="1">IFERROR(OFFSET(ZPCS04!$A$1,MATCH(F760,ZPCS04!B:B,0)-1,0),100)</f>
        <v>2</v>
      </c>
      <c r="AX760" s="7"/>
      <c r="AY760" s="6" t="b">
        <f>SUMIF(AS:AS,AS760,AP:AP)=100</f>
        <v>1</v>
      </c>
      <c r="AZ760" s="6" t="b">
        <f>SUMIF(AS:AS,AS760,AE:AE)/COUNTIF(AS:AS,AS760)=AE760</f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>C760&amp;" | "&amp;F760</f>
        <v>90MB1BJ0-C1BAY0 | 11G233156214070</v>
      </c>
      <c r="BE760" s="55" t="str">
        <f ca="1">C760&amp;" | "&amp;OFFSET($AF760,0,8-COUNTBLANK($AG760:$AN760))</f>
        <v>90MB1BJ0-C1BAY0 | 59MB1BJB-MB0A02S</v>
      </c>
      <c r="BF760" s="57">
        <f ca="1">IFERROR(VLOOKUP($BE760,$BD$5:$BF759,3,0)*$AE760,VLOOKUP($C760,Demanda!$A:$B,2,0)*$AE760)*IF(AT760="Phantom Alt",$BC760,TRUE)</f>
        <v>1000</v>
      </c>
      <c r="BG760" s="57">
        <f ca="1">BF760*(AP760/100)</f>
        <v>1000</v>
      </c>
      <c r="BH760" s="57">
        <f>SUMIF(Invoice!A:A,F760,Invoice!B:B)</f>
        <v>0</v>
      </c>
      <c r="BI760" s="57">
        <f ca="1">SUMIF(AS:AS,AS760,BG:BG)</f>
        <v>1000</v>
      </c>
      <c r="BJ760" s="57">
        <f ca="1">MIN((BI760-SUMIF($AS$5:AS759,AS760,$BJ$5:BJ759)),MAX(0,BH760-SUMIF($F$5:F759,F760,$BJ$5:BJ759)))</f>
        <v>0</v>
      </c>
      <c r="BK760" s="57">
        <f ca="1">(-SUMIF(AS:AS,AS760,BG:BG)+SUMIF(AS:AS,AS760,BJ:BJ))*(AP760=100)*AR760</f>
        <v>0</v>
      </c>
      <c r="BL760" s="57">
        <f ca="1">MAX(0,SUMIF(Invoice!A:A,F760,Invoice!B:B)-SUMIF(F:F,F760,BJ:BJ))*(COUNTIF(F:F,F760)=COUNTIF($F$5:F760,F760))</f>
        <v>0</v>
      </c>
    </row>
    <row r="761" spans="1:64" hidden="1">
      <c r="A761" s="43">
        <v>760</v>
      </c>
      <c r="B761" s="13" t="s">
        <v>147</v>
      </c>
      <c r="C761" s="13" t="s">
        <v>146</v>
      </c>
      <c r="D761" s="13">
        <v>2</v>
      </c>
      <c r="E761" s="13">
        <v>2440</v>
      </c>
      <c r="F761" s="71" t="s">
        <v>1760</v>
      </c>
      <c r="G761" s="71" t="s">
        <v>1761</v>
      </c>
      <c r="H761" s="13" t="s">
        <v>1759</v>
      </c>
      <c r="I761" s="13" t="s">
        <v>55</v>
      </c>
      <c r="J761" s="28">
        <v>0</v>
      </c>
      <c r="K761" s="13" t="s">
        <v>150</v>
      </c>
      <c r="L761" s="13" t="s">
        <v>53</v>
      </c>
      <c r="M761" s="13">
        <v>1</v>
      </c>
      <c r="O761" s="13">
        <v>1</v>
      </c>
      <c r="P761" s="13">
        <v>2</v>
      </c>
      <c r="Q761" s="13">
        <v>3</v>
      </c>
      <c r="R761" s="13" t="s">
        <v>73</v>
      </c>
      <c r="S761" s="13" t="s">
        <v>73</v>
      </c>
      <c r="T761" s="13">
        <v>44901</v>
      </c>
      <c r="U761" s="13">
        <v>2958465</v>
      </c>
      <c r="V761" s="13" t="s">
        <v>282</v>
      </c>
      <c r="W761" s="13" t="s">
        <v>145</v>
      </c>
      <c r="Y761" s="13" t="s">
        <v>143</v>
      </c>
      <c r="Z761" s="13">
        <v>7589154</v>
      </c>
      <c r="AA761" s="13">
        <v>1410</v>
      </c>
      <c r="AB761" s="13">
        <v>705</v>
      </c>
      <c r="AE761" s="51">
        <f>M761/O761</f>
        <v>1</v>
      </c>
      <c r="AG761" s="6" t="str">
        <f>C761</f>
        <v>90MB1BJ0-C1BAY0</v>
      </c>
      <c r="AH761" s="6" t="str">
        <f>IF($D761&lt;=AH$4,"",IF(AND($D760=AH$4,$D761&gt;AH$4),$F760,AH760))</f>
        <v>59MB1BJB-MB0A02S</v>
      </c>
      <c r="AI761" s="6" t="str">
        <f>IF($D761&lt;=AI$4,"",IF(AND($D760=AI$4,$D761&gt;AI$4),$F760,AI760))</f>
        <v/>
      </c>
      <c r="AJ761" s="6" t="str">
        <f>IF($D761&lt;=AJ$4,"",IF(AND($D760=AJ$4,$D761&gt;AJ$4),$F760,AJ760))</f>
        <v/>
      </c>
      <c r="AK761" s="6" t="str">
        <f>IF($D761&lt;=AK$4,"",IF(AND($D760=AK$4,$D761&gt;AK$4),$F760,AK760))</f>
        <v/>
      </c>
      <c r="AL761" s="6" t="str">
        <f>IF($D761&lt;=AL$4,"",IF(AND($D760=AL$4,$D761&gt;AL$4),$F760,AL760))</f>
        <v/>
      </c>
      <c r="AM761" s="6" t="str">
        <f>IF($D761&lt;=AM$4,"",IF(AND($D760=AM$4,$D761&gt;AM$4),$F760,AM760))</f>
        <v/>
      </c>
      <c r="AN761" s="6" t="str">
        <f>IF($D761&lt;=AN$4,"",IF(AND($D760=AN$4,$D761&gt;AN$4),$F760,AN760))</f>
        <v/>
      </c>
      <c r="AO761" s="6" t="str">
        <f>CONCATENATE(AG761," | ",AH761," | ",AI761," | ",AJ761," | ",AK761," | ",AL761," | ",AM761," | ",AN761)</f>
        <v xml:space="preserve">90MB1BJ0-C1BAY0 | 59MB1BJB-MB0A02S |  |  |  |  |  | </v>
      </c>
      <c r="AP761" s="6">
        <f>IF(TRIM(H761)="",100,J761)</f>
        <v>0</v>
      </c>
      <c r="AQ761" s="4"/>
      <c r="AR761" s="6" t="b">
        <f>NOT(TRIM(W761)&lt;&gt;"F")</f>
        <v>1</v>
      </c>
      <c r="AS761" s="6" t="str">
        <f>$B761&amp;" | "&amp;$AO761&amp;" | "&amp;IF(TRIM(H761)="","uniq"&amp;ROW(),TRIM(H761))</f>
        <v>461E | 90MB1BJ0-C1BAY0 | 59MB1BJB-MB0A02S |  |  |  |  |  |  | O4</v>
      </c>
      <c r="AT761" s="63">
        <f>IF(NOT(AR761),IF(TRIM($H761)="","Assembly","Phantom Alt"),VLOOKUP(F761,ZPCS04!B:G,6,0))</f>
        <v>999</v>
      </c>
      <c r="AU761" s="7"/>
      <c r="AV761" s="38">
        <f ca="1">IF(TRIM($W761)="F",OFFSET($A$5,MATCH($AS761,$AS$5:$AS761,0)-1,0),$A761)</f>
        <v>762</v>
      </c>
      <c r="AW761" s="38">
        <f ca="1">IFERROR(OFFSET(ZPCS04!$A$1,MATCH(F761,ZPCS04!B:B,0)-1,0),100)</f>
        <v>2</v>
      </c>
      <c r="AX761" s="7"/>
      <c r="AY761" s="6" t="b">
        <f>SUMIF(AS:AS,AS761,AP:AP)=100</f>
        <v>1</v>
      </c>
      <c r="AZ761" s="6" t="b">
        <f>SUMIF(AS:AS,AS761,AE:AE)/COUNTIF(AS:AS,AS761)=AE761</f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>C761&amp;" | "&amp;F761</f>
        <v>90MB1BJ0-C1BAY0 | 11G233156214150</v>
      </c>
      <c r="BE761" s="55" t="str">
        <f ca="1">C761&amp;" | "&amp;OFFSET($AF761,0,8-COUNTBLANK($AG761:$AN761))</f>
        <v>90MB1BJ0-C1BAY0 | 59MB1BJB-MB0A02S</v>
      </c>
      <c r="BF761" s="57">
        <f ca="1">IFERROR(VLOOKUP($BE761,$BD$5:$BF760,3,0)*$AE761,VLOOKUP($C761,Demanda!$A:$B,2,0)*$AE761)*IF(AT761="Phantom Alt",$BC761,TRUE)</f>
        <v>1000</v>
      </c>
      <c r="BG761" s="57">
        <f ca="1">BF761*(AP761/100)</f>
        <v>0</v>
      </c>
      <c r="BH761" s="57">
        <f>SUMIF(Invoice!A:A,F761,Invoice!B:B)</f>
        <v>0</v>
      </c>
      <c r="BI761" s="57">
        <f ca="1">SUMIF(AS:AS,AS761,BG:BG)</f>
        <v>1000</v>
      </c>
      <c r="BJ761" s="57">
        <f ca="1">MIN((BI761-SUMIF($AS$5:AS760,AS761,$BJ$5:BJ760)),MAX(0,BH761-SUMIF($F$5:F760,F761,$BJ$5:BJ760)))</f>
        <v>0</v>
      </c>
      <c r="BK761" s="57">
        <f ca="1">(-SUMIF(AS:AS,AS761,BG:BG)+SUMIF(AS:AS,AS761,BJ:BJ))*(AP761=100)*AR761</f>
        <v>0</v>
      </c>
      <c r="BL761" s="57">
        <f ca="1">MAX(0,SUMIF(Invoice!A:A,F761,Invoice!B:B)-SUMIF(F:F,F761,BJ:BJ))*(COUNTIF(F:F,F761)=COUNTIF($F$5:F761,F761))</f>
        <v>0</v>
      </c>
    </row>
    <row r="762" spans="1:64" hidden="1">
      <c r="A762" s="43">
        <v>761</v>
      </c>
      <c r="B762" s="13" t="s">
        <v>147</v>
      </c>
      <c r="C762" s="13" t="s">
        <v>146</v>
      </c>
      <c r="D762" s="13">
        <v>2</v>
      </c>
      <c r="E762" s="13">
        <v>2440</v>
      </c>
      <c r="F762" s="71" t="s">
        <v>1762</v>
      </c>
      <c r="G762" s="71" t="s">
        <v>1763</v>
      </c>
      <c r="H762" s="13" t="s">
        <v>1759</v>
      </c>
      <c r="I762" s="13" t="s">
        <v>55</v>
      </c>
      <c r="J762" s="28">
        <v>0</v>
      </c>
      <c r="K762" s="13" t="s">
        <v>150</v>
      </c>
      <c r="L762" s="13" t="s">
        <v>53</v>
      </c>
      <c r="M762" s="13">
        <v>1</v>
      </c>
      <c r="O762" s="13">
        <v>1</v>
      </c>
      <c r="P762" s="13">
        <v>2</v>
      </c>
      <c r="Q762" s="13">
        <v>4</v>
      </c>
      <c r="R762" s="13" t="s">
        <v>73</v>
      </c>
      <c r="S762" s="13" t="s">
        <v>73</v>
      </c>
      <c r="T762" s="13">
        <v>44901</v>
      </c>
      <c r="U762" s="13">
        <v>2958465</v>
      </c>
      <c r="V762" s="13" t="s">
        <v>282</v>
      </c>
      <c r="W762" s="13" t="s">
        <v>145</v>
      </c>
      <c r="Y762" s="13" t="s">
        <v>143</v>
      </c>
      <c r="Z762" s="13">
        <v>7589154</v>
      </c>
      <c r="AA762" s="13">
        <v>1412</v>
      </c>
      <c r="AB762" s="13">
        <v>706</v>
      </c>
      <c r="AE762" s="51">
        <f>M762/O762</f>
        <v>1</v>
      </c>
      <c r="AG762" s="6" t="str">
        <f>C762</f>
        <v>90MB1BJ0-C1BAY0</v>
      </c>
      <c r="AH762" s="6" t="str">
        <f>IF($D762&lt;=AH$4,"",IF(AND($D761=AH$4,$D762&gt;AH$4),$F761,AH761))</f>
        <v>59MB1BJB-MB0A02S</v>
      </c>
      <c r="AI762" s="6" t="str">
        <f>IF($D762&lt;=AI$4,"",IF(AND($D761=AI$4,$D762&gt;AI$4),$F761,AI761))</f>
        <v/>
      </c>
      <c r="AJ762" s="6" t="str">
        <f>IF($D762&lt;=AJ$4,"",IF(AND($D761=AJ$4,$D762&gt;AJ$4),$F761,AJ761))</f>
        <v/>
      </c>
      <c r="AK762" s="6" t="str">
        <f>IF($D762&lt;=AK$4,"",IF(AND($D761=AK$4,$D762&gt;AK$4),$F761,AK761))</f>
        <v/>
      </c>
      <c r="AL762" s="6" t="str">
        <f>IF($D762&lt;=AL$4,"",IF(AND($D761=AL$4,$D762&gt;AL$4),$F761,AL761))</f>
        <v/>
      </c>
      <c r="AM762" s="6" t="str">
        <f>IF($D762&lt;=AM$4,"",IF(AND($D761=AM$4,$D762&gt;AM$4),$F761,AM761))</f>
        <v/>
      </c>
      <c r="AN762" s="6" t="str">
        <f>IF($D762&lt;=AN$4,"",IF(AND($D761=AN$4,$D762&gt;AN$4),$F761,AN761))</f>
        <v/>
      </c>
      <c r="AO762" s="6" t="str">
        <f>CONCATENATE(AG762," | ",AH762," | ",AI762," | ",AJ762," | ",AK762," | ",AL762," | ",AM762," | ",AN762)</f>
        <v xml:space="preserve">90MB1BJ0-C1BAY0 | 59MB1BJB-MB0A02S |  |  |  |  |  | </v>
      </c>
      <c r="AP762" s="6">
        <f>IF(TRIM(H762)="",100,J762)</f>
        <v>0</v>
      </c>
      <c r="AQ762" s="4"/>
      <c r="AR762" s="6" t="b">
        <f>NOT(TRIM(W762)&lt;&gt;"F")</f>
        <v>1</v>
      </c>
      <c r="AS762" s="6" t="str">
        <f>$B762&amp;" | "&amp;$AO762&amp;" | "&amp;IF(TRIM(H762)="","uniq"&amp;ROW(),TRIM(H762))</f>
        <v>461E | 90MB1BJ0-C1BAY0 | 59MB1BJB-MB0A02S |  |  |  |  |  |  | O4</v>
      </c>
      <c r="AT762" s="63">
        <f>IF(NOT(AR762),IF(TRIM($H762)="","Assembly","Phantom Alt"),VLOOKUP(F762,ZPCS04!B:G,6,0))</f>
        <v>999</v>
      </c>
      <c r="AU762" s="7"/>
      <c r="AV762" s="38">
        <f ca="1">IF(TRIM($W762)="F",OFFSET($A$5,MATCH($AS762,$AS$5:$AS762,0)-1,0),$A762)</f>
        <v>762</v>
      </c>
      <c r="AW762" s="38">
        <f ca="1">IFERROR(OFFSET(ZPCS04!$A$1,MATCH(F762,ZPCS04!B:B,0)-1,0),100)</f>
        <v>2</v>
      </c>
      <c r="AX762" s="7"/>
      <c r="AY762" s="6" t="b">
        <f>SUMIF(AS:AS,AS762,AP:AP)=100</f>
        <v>1</v>
      </c>
      <c r="AZ762" s="6" t="b">
        <f>SUMIF(AS:AS,AS762,AE:AE)/COUNTIF(AS:AS,AS762)=AE762</f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>C762&amp;" | "&amp;F762</f>
        <v>90MB1BJ0-C1BAY0 | 11G233156214320</v>
      </c>
      <c r="BE762" s="55" t="str">
        <f ca="1">C762&amp;" | "&amp;OFFSET($AF762,0,8-COUNTBLANK($AG762:$AN762))</f>
        <v>90MB1BJ0-C1BAY0 | 59MB1BJB-MB0A02S</v>
      </c>
      <c r="BF762" s="57">
        <f ca="1">IFERROR(VLOOKUP($BE762,$BD$5:$BF761,3,0)*$AE762,VLOOKUP($C762,Demanda!$A:$B,2,0)*$AE762)*IF(AT762="Phantom Alt",$BC762,TRUE)</f>
        <v>1000</v>
      </c>
      <c r="BG762" s="57">
        <f ca="1">BF762*(AP762/100)</f>
        <v>0</v>
      </c>
      <c r="BH762" s="57">
        <f>SUMIF(Invoice!A:A,F762,Invoice!B:B)</f>
        <v>0</v>
      </c>
      <c r="BI762" s="57">
        <f ca="1">SUMIF(AS:AS,AS762,BG:BG)</f>
        <v>1000</v>
      </c>
      <c r="BJ762" s="57">
        <f ca="1">MIN((BI762-SUMIF($AS$5:AS761,AS762,$BJ$5:BJ761)),MAX(0,BH762-SUMIF($F$5:F761,F762,$BJ$5:BJ761)))</f>
        <v>0</v>
      </c>
      <c r="BK762" s="57">
        <f ca="1">(-SUMIF(AS:AS,AS762,BG:BG)+SUMIF(AS:AS,AS762,BJ:BJ))*(AP762=100)*AR762</f>
        <v>0</v>
      </c>
      <c r="BL762" s="57">
        <f ca="1">MAX(0,SUMIF(Invoice!A:A,F762,Invoice!B:B)-SUMIF(F:F,F762,BJ:BJ))*(COUNTIF(F:F,F762)=COUNTIF($F$5:F762,F762))</f>
        <v>0</v>
      </c>
    </row>
    <row r="763" spans="1:64" hidden="1">
      <c r="A763" s="43">
        <v>763</v>
      </c>
      <c r="B763" s="13" t="s">
        <v>147</v>
      </c>
      <c r="C763" s="13" t="s">
        <v>146</v>
      </c>
      <c r="D763" s="13">
        <v>2</v>
      </c>
      <c r="E763" s="13">
        <v>2450</v>
      </c>
      <c r="F763" s="71" t="s">
        <v>1766</v>
      </c>
      <c r="G763" s="71" t="s">
        <v>1767</v>
      </c>
      <c r="H763" s="13" t="s">
        <v>1768</v>
      </c>
      <c r="I763" s="13" t="s">
        <v>55</v>
      </c>
      <c r="J763" s="28">
        <v>0</v>
      </c>
      <c r="K763" s="13" t="s">
        <v>1428</v>
      </c>
      <c r="L763" s="13" t="s">
        <v>53</v>
      </c>
      <c r="M763" s="13">
        <v>93</v>
      </c>
      <c r="O763" s="13">
        <v>1</v>
      </c>
      <c r="P763" s="13">
        <v>2</v>
      </c>
      <c r="Q763" s="13">
        <v>2</v>
      </c>
      <c r="R763" s="13" t="s">
        <v>122</v>
      </c>
      <c r="S763" s="13" t="s">
        <v>122</v>
      </c>
      <c r="T763" s="13">
        <v>44901</v>
      </c>
      <c r="U763" s="13">
        <v>2958465</v>
      </c>
      <c r="V763" s="13" t="s">
        <v>282</v>
      </c>
      <c r="W763" s="13" t="s">
        <v>145</v>
      </c>
      <c r="Y763" s="13" t="s">
        <v>143</v>
      </c>
      <c r="Z763" s="13">
        <v>7589154</v>
      </c>
      <c r="AA763" s="13">
        <v>1416</v>
      </c>
      <c r="AB763" s="13">
        <v>708</v>
      </c>
      <c r="AE763" s="51">
        <f>M763/O763</f>
        <v>93</v>
      </c>
      <c r="AG763" s="6" t="str">
        <f>C763</f>
        <v>90MB1BJ0-C1BAY0</v>
      </c>
      <c r="AH763" s="6" t="str">
        <f>IF($D763&lt;=AH$4,"",IF(AND($D762=AH$4,$D763&gt;AH$4),$F762,AH762))</f>
        <v>59MB1BJB-MB0A02S</v>
      </c>
      <c r="AI763" s="6" t="str">
        <f>IF($D763&lt;=AI$4,"",IF(AND($D762=AI$4,$D763&gt;AI$4),$F762,AI762))</f>
        <v/>
      </c>
      <c r="AJ763" s="6" t="str">
        <f>IF($D763&lt;=AJ$4,"",IF(AND($D762=AJ$4,$D763&gt;AJ$4),$F762,AJ762))</f>
        <v/>
      </c>
      <c r="AK763" s="6" t="str">
        <f>IF($D763&lt;=AK$4,"",IF(AND($D762=AK$4,$D763&gt;AK$4),$F762,AK762))</f>
        <v/>
      </c>
      <c r="AL763" s="6" t="str">
        <f>IF($D763&lt;=AL$4,"",IF(AND($D762=AL$4,$D763&gt;AL$4),$F762,AL762))</f>
        <v/>
      </c>
      <c r="AM763" s="6" t="str">
        <f>IF($D763&lt;=AM$4,"",IF(AND($D762=AM$4,$D763&gt;AM$4),$F762,AM762))</f>
        <v/>
      </c>
      <c r="AN763" s="6" t="str">
        <f>IF($D763&lt;=AN$4,"",IF(AND($D762=AN$4,$D763&gt;AN$4),$F762,AN762))</f>
        <v/>
      </c>
      <c r="AO763" s="6" t="str">
        <f>CONCATENATE(AG763," | ",AH763," | ",AI763," | ",AJ763," | ",AK763," | ",AL763," | ",AM763," | ",AN763)</f>
        <v xml:space="preserve">90MB1BJ0-C1BAY0 | 59MB1BJB-MB0A02S |  |  |  |  |  | </v>
      </c>
      <c r="AP763" s="6">
        <f>IF(TRIM(H763)="",100,J763)</f>
        <v>0</v>
      </c>
      <c r="AQ763" s="4"/>
      <c r="AR763" s="6" t="b">
        <f>NOT(TRIM(W763)&lt;&gt;"F")</f>
        <v>1</v>
      </c>
      <c r="AS763" s="6" t="str">
        <f>$B763&amp;" | "&amp;$AO763&amp;" | "&amp;IF(TRIM(H763)="","uniq"&amp;ROW(),TRIM(H763))</f>
        <v>461E | 90MB1BJ0-C1BAY0 | 59MB1BJB-MB0A02S |  |  |  |  |  |  | O5</v>
      </c>
      <c r="AT763" s="63">
        <f>IF(NOT(AR763),IF(TRIM($H763)="","Assembly","Phantom Alt"),VLOOKUP(F763,ZPCS04!B:G,6,0))</f>
        <v>765</v>
      </c>
      <c r="AU763" s="7"/>
      <c r="AV763" s="38">
        <f ca="1">IF(TRIM($W763)="F",OFFSET($A$5,MATCH($AS763,$AS$5:$AS763,0)-1,0),$A763)</f>
        <v>763</v>
      </c>
      <c r="AW763" s="38">
        <f ca="1">IFERROR(OFFSET(ZPCS04!$A$1,MATCH(F763,ZPCS04!B:B,0)-1,0),100)</f>
        <v>1.9999990400000001</v>
      </c>
      <c r="AX763" s="7"/>
      <c r="AY763" s="6" t="b">
        <f>SUMIF(AS:AS,AS763,AP:AP)=100</f>
        <v>1</v>
      </c>
      <c r="AZ763" s="6" t="b">
        <f>SUMIF(AS:AS,AS763,AE:AE)/COUNTIF(AS:AS,AS763)=AE763</f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>C763&amp;" | "&amp;F763</f>
        <v>90MB1BJ0-C1BAY0 | 11G233210625150</v>
      </c>
      <c r="BE763" s="55" t="str">
        <f ca="1">C763&amp;" | "&amp;OFFSET($AF763,0,8-COUNTBLANK($AG763:$AN763))</f>
        <v>90MB1BJ0-C1BAY0 | 59MB1BJB-MB0A02S</v>
      </c>
      <c r="BF763" s="57">
        <f ca="1">IFERROR(VLOOKUP($BE763,$BD$5:$BF762,3,0)*$AE763,VLOOKUP($C763,Demanda!$A:$B,2,0)*$AE763)*IF(AT763="Phantom Alt",$BC763,TRUE)</f>
        <v>93000</v>
      </c>
      <c r="BG763" s="57">
        <f ca="1">BF763*(AP763/100)</f>
        <v>0</v>
      </c>
      <c r="BH763" s="57">
        <f>SUMIF(Invoice!A:A,F763,Invoice!B:B)</f>
        <v>96000</v>
      </c>
      <c r="BI763" s="57">
        <f ca="1">SUMIF(AS:AS,AS763,BG:BG)</f>
        <v>93000</v>
      </c>
      <c r="BJ763" s="57">
        <f ca="1">MIN((BI763-SUMIF($AS$5:AS762,AS763,$BJ$5:BJ762)),MAX(0,BH763-SUMIF($F$5:F762,F763,$BJ$5:BJ762)))</f>
        <v>93000</v>
      </c>
      <c r="BK763" s="57">
        <f ca="1">(-SUMIF(AS:AS,AS763,BG:BG)+SUMIF(AS:AS,AS763,BJ:BJ))*(AP763=100)*AR763</f>
        <v>0</v>
      </c>
      <c r="BL763" s="57">
        <f ca="1">MAX(0,SUMIF(Invoice!A:A,F763,Invoice!B:B)-SUMIF(F:F,F763,BJ:BJ))*(COUNTIF(F:F,F763)=COUNTIF($F$5:F763,F763))</f>
        <v>3000</v>
      </c>
    </row>
    <row r="764" spans="1:64" hidden="1">
      <c r="A764" s="43">
        <v>764</v>
      </c>
      <c r="B764" s="13" t="s">
        <v>147</v>
      </c>
      <c r="C764" s="13" t="s">
        <v>146</v>
      </c>
      <c r="D764" s="13">
        <v>2</v>
      </c>
      <c r="E764" s="13">
        <v>2450</v>
      </c>
      <c r="F764" s="71" t="s">
        <v>1769</v>
      </c>
      <c r="G764" s="71" t="s">
        <v>1770</v>
      </c>
      <c r="H764" s="13" t="s">
        <v>1768</v>
      </c>
      <c r="I764" s="13" t="s">
        <v>55</v>
      </c>
      <c r="J764" s="28">
        <v>0</v>
      </c>
      <c r="K764" s="13" t="s">
        <v>1428</v>
      </c>
      <c r="L764" s="13" t="s">
        <v>53</v>
      </c>
      <c r="M764" s="13">
        <v>93</v>
      </c>
      <c r="O764" s="13">
        <v>1</v>
      </c>
      <c r="P764" s="13">
        <v>2</v>
      </c>
      <c r="Q764" s="13">
        <v>3</v>
      </c>
      <c r="R764" s="13" t="s">
        <v>122</v>
      </c>
      <c r="S764" s="13" t="s">
        <v>122</v>
      </c>
      <c r="T764" s="13">
        <v>44901</v>
      </c>
      <c r="U764" s="13">
        <v>2958465</v>
      </c>
      <c r="V764" s="13" t="s">
        <v>282</v>
      </c>
      <c r="W764" s="13" t="s">
        <v>145</v>
      </c>
      <c r="Y764" s="13" t="s">
        <v>143</v>
      </c>
      <c r="Z764" s="13">
        <v>7589154</v>
      </c>
      <c r="AA764" s="13">
        <v>1418</v>
      </c>
      <c r="AB764" s="13">
        <v>709</v>
      </c>
      <c r="AE764" s="51">
        <f>M764/O764</f>
        <v>93</v>
      </c>
      <c r="AG764" s="6" t="str">
        <f>C764</f>
        <v>90MB1BJ0-C1BAY0</v>
      </c>
      <c r="AH764" s="6" t="str">
        <f>IF($D764&lt;=AH$4,"",IF(AND($D763=AH$4,$D764&gt;AH$4),$F763,AH763))</f>
        <v>59MB1BJB-MB0A02S</v>
      </c>
      <c r="AI764" s="6" t="str">
        <f>IF($D764&lt;=AI$4,"",IF(AND($D763=AI$4,$D764&gt;AI$4),$F763,AI763))</f>
        <v/>
      </c>
      <c r="AJ764" s="6" t="str">
        <f>IF($D764&lt;=AJ$4,"",IF(AND($D763=AJ$4,$D764&gt;AJ$4),$F763,AJ763))</f>
        <v/>
      </c>
      <c r="AK764" s="6" t="str">
        <f>IF($D764&lt;=AK$4,"",IF(AND($D763=AK$4,$D764&gt;AK$4),$F763,AK763))</f>
        <v/>
      </c>
      <c r="AL764" s="6" t="str">
        <f>IF($D764&lt;=AL$4,"",IF(AND($D763=AL$4,$D764&gt;AL$4),$F763,AL763))</f>
        <v/>
      </c>
      <c r="AM764" s="6" t="str">
        <f>IF($D764&lt;=AM$4,"",IF(AND($D763=AM$4,$D764&gt;AM$4),$F763,AM763))</f>
        <v/>
      </c>
      <c r="AN764" s="6" t="str">
        <f>IF($D764&lt;=AN$4,"",IF(AND($D763=AN$4,$D764&gt;AN$4),$F763,AN763))</f>
        <v/>
      </c>
      <c r="AO764" s="6" t="str">
        <f>CONCATENATE(AG764," | ",AH764," | ",AI764," | ",AJ764," | ",AK764," | ",AL764," | ",AM764," | ",AN764)</f>
        <v xml:space="preserve">90MB1BJ0-C1BAY0 | 59MB1BJB-MB0A02S |  |  |  |  |  | </v>
      </c>
      <c r="AP764" s="6">
        <f>IF(TRIM(H764)="",100,J764)</f>
        <v>0</v>
      </c>
      <c r="AQ764" s="4"/>
      <c r="AR764" s="6" t="b">
        <f>NOT(TRIM(W764)&lt;&gt;"F")</f>
        <v>1</v>
      </c>
      <c r="AS764" s="6" t="str">
        <f>$B764&amp;" | "&amp;$AO764&amp;" | "&amp;IF(TRIM(H764)="","uniq"&amp;ROW(),TRIM(H764))</f>
        <v>461E | 90MB1BJ0-C1BAY0 | 59MB1BJB-MB0A02S |  |  |  |  |  |  | O5</v>
      </c>
      <c r="AT764" s="63">
        <f>IF(NOT(AR764),IF(TRIM($H764)="","Assembly","Phantom Alt"),VLOOKUP(F764,ZPCS04!B:G,6,0))</f>
        <v>765</v>
      </c>
      <c r="AU764" s="7"/>
      <c r="AV764" s="38">
        <f ca="1">IF(TRIM($W764)="F",OFFSET($A$5,MATCH($AS764,$AS$5:$AS764,0)-1,0),$A764)</f>
        <v>763</v>
      </c>
      <c r="AW764" s="38">
        <f ca="1">IFERROR(OFFSET(ZPCS04!$A$1,MATCH(F764,ZPCS04!B:B,0)-1,0),100)</f>
        <v>2</v>
      </c>
      <c r="AX764" s="7"/>
      <c r="AY764" s="6" t="b">
        <f>SUMIF(AS:AS,AS764,AP:AP)=100</f>
        <v>1</v>
      </c>
      <c r="AZ764" s="6" t="b">
        <f>SUMIF(AS:AS,AS764,AE:AE)/COUNTIF(AS:AS,AS764)=AE764</f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>C764&amp;" | "&amp;F764</f>
        <v>90MB1BJ0-C1BAY0 | 11G233210625320</v>
      </c>
      <c r="BE764" s="55" t="str">
        <f ca="1">C764&amp;" | "&amp;OFFSET($AF764,0,8-COUNTBLANK($AG764:$AN764))</f>
        <v>90MB1BJ0-C1BAY0 | 59MB1BJB-MB0A02S</v>
      </c>
      <c r="BF764" s="57">
        <f ca="1">IFERROR(VLOOKUP($BE764,$BD$5:$BF763,3,0)*$AE764,VLOOKUP($C764,Demanda!$A:$B,2,0)*$AE764)*IF(AT764="Phantom Alt",$BC764,TRUE)</f>
        <v>93000</v>
      </c>
      <c r="BG764" s="57">
        <f ca="1">BF764*(AP764/100)</f>
        <v>0</v>
      </c>
      <c r="BH764" s="57">
        <f>SUMIF(Invoice!A:A,F764,Invoice!B:B)</f>
        <v>0</v>
      </c>
      <c r="BI764" s="57">
        <f ca="1">SUMIF(AS:AS,AS764,BG:BG)</f>
        <v>93000</v>
      </c>
      <c r="BJ764" s="57">
        <f ca="1">MIN((BI764-SUMIF($AS$5:AS763,AS764,$BJ$5:BJ763)),MAX(0,BH764-SUMIF($F$5:F763,F764,$BJ$5:BJ763)))</f>
        <v>0</v>
      </c>
      <c r="BK764" s="57">
        <f ca="1">(-SUMIF(AS:AS,AS764,BG:BG)+SUMIF(AS:AS,AS764,BJ:BJ))*(AP764=100)*AR764</f>
        <v>0</v>
      </c>
      <c r="BL764" s="57">
        <f ca="1">MAX(0,SUMIF(Invoice!A:A,F764,Invoice!B:B)-SUMIF(F:F,F764,BJ:BJ))*(COUNTIF(F:F,F764)=COUNTIF($F$5:F764,F764))</f>
        <v>0</v>
      </c>
    </row>
    <row r="765" spans="1:64" hidden="1">
      <c r="A765" s="43">
        <v>765</v>
      </c>
      <c r="B765" s="13" t="s">
        <v>147</v>
      </c>
      <c r="C765" s="13" t="s">
        <v>146</v>
      </c>
      <c r="D765" s="13">
        <v>2</v>
      </c>
      <c r="E765" s="13">
        <v>2450</v>
      </c>
      <c r="F765" s="71" t="s">
        <v>1771</v>
      </c>
      <c r="G765" s="71" t="s">
        <v>1772</v>
      </c>
      <c r="H765" s="13" t="s">
        <v>1768</v>
      </c>
      <c r="I765" s="13" t="s">
        <v>54</v>
      </c>
      <c r="J765" s="28">
        <v>100</v>
      </c>
      <c r="K765" s="13" t="s">
        <v>1428</v>
      </c>
      <c r="L765" s="13" t="s">
        <v>53</v>
      </c>
      <c r="M765" s="13">
        <v>93</v>
      </c>
      <c r="N765" s="13">
        <v>93</v>
      </c>
      <c r="O765" s="13">
        <v>1</v>
      </c>
      <c r="P765" s="13">
        <v>2</v>
      </c>
      <c r="Q765" s="13">
        <v>1</v>
      </c>
      <c r="R765" s="13" t="s">
        <v>122</v>
      </c>
      <c r="S765" s="13" t="s">
        <v>122</v>
      </c>
      <c r="T765" s="13">
        <v>44901</v>
      </c>
      <c r="U765" s="13">
        <v>2958465</v>
      </c>
      <c r="V765" s="13" t="s">
        <v>282</v>
      </c>
      <c r="W765" s="13" t="s">
        <v>145</v>
      </c>
      <c r="Y765" s="13" t="s">
        <v>143</v>
      </c>
      <c r="Z765" s="13">
        <v>7589154</v>
      </c>
      <c r="AA765" s="13">
        <v>1414</v>
      </c>
      <c r="AB765" s="13">
        <v>707</v>
      </c>
      <c r="AE765" s="51">
        <f>M765/O765</f>
        <v>93</v>
      </c>
      <c r="AG765" s="6" t="str">
        <f>C765</f>
        <v>90MB1BJ0-C1BAY0</v>
      </c>
      <c r="AH765" s="6" t="str">
        <f>IF($D765&lt;=AH$4,"",IF(AND($D764=AH$4,$D765&gt;AH$4),$F764,AH764))</f>
        <v>59MB1BJB-MB0A02S</v>
      </c>
      <c r="AI765" s="6" t="str">
        <f>IF($D765&lt;=AI$4,"",IF(AND($D764=AI$4,$D765&gt;AI$4),$F764,AI764))</f>
        <v/>
      </c>
      <c r="AJ765" s="6" t="str">
        <f>IF($D765&lt;=AJ$4,"",IF(AND($D764=AJ$4,$D765&gt;AJ$4),$F764,AJ764))</f>
        <v/>
      </c>
      <c r="AK765" s="6" t="str">
        <f>IF($D765&lt;=AK$4,"",IF(AND($D764=AK$4,$D765&gt;AK$4),$F764,AK764))</f>
        <v/>
      </c>
      <c r="AL765" s="6" t="str">
        <f>IF($D765&lt;=AL$4,"",IF(AND($D764=AL$4,$D765&gt;AL$4),$F764,AL764))</f>
        <v/>
      </c>
      <c r="AM765" s="6" t="str">
        <f>IF($D765&lt;=AM$4,"",IF(AND($D764=AM$4,$D765&gt;AM$4),$F764,AM764))</f>
        <v/>
      </c>
      <c r="AN765" s="6" t="str">
        <f>IF($D765&lt;=AN$4,"",IF(AND($D764=AN$4,$D765&gt;AN$4),$F764,AN764))</f>
        <v/>
      </c>
      <c r="AO765" s="6" t="str">
        <f>CONCATENATE(AG765," | ",AH765," | ",AI765," | ",AJ765," | ",AK765," | ",AL765," | ",AM765," | ",AN765)</f>
        <v xml:space="preserve">90MB1BJ0-C1BAY0 | 59MB1BJB-MB0A02S |  |  |  |  |  | </v>
      </c>
      <c r="AP765" s="6">
        <f>IF(TRIM(H765)="",100,J765)</f>
        <v>100</v>
      </c>
      <c r="AQ765" s="4"/>
      <c r="AR765" s="6" t="b">
        <f>NOT(TRIM(W765)&lt;&gt;"F")</f>
        <v>1</v>
      </c>
      <c r="AS765" s="6" t="str">
        <f>$B765&amp;" | "&amp;$AO765&amp;" | "&amp;IF(TRIM(H765)="","uniq"&amp;ROW(),TRIM(H765))</f>
        <v>461E | 90MB1BJ0-C1BAY0 | 59MB1BJB-MB0A02S |  |  |  |  |  |  | O5</v>
      </c>
      <c r="AT765" s="63">
        <f>IF(NOT(AR765),IF(TRIM($H765)="","Assembly","Phantom Alt"),VLOOKUP(F765,ZPCS04!B:G,6,0))</f>
        <v>765</v>
      </c>
      <c r="AU765" s="7"/>
      <c r="AV765" s="38">
        <f ca="1">IF(TRIM($W765)="F",OFFSET($A$5,MATCH($AS765,$AS$5:$AS765,0)-1,0),$A765)</f>
        <v>763</v>
      </c>
      <c r="AW765" s="38">
        <f ca="1">IFERROR(OFFSET(ZPCS04!$A$1,MATCH(F765,ZPCS04!B:B,0)-1,0),100)</f>
        <v>2</v>
      </c>
      <c r="AX765" s="7"/>
      <c r="AY765" s="6" t="b">
        <f>SUMIF(AS:AS,AS765,AP:AP)=100</f>
        <v>1</v>
      </c>
      <c r="AZ765" s="6" t="b">
        <f>SUMIF(AS:AS,AS765,AE:AE)/COUNTIF(AS:AS,AS765)=AE765</f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>C765&amp;" | "&amp;F765</f>
        <v>90MB1BJ0-C1BAY0 | 11G233210625361</v>
      </c>
      <c r="BE765" s="55" t="str">
        <f ca="1">C765&amp;" | "&amp;OFFSET($AF765,0,8-COUNTBLANK($AG765:$AN765))</f>
        <v>90MB1BJ0-C1BAY0 | 59MB1BJB-MB0A02S</v>
      </c>
      <c r="BF765" s="57">
        <f ca="1">IFERROR(VLOOKUP($BE765,$BD$5:$BF764,3,0)*$AE765,VLOOKUP($C765,Demanda!$A:$B,2,0)*$AE765)*IF(AT765="Phantom Alt",$BC765,TRUE)</f>
        <v>93000</v>
      </c>
      <c r="BG765" s="57">
        <f ca="1">BF765*(AP765/100)</f>
        <v>93000</v>
      </c>
      <c r="BH765" s="57">
        <f>SUMIF(Invoice!A:A,F765,Invoice!B:B)</f>
        <v>0</v>
      </c>
      <c r="BI765" s="57">
        <f ca="1">SUMIF(AS:AS,AS765,BG:BG)</f>
        <v>93000</v>
      </c>
      <c r="BJ765" s="57">
        <f ca="1">MIN((BI765-SUMIF($AS$5:AS764,AS765,$BJ$5:BJ764)),MAX(0,BH765-SUMIF($F$5:F764,F765,$BJ$5:BJ764)))</f>
        <v>0</v>
      </c>
      <c r="BK765" s="57">
        <f ca="1">(-SUMIF(AS:AS,AS765,BG:BG)+SUMIF(AS:AS,AS765,BJ:BJ))*(AP765=100)*AR765</f>
        <v>0</v>
      </c>
      <c r="BL765" s="57">
        <f ca="1">MAX(0,SUMIF(Invoice!A:A,F765,Invoice!B:B)-SUMIF(F:F,F765,BJ:BJ))*(COUNTIF(F:F,F765)=COUNTIF($F$5:F765,F765))</f>
        <v>0</v>
      </c>
    </row>
    <row r="766" spans="1:64" hidden="1">
      <c r="A766" s="43">
        <v>767</v>
      </c>
      <c r="B766" s="13" t="s">
        <v>147</v>
      </c>
      <c r="C766" s="13" t="s">
        <v>146</v>
      </c>
      <c r="D766" s="13">
        <v>2</v>
      </c>
      <c r="E766" s="13">
        <v>2460</v>
      </c>
      <c r="F766" s="71" t="s">
        <v>1776</v>
      </c>
      <c r="G766" s="71" t="s">
        <v>1777</v>
      </c>
      <c r="H766" s="13" t="s">
        <v>1775</v>
      </c>
      <c r="I766" s="13" t="s">
        <v>55</v>
      </c>
      <c r="J766" s="28">
        <v>0</v>
      </c>
      <c r="K766" s="13" t="s">
        <v>1428</v>
      </c>
      <c r="L766" s="13" t="s">
        <v>53</v>
      </c>
      <c r="M766" s="13">
        <v>35</v>
      </c>
      <c r="O766" s="13">
        <v>1</v>
      </c>
      <c r="P766" s="13">
        <v>2</v>
      </c>
      <c r="Q766" s="13">
        <v>3</v>
      </c>
      <c r="R766" s="13" t="s">
        <v>122</v>
      </c>
      <c r="S766" s="13" t="s">
        <v>122</v>
      </c>
      <c r="T766" s="13">
        <v>44901</v>
      </c>
      <c r="U766" s="13">
        <v>2958465</v>
      </c>
      <c r="V766" s="13" t="s">
        <v>282</v>
      </c>
      <c r="W766" s="13" t="s">
        <v>145</v>
      </c>
      <c r="Y766" s="13" t="s">
        <v>143</v>
      </c>
      <c r="Z766" s="13">
        <v>7589154</v>
      </c>
      <c r="AA766" s="13">
        <v>1424</v>
      </c>
      <c r="AB766" s="13">
        <v>712</v>
      </c>
      <c r="AE766" s="51">
        <f>M766/O766</f>
        <v>35</v>
      </c>
      <c r="AG766" s="6" t="str">
        <f>C766</f>
        <v>90MB1BJ0-C1BAY0</v>
      </c>
      <c r="AH766" s="6" t="str">
        <f>IF($D766&lt;=AH$4,"",IF(AND($D765=AH$4,$D766&gt;AH$4),$F765,AH765))</f>
        <v>59MB1BJB-MB0A02S</v>
      </c>
      <c r="AI766" s="6" t="str">
        <f>IF($D766&lt;=AI$4,"",IF(AND($D765=AI$4,$D766&gt;AI$4),$F765,AI765))</f>
        <v/>
      </c>
      <c r="AJ766" s="6" t="str">
        <f>IF($D766&lt;=AJ$4,"",IF(AND($D765=AJ$4,$D766&gt;AJ$4),$F765,AJ765))</f>
        <v/>
      </c>
      <c r="AK766" s="6" t="str">
        <f>IF($D766&lt;=AK$4,"",IF(AND($D765=AK$4,$D766&gt;AK$4),$F765,AK765))</f>
        <v/>
      </c>
      <c r="AL766" s="6" t="str">
        <f>IF($D766&lt;=AL$4,"",IF(AND($D765=AL$4,$D766&gt;AL$4),$F765,AL765))</f>
        <v/>
      </c>
      <c r="AM766" s="6" t="str">
        <f>IF($D766&lt;=AM$4,"",IF(AND($D765=AM$4,$D766&gt;AM$4),$F765,AM765))</f>
        <v/>
      </c>
      <c r="AN766" s="6" t="str">
        <f>IF($D766&lt;=AN$4,"",IF(AND($D765=AN$4,$D766&gt;AN$4),$F765,AN765))</f>
        <v/>
      </c>
      <c r="AO766" s="6" t="str">
        <f>CONCATENATE(AG766," | ",AH766," | ",AI766," | ",AJ766," | ",AK766," | ",AL766," | ",AM766," | ",AN766)</f>
        <v xml:space="preserve">90MB1BJ0-C1BAY0 | 59MB1BJB-MB0A02S |  |  |  |  |  | </v>
      </c>
      <c r="AP766" s="6">
        <f>IF(TRIM(H766)="",100,J766)</f>
        <v>0</v>
      </c>
      <c r="AQ766" s="4"/>
      <c r="AR766" s="6" t="b">
        <f>NOT(TRIM(W766)&lt;&gt;"F")</f>
        <v>1</v>
      </c>
      <c r="AS766" s="6" t="str">
        <f>$B766&amp;" | "&amp;$AO766&amp;" | "&amp;IF(TRIM(H766)="","uniq"&amp;ROW(),TRIM(H766))</f>
        <v>461E | 90MB1BJ0-C1BAY0 | 59MB1BJB-MB0A02S |  |  |  |  |  |  | O6</v>
      </c>
      <c r="AT766" s="63">
        <f>IF(NOT(AR766),IF(TRIM($H766)="","Assembly","Phantom Alt"),VLOOKUP(F766,ZPCS04!B:G,6,0))</f>
        <v>767</v>
      </c>
      <c r="AU766" s="7"/>
      <c r="AV766" s="38">
        <f ca="1">IF(TRIM($W766)="F",OFFSET($A$5,MATCH($AS766,$AS$5:$AS766,0)-1,0),$A766)</f>
        <v>767</v>
      </c>
      <c r="AW766" s="38">
        <f ca="1">IFERROR(OFFSET(ZPCS04!$A$1,MATCH(F766,ZPCS04!B:B,0)-1,0),100)</f>
        <v>1.99999964</v>
      </c>
      <c r="AX766" s="7"/>
      <c r="AY766" s="6" t="b">
        <f>SUMIF(AS:AS,AS766,AP:AP)=100</f>
        <v>1</v>
      </c>
      <c r="AZ766" s="6" t="b">
        <f>SUMIF(AS:AS,AS766,AE:AE)/COUNTIF(AS:AS,AS766)=AE766</f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>C766&amp;" | "&amp;F766</f>
        <v>90MB1BJ0-C1BAY0 | 11G233222625150</v>
      </c>
      <c r="BE766" s="55" t="str">
        <f ca="1">C766&amp;" | "&amp;OFFSET($AF766,0,8-COUNTBLANK($AG766:$AN766))</f>
        <v>90MB1BJ0-C1BAY0 | 59MB1BJB-MB0A02S</v>
      </c>
      <c r="BF766" s="57">
        <f ca="1">IFERROR(VLOOKUP($BE766,$BD$5:$BF765,3,0)*$AE766,VLOOKUP($C766,Demanda!$A:$B,2,0)*$AE766)*IF(AT766="Phantom Alt",$BC766,TRUE)</f>
        <v>35000</v>
      </c>
      <c r="BG766" s="57">
        <f ca="1">BF766*(AP766/100)</f>
        <v>0</v>
      </c>
      <c r="BH766" s="57">
        <f>SUMIF(Invoice!A:A,F766,Invoice!B:B)</f>
        <v>36000</v>
      </c>
      <c r="BI766" s="57">
        <f ca="1">SUMIF(AS:AS,AS766,BG:BG)</f>
        <v>35000</v>
      </c>
      <c r="BJ766" s="57">
        <f ca="1">MIN((BI766-SUMIF($AS$5:AS765,AS766,$BJ$5:BJ765)),MAX(0,BH766-SUMIF($F$5:F765,F766,$BJ$5:BJ765)))</f>
        <v>35000</v>
      </c>
      <c r="BK766" s="57">
        <f ca="1">(-SUMIF(AS:AS,AS766,BG:BG)+SUMIF(AS:AS,AS766,BJ:BJ))*(AP766=100)*AR766</f>
        <v>0</v>
      </c>
      <c r="BL766" s="57">
        <f ca="1">MAX(0,SUMIF(Invoice!A:A,F766,Invoice!B:B)-SUMIF(F:F,F766,BJ:BJ))*(COUNTIF(F:F,F766)=COUNTIF($F$5:F766,F766))</f>
        <v>1000</v>
      </c>
    </row>
    <row r="767" spans="1:64" hidden="1">
      <c r="A767" s="43">
        <v>766</v>
      </c>
      <c r="B767" s="13" t="s">
        <v>147</v>
      </c>
      <c r="C767" s="13" t="s">
        <v>146</v>
      </c>
      <c r="D767" s="13">
        <v>2</v>
      </c>
      <c r="E767" s="13">
        <v>2460</v>
      </c>
      <c r="F767" s="71" t="s">
        <v>1773</v>
      </c>
      <c r="G767" s="71" t="s">
        <v>1774</v>
      </c>
      <c r="H767" s="13" t="s">
        <v>1775</v>
      </c>
      <c r="I767" s="13" t="s">
        <v>55</v>
      </c>
      <c r="J767" s="28">
        <v>0</v>
      </c>
      <c r="K767" s="13" t="s">
        <v>150</v>
      </c>
      <c r="L767" s="13" t="s">
        <v>53</v>
      </c>
      <c r="M767" s="13">
        <v>35</v>
      </c>
      <c r="O767" s="13">
        <v>1</v>
      </c>
      <c r="P767" s="13">
        <v>2</v>
      </c>
      <c r="Q767" s="13">
        <v>2</v>
      </c>
      <c r="R767" s="13" t="s">
        <v>73</v>
      </c>
      <c r="S767" s="13" t="s">
        <v>73</v>
      </c>
      <c r="T767" s="13">
        <v>44901</v>
      </c>
      <c r="U767" s="13">
        <v>2958465</v>
      </c>
      <c r="V767" s="13" t="s">
        <v>282</v>
      </c>
      <c r="W767" s="13" t="s">
        <v>145</v>
      </c>
      <c r="Y767" s="13" t="s">
        <v>143</v>
      </c>
      <c r="Z767" s="13">
        <v>7589154</v>
      </c>
      <c r="AA767" s="13">
        <v>1422</v>
      </c>
      <c r="AB767" s="13">
        <v>711</v>
      </c>
      <c r="AE767" s="51">
        <f>M767/O767</f>
        <v>35</v>
      </c>
      <c r="AG767" s="6" t="str">
        <f>C767</f>
        <v>90MB1BJ0-C1BAY0</v>
      </c>
      <c r="AH767" s="6" t="str">
        <f>IF($D767&lt;=AH$4,"",IF(AND($D766=AH$4,$D767&gt;AH$4),$F766,AH766))</f>
        <v>59MB1BJB-MB0A02S</v>
      </c>
      <c r="AI767" s="6" t="str">
        <f>IF($D767&lt;=AI$4,"",IF(AND($D766=AI$4,$D767&gt;AI$4),$F766,AI766))</f>
        <v/>
      </c>
      <c r="AJ767" s="6" t="str">
        <f>IF($D767&lt;=AJ$4,"",IF(AND($D766=AJ$4,$D767&gt;AJ$4),$F766,AJ766))</f>
        <v/>
      </c>
      <c r="AK767" s="6" t="str">
        <f>IF($D767&lt;=AK$4,"",IF(AND($D766=AK$4,$D767&gt;AK$4),$F766,AK766))</f>
        <v/>
      </c>
      <c r="AL767" s="6" t="str">
        <f>IF($D767&lt;=AL$4,"",IF(AND($D766=AL$4,$D767&gt;AL$4),$F766,AL766))</f>
        <v/>
      </c>
      <c r="AM767" s="6" t="str">
        <f>IF($D767&lt;=AM$4,"",IF(AND($D766=AM$4,$D767&gt;AM$4),$F766,AM766))</f>
        <v/>
      </c>
      <c r="AN767" s="6" t="str">
        <f>IF($D767&lt;=AN$4,"",IF(AND($D766=AN$4,$D767&gt;AN$4),$F766,AN766))</f>
        <v/>
      </c>
      <c r="AO767" s="6" t="str">
        <f>CONCATENATE(AG767," | ",AH767," | ",AI767," | ",AJ767," | ",AK767," | ",AL767," | ",AM767," | ",AN767)</f>
        <v xml:space="preserve">90MB1BJ0-C1BAY0 | 59MB1BJB-MB0A02S |  |  |  |  |  | </v>
      </c>
      <c r="AP767" s="6">
        <f>IF(TRIM(H767)="",100,J767)</f>
        <v>0</v>
      </c>
      <c r="AQ767" s="4"/>
      <c r="AR767" s="6" t="b">
        <f>NOT(TRIM(W767)&lt;&gt;"F")</f>
        <v>1</v>
      </c>
      <c r="AS767" s="6" t="str">
        <f>$B767&amp;" | "&amp;$AO767&amp;" | "&amp;IF(TRIM(H767)="","uniq"&amp;ROW(),TRIM(H767))</f>
        <v>461E | 90MB1BJ0-C1BAY0 | 59MB1BJB-MB0A02S |  |  |  |  |  |  | O6</v>
      </c>
      <c r="AT767" s="63">
        <f>IF(NOT(AR767),IF(TRIM($H767)="","Assembly","Phantom Alt"),VLOOKUP(F767,ZPCS04!B:G,6,0))</f>
        <v>767</v>
      </c>
      <c r="AU767" s="7"/>
      <c r="AV767" s="38">
        <f ca="1">IF(TRIM($W767)="F",OFFSET($A$5,MATCH($AS767,$AS$5:$AS767,0)-1,0),$A767)</f>
        <v>767</v>
      </c>
      <c r="AW767" s="38">
        <f ca="1">IFERROR(OFFSET(ZPCS04!$A$1,MATCH(F767,ZPCS04!B:B,0)-1,0),100)</f>
        <v>2</v>
      </c>
      <c r="AX767" s="7"/>
      <c r="AY767" s="6" t="b">
        <f>SUMIF(AS:AS,AS767,AP:AP)=100</f>
        <v>1</v>
      </c>
      <c r="AZ767" s="6" t="b">
        <f>SUMIF(AS:AS,AS767,AE:AE)/COUNTIF(AS:AS,AS767)=AE767</f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>C767&amp;" | "&amp;F767</f>
        <v>90MB1BJ0-C1BAY0 | 11204-0014F300</v>
      </c>
      <c r="BE767" s="55" t="str">
        <f ca="1">C767&amp;" | "&amp;OFFSET($AF767,0,8-COUNTBLANK($AG767:$AN767))</f>
        <v>90MB1BJ0-C1BAY0 | 59MB1BJB-MB0A02S</v>
      </c>
      <c r="BF767" s="57">
        <f ca="1">IFERROR(VLOOKUP($BE767,$BD$5:$BF766,3,0)*$AE767,VLOOKUP($C767,Demanda!$A:$B,2,0)*$AE767)*IF(AT767="Phantom Alt",$BC767,TRUE)</f>
        <v>35000</v>
      </c>
      <c r="BG767" s="57">
        <f ca="1">BF767*(AP767/100)</f>
        <v>0</v>
      </c>
      <c r="BH767" s="57">
        <f>SUMIF(Invoice!A:A,F767,Invoice!B:B)</f>
        <v>0</v>
      </c>
      <c r="BI767" s="57">
        <f ca="1">SUMIF(AS:AS,AS767,BG:BG)</f>
        <v>35000</v>
      </c>
      <c r="BJ767" s="57">
        <f ca="1">MIN((BI767-SUMIF($AS$5:AS766,AS767,$BJ$5:BJ766)),MAX(0,BH767-SUMIF($F$5:F766,F767,$BJ$5:BJ766)))</f>
        <v>0</v>
      </c>
      <c r="BK767" s="57">
        <f ca="1">(-SUMIF(AS:AS,AS767,BG:BG)+SUMIF(AS:AS,AS767,BJ:BJ))*(AP767=100)*AR767</f>
        <v>0</v>
      </c>
      <c r="BL767" s="57">
        <f ca="1">MAX(0,SUMIF(Invoice!A:A,F767,Invoice!B:B)-SUMIF(F:F,F767,BJ:BJ))*(COUNTIF(F:F,F767)=COUNTIF($F$5:F767,F767))</f>
        <v>0</v>
      </c>
    </row>
    <row r="768" spans="1:64" hidden="1">
      <c r="A768" s="43">
        <v>768</v>
      </c>
      <c r="B768" s="13" t="s">
        <v>147</v>
      </c>
      <c r="C768" s="13" t="s">
        <v>146</v>
      </c>
      <c r="D768" s="13">
        <v>2</v>
      </c>
      <c r="E768" s="13">
        <v>2460</v>
      </c>
      <c r="F768" s="71" t="s">
        <v>1778</v>
      </c>
      <c r="G768" s="71" t="s">
        <v>1777</v>
      </c>
      <c r="H768" s="13" t="s">
        <v>1775</v>
      </c>
      <c r="I768" s="13" t="s">
        <v>54</v>
      </c>
      <c r="J768" s="28">
        <v>100</v>
      </c>
      <c r="K768" s="13" t="s">
        <v>1428</v>
      </c>
      <c r="L768" s="13" t="s">
        <v>53</v>
      </c>
      <c r="M768" s="13">
        <v>35</v>
      </c>
      <c r="N768" s="13">
        <v>35</v>
      </c>
      <c r="O768" s="13">
        <v>1</v>
      </c>
      <c r="P768" s="13">
        <v>2</v>
      </c>
      <c r="Q768" s="13">
        <v>1</v>
      </c>
      <c r="R768" s="13" t="s">
        <v>122</v>
      </c>
      <c r="S768" s="13" t="s">
        <v>122</v>
      </c>
      <c r="T768" s="13">
        <v>44901</v>
      </c>
      <c r="U768" s="13">
        <v>2958465</v>
      </c>
      <c r="V768" s="13" t="s">
        <v>282</v>
      </c>
      <c r="W768" s="13" t="s">
        <v>145</v>
      </c>
      <c r="Y768" s="13" t="s">
        <v>143</v>
      </c>
      <c r="Z768" s="13">
        <v>7589154</v>
      </c>
      <c r="AA768" s="13">
        <v>1420</v>
      </c>
      <c r="AB768" s="13">
        <v>710</v>
      </c>
      <c r="AE768" s="51">
        <f>M768/O768</f>
        <v>35</v>
      </c>
      <c r="AG768" s="6" t="str">
        <f>C768</f>
        <v>90MB1BJ0-C1BAY0</v>
      </c>
      <c r="AH768" s="6" t="str">
        <f>IF($D768&lt;=AH$4,"",IF(AND($D767=AH$4,$D768&gt;AH$4),$F767,AH767))</f>
        <v>59MB1BJB-MB0A02S</v>
      </c>
      <c r="AI768" s="6" t="str">
        <f>IF($D768&lt;=AI$4,"",IF(AND($D767=AI$4,$D768&gt;AI$4),$F767,AI767))</f>
        <v/>
      </c>
      <c r="AJ768" s="6" t="str">
        <f>IF($D768&lt;=AJ$4,"",IF(AND($D767=AJ$4,$D768&gt;AJ$4),$F767,AJ767))</f>
        <v/>
      </c>
      <c r="AK768" s="6" t="str">
        <f>IF($D768&lt;=AK$4,"",IF(AND($D767=AK$4,$D768&gt;AK$4),$F767,AK767))</f>
        <v/>
      </c>
      <c r="AL768" s="6" t="str">
        <f>IF($D768&lt;=AL$4,"",IF(AND($D767=AL$4,$D768&gt;AL$4),$F767,AL767))</f>
        <v/>
      </c>
      <c r="AM768" s="6" t="str">
        <f>IF($D768&lt;=AM$4,"",IF(AND($D767=AM$4,$D768&gt;AM$4),$F767,AM767))</f>
        <v/>
      </c>
      <c r="AN768" s="6" t="str">
        <f>IF($D768&lt;=AN$4,"",IF(AND($D767=AN$4,$D768&gt;AN$4),$F767,AN767))</f>
        <v/>
      </c>
      <c r="AO768" s="6" t="str">
        <f>CONCATENATE(AG768," | ",AH768," | ",AI768," | ",AJ768," | ",AK768," | ",AL768," | ",AM768," | ",AN768)</f>
        <v xml:space="preserve">90MB1BJ0-C1BAY0 | 59MB1BJB-MB0A02S |  |  |  |  |  | </v>
      </c>
      <c r="AP768" s="6">
        <f>IF(TRIM(H768)="",100,J768)</f>
        <v>100</v>
      </c>
      <c r="AQ768" s="4"/>
      <c r="AR768" s="6" t="b">
        <f>NOT(TRIM(W768)&lt;&gt;"F")</f>
        <v>1</v>
      </c>
      <c r="AS768" s="6" t="str">
        <f>$B768&amp;" | "&amp;$AO768&amp;" | "&amp;IF(TRIM(H768)="","uniq"&amp;ROW(),TRIM(H768))</f>
        <v>461E | 90MB1BJ0-C1BAY0 | 59MB1BJB-MB0A02S |  |  |  |  |  |  | O6</v>
      </c>
      <c r="AT768" s="63">
        <f>IF(NOT(AR768),IF(TRIM($H768)="","Assembly","Phantom Alt"),VLOOKUP(F768,ZPCS04!B:G,6,0))</f>
        <v>767</v>
      </c>
      <c r="AU768" s="7"/>
      <c r="AV768" s="38">
        <f ca="1">IF(TRIM($W768)="F",OFFSET($A$5,MATCH($AS768,$AS$5:$AS768,0)-1,0),$A768)</f>
        <v>767</v>
      </c>
      <c r="AW768" s="38">
        <f ca="1">IFERROR(OFFSET(ZPCS04!$A$1,MATCH(F768,ZPCS04!B:B,0)-1,0),100)</f>
        <v>2</v>
      </c>
      <c r="AX768" s="7"/>
      <c r="AY768" s="6" t="b">
        <f>SUMIF(AS:AS,AS768,AP:AP)=100</f>
        <v>1</v>
      </c>
      <c r="AZ768" s="6" t="b">
        <f>SUMIF(AS:AS,AS768,AE:AE)/COUNTIF(AS:AS,AS768)=AE768</f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>C768&amp;" | "&amp;F768</f>
        <v>90MB1BJ0-C1BAY0 | 11G233222625320</v>
      </c>
      <c r="BE768" s="55" t="str">
        <f ca="1">C768&amp;" | "&amp;OFFSET($AF768,0,8-COUNTBLANK($AG768:$AN768))</f>
        <v>90MB1BJ0-C1BAY0 | 59MB1BJB-MB0A02S</v>
      </c>
      <c r="BF768" s="57">
        <f ca="1">IFERROR(VLOOKUP($BE768,$BD$5:$BF767,3,0)*$AE768,VLOOKUP($C768,Demanda!$A:$B,2,0)*$AE768)*IF(AT768="Phantom Alt",$BC768,TRUE)</f>
        <v>35000</v>
      </c>
      <c r="BG768" s="57">
        <f ca="1">BF768*(AP768/100)</f>
        <v>35000</v>
      </c>
      <c r="BH768" s="57">
        <f>SUMIF(Invoice!A:A,F768,Invoice!B:B)</f>
        <v>0</v>
      </c>
      <c r="BI768" s="57">
        <f ca="1">SUMIF(AS:AS,AS768,BG:BG)</f>
        <v>35000</v>
      </c>
      <c r="BJ768" s="57">
        <f ca="1">MIN((BI768-SUMIF($AS$5:AS767,AS768,$BJ$5:BJ767)),MAX(0,BH768-SUMIF($F$5:F767,F768,$BJ$5:BJ767)))</f>
        <v>0</v>
      </c>
      <c r="BK768" s="57">
        <f ca="1">(-SUMIF(AS:AS,AS768,BG:BG)+SUMIF(AS:AS,AS768,BJ:BJ))*(AP768=100)*AR768</f>
        <v>0</v>
      </c>
      <c r="BL768" s="57">
        <f ca="1">MAX(0,SUMIF(Invoice!A:A,F768,Invoice!B:B)-SUMIF(F:F,F768,BJ:BJ))*(COUNTIF(F:F,F768)=COUNTIF($F$5:F768,F768))</f>
        <v>0</v>
      </c>
    </row>
    <row r="769" spans="1:64" hidden="1">
      <c r="A769" s="43">
        <v>771</v>
      </c>
      <c r="B769" s="13" t="s">
        <v>147</v>
      </c>
      <c r="C769" s="13" t="s">
        <v>146</v>
      </c>
      <c r="D769" s="13">
        <v>2</v>
      </c>
      <c r="E769" s="13">
        <v>2470</v>
      </c>
      <c r="F769" s="71" t="s">
        <v>1784</v>
      </c>
      <c r="G769" s="71" t="s">
        <v>1783</v>
      </c>
      <c r="H769" s="13" t="s">
        <v>1781</v>
      </c>
      <c r="I769" s="13" t="s">
        <v>54</v>
      </c>
      <c r="J769" s="28">
        <v>100</v>
      </c>
      <c r="K769" s="13" t="s">
        <v>1428</v>
      </c>
      <c r="L769" s="13" t="s">
        <v>53</v>
      </c>
      <c r="M769" s="13">
        <v>5</v>
      </c>
      <c r="N769" s="13">
        <v>5</v>
      </c>
      <c r="O769" s="13">
        <v>1</v>
      </c>
      <c r="P769" s="13">
        <v>2</v>
      </c>
      <c r="Q769" s="13">
        <v>1</v>
      </c>
      <c r="R769" s="13" t="s">
        <v>122</v>
      </c>
      <c r="S769" s="13" t="s">
        <v>122</v>
      </c>
      <c r="T769" s="13">
        <v>44901</v>
      </c>
      <c r="U769" s="13">
        <v>2958465</v>
      </c>
      <c r="V769" s="13" t="s">
        <v>282</v>
      </c>
      <c r="W769" s="13" t="s">
        <v>145</v>
      </c>
      <c r="Y769" s="13" t="s">
        <v>143</v>
      </c>
      <c r="Z769" s="13">
        <v>7589154</v>
      </c>
      <c r="AA769" s="13">
        <v>1426</v>
      </c>
      <c r="AB769" s="13">
        <v>713</v>
      </c>
      <c r="AE769" s="51">
        <f>M769/O769</f>
        <v>5</v>
      </c>
      <c r="AG769" s="6" t="str">
        <f>C769</f>
        <v>90MB1BJ0-C1BAY0</v>
      </c>
      <c r="AH769" s="6" t="str">
        <f>IF($D769&lt;=AH$4,"",IF(AND($D768=AH$4,$D769&gt;AH$4),$F768,AH768))</f>
        <v>59MB1BJB-MB0A02S</v>
      </c>
      <c r="AI769" s="6" t="str">
        <f>IF($D769&lt;=AI$4,"",IF(AND($D768=AI$4,$D769&gt;AI$4),$F768,AI768))</f>
        <v/>
      </c>
      <c r="AJ769" s="6" t="str">
        <f>IF($D769&lt;=AJ$4,"",IF(AND($D768=AJ$4,$D769&gt;AJ$4),$F768,AJ768))</f>
        <v/>
      </c>
      <c r="AK769" s="6" t="str">
        <f>IF($D769&lt;=AK$4,"",IF(AND($D768=AK$4,$D769&gt;AK$4),$F768,AK768))</f>
        <v/>
      </c>
      <c r="AL769" s="6" t="str">
        <f>IF($D769&lt;=AL$4,"",IF(AND($D768=AL$4,$D769&gt;AL$4),$F768,AL768))</f>
        <v/>
      </c>
      <c r="AM769" s="6" t="str">
        <f>IF($D769&lt;=AM$4,"",IF(AND($D768=AM$4,$D769&gt;AM$4),$F768,AM768))</f>
        <v/>
      </c>
      <c r="AN769" s="6" t="str">
        <f>IF($D769&lt;=AN$4,"",IF(AND($D768=AN$4,$D769&gt;AN$4),$F768,AN768))</f>
        <v/>
      </c>
      <c r="AO769" s="6" t="str">
        <f>CONCATENATE(AG769," | ",AH769," | ",AI769," | ",AJ769," | ",AK769," | ",AL769," | ",AM769," | ",AN769)</f>
        <v xml:space="preserve">90MB1BJ0-C1BAY0 | 59MB1BJB-MB0A02S |  |  |  |  |  | </v>
      </c>
      <c r="AP769" s="6">
        <f>IF(TRIM(H769)="",100,J769)</f>
        <v>100</v>
      </c>
      <c r="AQ769" s="4"/>
      <c r="AR769" s="6" t="b">
        <f>NOT(TRIM(W769)&lt;&gt;"F")</f>
        <v>1</v>
      </c>
      <c r="AS769" s="6" t="str">
        <f>$B769&amp;" | "&amp;$AO769&amp;" | "&amp;IF(TRIM(H769)="","uniq"&amp;ROW(),TRIM(H769))</f>
        <v>461E | 90MB1BJ0-C1BAY0 | 59MB1BJB-MB0A02S |  |  |  |  |  |  | O7</v>
      </c>
      <c r="AT769" s="63">
        <f>IF(NOT(AR769),IF(TRIM($H769)="","Assembly","Phantom Alt"),VLOOKUP(F769,ZPCS04!B:G,6,0))</f>
        <v>768</v>
      </c>
      <c r="AU769" s="7"/>
      <c r="AV769" s="38">
        <f ca="1">IF(TRIM($W769)="F",OFFSET($A$5,MATCH($AS769,$AS$5:$AS769,0)-1,0),$A769)</f>
        <v>771</v>
      </c>
      <c r="AW769" s="38">
        <f ca="1">IFERROR(OFFSET(ZPCS04!$A$1,MATCH(F769,ZPCS04!B:B,0)-1,0),100)</f>
        <v>1.99999992</v>
      </c>
      <c r="AX769" s="7"/>
      <c r="AY769" s="6" t="b">
        <f>SUMIF(AS:AS,AS769,AP:AP)=100</f>
        <v>1</v>
      </c>
      <c r="AZ769" s="6" t="b">
        <f>SUMIF(AS:AS,AS769,AE:AE)/COUNTIF(AS:AS,AS769)=AE769</f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>C769&amp;" | "&amp;F769</f>
        <v>90MB1BJ0-C1BAY0 | 11G233247515150</v>
      </c>
      <c r="BE769" s="55" t="str">
        <f ca="1">C769&amp;" | "&amp;OFFSET($AF769,0,8-COUNTBLANK($AG769:$AN769))</f>
        <v>90MB1BJ0-C1BAY0 | 59MB1BJB-MB0A02S</v>
      </c>
      <c r="BF769" s="57">
        <f ca="1">IFERROR(VLOOKUP($BE769,$BD$5:$BF768,3,0)*$AE769,VLOOKUP($C769,Demanda!$A:$B,2,0)*$AE769)*IF(AT769="Phantom Alt",$BC769,TRUE)</f>
        <v>5000</v>
      </c>
      <c r="BG769" s="57">
        <f ca="1">BF769*(AP769/100)</f>
        <v>5000</v>
      </c>
      <c r="BH769" s="57">
        <f>SUMIF(Invoice!A:A,F769,Invoice!B:B)</f>
        <v>8000</v>
      </c>
      <c r="BI769" s="57">
        <f ca="1">SUMIF(AS:AS,AS769,BG:BG)</f>
        <v>5000</v>
      </c>
      <c r="BJ769" s="57">
        <f ca="1">MIN((BI769-SUMIF($AS$5:AS768,AS769,$BJ$5:BJ768)),MAX(0,BH769-SUMIF($F$5:F768,F769,$BJ$5:BJ768)))</f>
        <v>5000</v>
      </c>
      <c r="BK769" s="57">
        <f ca="1">(-SUMIF(AS:AS,AS769,BG:BG)+SUMIF(AS:AS,AS769,BJ:BJ))*(AP769=100)*AR769</f>
        <v>0</v>
      </c>
      <c r="BL769" s="57">
        <f ca="1">MAX(0,SUMIF(Invoice!A:A,F769,Invoice!B:B)-SUMIF(F:F,F769,BJ:BJ))*(COUNTIF(F:F,F769)=COUNTIF($F$5:F769,F769))</f>
        <v>3000</v>
      </c>
    </row>
    <row r="770" spans="1:64" hidden="1">
      <c r="A770" s="43">
        <v>769</v>
      </c>
      <c r="B770" s="13" t="s">
        <v>147</v>
      </c>
      <c r="C770" s="13" t="s">
        <v>146</v>
      </c>
      <c r="D770" s="13">
        <v>2</v>
      </c>
      <c r="E770" s="13">
        <v>2470</v>
      </c>
      <c r="F770" s="71" t="s">
        <v>1779</v>
      </c>
      <c r="G770" s="71" t="s">
        <v>1780</v>
      </c>
      <c r="H770" s="13" t="s">
        <v>1781</v>
      </c>
      <c r="I770" s="13" t="s">
        <v>55</v>
      </c>
      <c r="J770" s="28">
        <v>0</v>
      </c>
      <c r="K770" s="13" t="s">
        <v>150</v>
      </c>
      <c r="L770" s="13" t="s">
        <v>53</v>
      </c>
      <c r="M770" s="13">
        <v>5</v>
      </c>
      <c r="O770" s="13">
        <v>1</v>
      </c>
      <c r="P770" s="13">
        <v>2</v>
      </c>
      <c r="Q770" s="13">
        <v>7</v>
      </c>
      <c r="R770" s="13" t="s">
        <v>73</v>
      </c>
      <c r="S770" s="13" t="s">
        <v>73</v>
      </c>
      <c r="T770" s="13">
        <v>44901</v>
      </c>
      <c r="U770" s="13">
        <v>2958465</v>
      </c>
      <c r="V770" s="13" t="s">
        <v>282</v>
      </c>
      <c r="W770" s="13" t="s">
        <v>145</v>
      </c>
      <c r="Y770" s="13" t="s">
        <v>143</v>
      </c>
      <c r="Z770" s="13">
        <v>7589154</v>
      </c>
      <c r="AA770" s="13">
        <v>1438</v>
      </c>
      <c r="AB770" s="13">
        <v>719</v>
      </c>
      <c r="AE770" s="51">
        <f>M770/O770</f>
        <v>5</v>
      </c>
      <c r="AG770" s="6" t="str">
        <f>C770</f>
        <v>90MB1BJ0-C1BAY0</v>
      </c>
      <c r="AH770" s="6" t="str">
        <f>IF($D770&lt;=AH$4,"",IF(AND($D769=AH$4,$D770&gt;AH$4),$F769,AH769))</f>
        <v>59MB1BJB-MB0A02S</v>
      </c>
      <c r="AI770" s="6" t="str">
        <f>IF($D770&lt;=AI$4,"",IF(AND($D769=AI$4,$D770&gt;AI$4),$F769,AI769))</f>
        <v/>
      </c>
      <c r="AJ770" s="6" t="str">
        <f>IF($D770&lt;=AJ$4,"",IF(AND($D769=AJ$4,$D770&gt;AJ$4),$F769,AJ769))</f>
        <v/>
      </c>
      <c r="AK770" s="6" t="str">
        <f>IF($D770&lt;=AK$4,"",IF(AND($D769=AK$4,$D770&gt;AK$4),$F769,AK769))</f>
        <v/>
      </c>
      <c r="AL770" s="6" t="str">
        <f>IF($D770&lt;=AL$4,"",IF(AND($D769=AL$4,$D770&gt;AL$4),$F769,AL769))</f>
        <v/>
      </c>
      <c r="AM770" s="6" t="str">
        <f>IF($D770&lt;=AM$4,"",IF(AND($D769=AM$4,$D770&gt;AM$4),$F769,AM769))</f>
        <v/>
      </c>
      <c r="AN770" s="6" t="str">
        <f>IF($D770&lt;=AN$4,"",IF(AND($D769=AN$4,$D770&gt;AN$4),$F769,AN769))</f>
        <v/>
      </c>
      <c r="AO770" s="6" t="str">
        <f>CONCATENATE(AG770," | ",AH770," | ",AI770," | ",AJ770," | ",AK770," | ",AL770," | ",AM770," | ",AN770)</f>
        <v xml:space="preserve">90MB1BJ0-C1BAY0 | 59MB1BJB-MB0A02S |  |  |  |  |  | </v>
      </c>
      <c r="AP770" s="6">
        <f>IF(TRIM(H770)="",100,J770)</f>
        <v>0</v>
      </c>
      <c r="AQ770" s="4"/>
      <c r="AR770" s="6" t="b">
        <f>NOT(TRIM(W770)&lt;&gt;"F")</f>
        <v>1</v>
      </c>
      <c r="AS770" s="6" t="str">
        <f>$B770&amp;" | "&amp;$AO770&amp;" | "&amp;IF(TRIM(H770)="","uniq"&amp;ROW(),TRIM(H770))</f>
        <v>461E | 90MB1BJ0-C1BAY0 | 59MB1BJB-MB0A02S |  |  |  |  |  |  | O7</v>
      </c>
      <c r="AT770" s="63">
        <f>IF(NOT(AR770),IF(TRIM($H770)="","Assembly","Phantom Alt"),VLOOKUP(F770,ZPCS04!B:G,6,0))</f>
        <v>768</v>
      </c>
      <c r="AU770" s="7"/>
      <c r="AV770" s="38">
        <f ca="1">IF(TRIM($W770)="F",OFFSET($A$5,MATCH($AS770,$AS$5:$AS770,0)-1,0),$A770)</f>
        <v>771</v>
      </c>
      <c r="AW770" s="38">
        <f ca="1">IFERROR(OFFSET(ZPCS04!$A$1,MATCH(F770,ZPCS04!B:B,0)-1,0),100)</f>
        <v>2</v>
      </c>
      <c r="AX770" s="7"/>
      <c r="AY770" s="6" t="b">
        <f>SUMIF(AS:AS,AS770,AP:AP)=100</f>
        <v>1</v>
      </c>
      <c r="AZ770" s="6" t="b">
        <f>SUMIF(AS:AS,AS770,AE:AE)/COUNTIF(AS:AS,AS770)=AE770</f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>C770&amp;" | "&amp;F770</f>
        <v>90MB1BJ0-C1BAY0 | 11204-0054N000</v>
      </c>
      <c r="BE770" s="55" t="str">
        <f ca="1">C770&amp;" | "&amp;OFFSET($AF770,0,8-COUNTBLANK($AG770:$AN770))</f>
        <v>90MB1BJ0-C1BAY0 | 59MB1BJB-MB0A02S</v>
      </c>
      <c r="BF770" s="57">
        <f ca="1">IFERROR(VLOOKUP($BE770,$BD$5:$BF769,3,0)*$AE770,VLOOKUP($C770,Demanda!$A:$B,2,0)*$AE770)*IF(AT770="Phantom Alt",$BC770,TRUE)</f>
        <v>5000</v>
      </c>
      <c r="BG770" s="57">
        <f ca="1">BF770*(AP770/100)</f>
        <v>0</v>
      </c>
      <c r="BH770" s="57">
        <f>SUMIF(Invoice!A:A,F770,Invoice!B:B)</f>
        <v>0</v>
      </c>
      <c r="BI770" s="57">
        <f ca="1">SUMIF(AS:AS,AS770,BG:BG)</f>
        <v>5000</v>
      </c>
      <c r="BJ770" s="57">
        <f ca="1">MIN((BI770-SUMIF($AS$5:AS769,AS770,$BJ$5:BJ769)),MAX(0,BH770-SUMIF($F$5:F769,F770,$BJ$5:BJ769)))</f>
        <v>0</v>
      </c>
      <c r="BK770" s="57">
        <f ca="1">(-SUMIF(AS:AS,AS770,BG:BG)+SUMIF(AS:AS,AS770,BJ:BJ))*(AP770=100)*AR770</f>
        <v>0</v>
      </c>
      <c r="BL770" s="57">
        <f ca="1">MAX(0,SUMIF(Invoice!A:A,F770,Invoice!B:B)-SUMIF(F:F,F770,BJ:BJ))*(COUNTIF(F:F,F770)=COUNTIF($F$5:F770,F770))</f>
        <v>0</v>
      </c>
    </row>
    <row r="771" spans="1:64" hidden="1">
      <c r="A771" s="43">
        <v>770</v>
      </c>
      <c r="B771" s="13" t="s">
        <v>147</v>
      </c>
      <c r="C771" s="13" t="s">
        <v>146</v>
      </c>
      <c r="D771" s="13">
        <v>2</v>
      </c>
      <c r="E771" s="13">
        <v>2470</v>
      </c>
      <c r="F771" s="71" t="s">
        <v>1782</v>
      </c>
      <c r="G771" s="71" t="s">
        <v>1783</v>
      </c>
      <c r="H771" s="13" t="s">
        <v>1781</v>
      </c>
      <c r="I771" s="13" t="s">
        <v>55</v>
      </c>
      <c r="J771" s="28">
        <v>0</v>
      </c>
      <c r="K771" s="13" t="s">
        <v>1428</v>
      </c>
      <c r="L771" s="13" t="s">
        <v>53</v>
      </c>
      <c r="M771" s="13">
        <v>5</v>
      </c>
      <c r="O771" s="13">
        <v>1</v>
      </c>
      <c r="P771" s="13">
        <v>2</v>
      </c>
      <c r="Q771" s="13">
        <v>5</v>
      </c>
      <c r="R771" s="13" t="s">
        <v>122</v>
      </c>
      <c r="S771" s="13" t="s">
        <v>122</v>
      </c>
      <c r="T771" s="13">
        <v>44901</v>
      </c>
      <c r="U771" s="13">
        <v>2958465</v>
      </c>
      <c r="V771" s="13" t="s">
        <v>282</v>
      </c>
      <c r="W771" s="13" t="s">
        <v>145</v>
      </c>
      <c r="Y771" s="13" t="s">
        <v>143</v>
      </c>
      <c r="Z771" s="13">
        <v>7589154</v>
      </c>
      <c r="AA771" s="13">
        <v>1434</v>
      </c>
      <c r="AB771" s="13">
        <v>717</v>
      </c>
      <c r="AE771" s="51">
        <f>M771/O771</f>
        <v>5</v>
      </c>
      <c r="AG771" s="6" t="str">
        <f>C771</f>
        <v>90MB1BJ0-C1BAY0</v>
      </c>
      <c r="AH771" s="6" t="str">
        <f>IF($D771&lt;=AH$4,"",IF(AND($D770=AH$4,$D771&gt;AH$4),$F770,AH770))</f>
        <v>59MB1BJB-MB0A02S</v>
      </c>
      <c r="AI771" s="6" t="str">
        <f>IF($D771&lt;=AI$4,"",IF(AND($D770=AI$4,$D771&gt;AI$4),$F770,AI770))</f>
        <v/>
      </c>
      <c r="AJ771" s="6" t="str">
        <f>IF($D771&lt;=AJ$4,"",IF(AND($D770=AJ$4,$D771&gt;AJ$4),$F770,AJ770))</f>
        <v/>
      </c>
      <c r="AK771" s="6" t="str">
        <f>IF($D771&lt;=AK$4,"",IF(AND($D770=AK$4,$D771&gt;AK$4),$F770,AK770))</f>
        <v/>
      </c>
      <c r="AL771" s="6" t="str">
        <f>IF($D771&lt;=AL$4,"",IF(AND($D770=AL$4,$D771&gt;AL$4),$F770,AL770))</f>
        <v/>
      </c>
      <c r="AM771" s="6" t="str">
        <f>IF($D771&lt;=AM$4,"",IF(AND($D770=AM$4,$D771&gt;AM$4),$F770,AM770))</f>
        <v/>
      </c>
      <c r="AN771" s="6" t="str">
        <f>IF($D771&lt;=AN$4,"",IF(AND($D770=AN$4,$D771&gt;AN$4),$F770,AN770))</f>
        <v/>
      </c>
      <c r="AO771" s="6" t="str">
        <f>CONCATENATE(AG771," | ",AH771," | ",AI771," | ",AJ771," | ",AK771," | ",AL771," | ",AM771," | ",AN771)</f>
        <v xml:space="preserve">90MB1BJ0-C1BAY0 | 59MB1BJB-MB0A02S |  |  |  |  |  | </v>
      </c>
      <c r="AP771" s="6">
        <f>IF(TRIM(H771)="",100,J771)</f>
        <v>0</v>
      </c>
      <c r="AQ771" s="4"/>
      <c r="AR771" s="6" t="b">
        <f>NOT(TRIM(W771)&lt;&gt;"F")</f>
        <v>1</v>
      </c>
      <c r="AS771" s="6" t="str">
        <f>$B771&amp;" | "&amp;$AO771&amp;" | "&amp;IF(TRIM(H771)="","uniq"&amp;ROW(),TRIM(H771))</f>
        <v>461E | 90MB1BJ0-C1BAY0 | 59MB1BJB-MB0A02S |  |  |  |  |  |  | O7</v>
      </c>
      <c r="AT771" s="63">
        <f>IF(NOT(AR771),IF(TRIM($H771)="","Assembly","Phantom Alt"),VLOOKUP(F771,ZPCS04!B:G,6,0))</f>
        <v>768</v>
      </c>
      <c r="AU771" s="7"/>
      <c r="AV771" s="38">
        <f ca="1">IF(TRIM($W771)="F",OFFSET($A$5,MATCH($AS771,$AS$5:$AS771,0)-1,0),$A771)</f>
        <v>771</v>
      </c>
      <c r="AW771" s="38">
        <f ca="1">IFERROR(OFFSET(ZPCS04!$A$1,MATCH(F771,ZPCS04!B:B,0)-1,0),100)</f>
        <v>2</v>
      </c>
      <c r="AX771" s="7"/>
      <c r="AY771" s="6" t="b">
        <f>SUMIF(AS:AS,AS771,AP:AP)=100</f>
        <v>1</v>
      </c>
      <c r="AZ771" s="6" t="b">
        <f>SUMIF(AS:AS,AS771,AE:AE)/COUNTIF(AS:AS,AS771)=AE771</f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>C771&amp;" | "&amp;F771</f>
        <v>90MB1BJ0-C1BAY0 | 11G233247515070</v>
      </c>
      <c r="BE771" s="55" t="str">
        <f ca="1">C771&amp;" | "&amp;OFFSET($AF771,0,8-COUNTBLANK($AG771:$AN771))</f>
        <v>90MB1BJ0-C1BAY0 | 59MB1BJB-MB0A02S</v>
      </c>
      <c r="BF771" s="57">
        <f ca="1">IFERROR(VLOOKUP($BE771,$BD$5:$BF770,3,0)*$AE771,VLOOKUP($C771,Demanda!$A:$B,2,0)*$AE771)*IF(AT771="Phantom Alt",$BC771,TRUE)</f>
        <v>5000</v>
      </c>
      <c r="BG771" s="57">
        <f ca="1">BF771*(AP771/100)</f>
        <v>0</v>
      </c>
      <c r="BH771" s="57">
        <f>SUMIF(Invoice!A:A,F771,Invoice!B:B)</f>
        <v>0</v>
      </c>
      <c r="BI771" s="57">
        <f ca="1">SUMIF(AS:AS,AS771,BG:BG)</f>
        <v>5000</v>
      </c>
      <c r="BJ771" s="57">
        <f ca="1">MIN((BI771-SUMIF($AS$5:AS770,AS771,$BJ$5:BJ770)),MAX(0,BH771-SUMIF($F$5:F770,F771,$BJ$5:BJ770)))</f>
        <v>0</v>
      </c>
      <c r="BK771" s="57">
        <f ca="1">(-SUMIF(AS:AS,AS771,BG:BG)+SUMIF(AS:AS,AS771,BJ:BJ))*(AP771=100)*AR771</f>
        <v>0</v>
      </c>
      <c r="BL771" s="57">
        <f ca="1">MAX(0,SUMIF(Invoice!A:A,F771,Invoice!B:B)-SUMIF(F:F,F771,BJ:BJ))*(COUNTIF(F:F,F771)=COUNTIF($F$5:F771,F771))</f>
        <v>0</v>
      </c>
    </row>
    <row r="772" spans="1:64" hidden="1">
      <c r="A772" s="43">
        <v>772</v>
      </c>
      <c r="B772" s="13" t="s">
        <v>147</v>
      </c>
      <c r="C772" s="13" t="s">
        <v>146</v>
      </c>
      <c r="D772" s="13">
        <v>2</v>
      </c>
      <c r="E772" s="13">
        <v>2470</v>
      </c>
      <c r="F772" s="71" t="s">
        <v>1785</v>
      </c>
      <c r="G772" s="71" t="s">
        <v>1783</v>
      </c>
      <c r="H772" s="13" t="s">
        <v>1781</v>
      </c>
      <c r="I772" s="13" t="s">
        <v>55</v>
      </c>
      <c r="J772" s="28">
        <v>0</v>
      </c>
      <c r="K772" s="13" t="s">
        <v>1428</v>
      </c>
      <c r="L772" s="13" t="s">
        <v>53</v>
      </c>
      <c r="M772" s="13">
        <v>5</v>
      </c>
      <c r="O772" s="13">
        <v>1</v>
      </c>
      <c r="P772" s="13">
        <v>2</v>
      </c>
      <c r="Q772" s="13">
        <v>4</v>
      </c>
      <c r="R772" s="13" t="s">
        <v>122</v>
      </c>
      <c r="S772" s="13" t="s">
        <v>122</v>
      </c>
      <c r="T772" s="13">
        <v>44901</v>
      </c>
      <c r="U772" s="13">
        <v>2958465</v>
      </c>
      <c r="V772" s="13" t="s">
        <v>282</v>
      </c>
      <c r="W772" s="13" t="s">
        <v>145</v>
      </c>
      <c r="Y772" s="13" t="s">
        <v>143</v>
      </c>
      <c r="Z772" s="13">
        <v>7589154</v>
      </c>
      <c r="AA772" s="13">
        <v>1432</v>
      </c>
      <c r="AB772" s="13">
        <v>716</v>
      </c>
      <c r="AE772" s="51">
        <f>M772/O772</f>
        <v>5</v>
      </c>
      <c r="AG772" s="6" t="str">
        <f>C772</f>
        <v>90MB1BJ0-C1BAY0</v>
      </c>
      <c r="AH772" s="6" t="str">
        <f>IF($D772&lt;=AH$4,"",IF(AND($D771=AH$4,$D772&gt;AH$4),$F771,AH771))</f>
        <v>59MB1BJB-MB0A02S</v>
      </c>
      <c r="AI772" s="6" t="str">
        <f>IF($D772&lt;=AI$4,"",IF(AND($D771=AI$4,$D772&gt;AI$4),$F771,AI771))</f>
        <v/>
      </c>
      <c r="AJ772" s="6" t="str">
        <f>IF($D772&lt;=AJ$4,"",IF(AND($D771=AJ$4,$D772&gt;AJ$4),$F771,AJ771))</f>
        <v/>
      </c>
      <c r="AK772" s="6" t="str">
        <f>IF($D772&lt;=AK$4,"",IF(AND($D771=AK$4,$D772&gt;AK$4),$F771,AK771))</f>
        <v/>
      </c>
      <c r="AL772" s="6" t="str">
        <f>IF($D772&lt;=AL$4,"",IF(AND($D771=AL$4,$D772&gt;AL$4),$F771,AL771))</f>
        <v/>
      </c>
      <c r="AM772" s="6" t="str">
        <f>IF($D772&lt;=AM$4,"",IF(AND($D771=AM$4,$D772&gt;AM$4),$F771,AM771))</f>
        <v/>
      </c>
      <c r="AN772" s="6" t="str">
        <f>IF($D772&lt;=AN$4,"",IF(AND($D771=AN$4,$D772&gt;AN$4),$F771,AN771))</f>
        <v/>
      </c>
      <c r="AO772" s="6" t="str">
        <f>CONCATENATE(AG772," | ",AH772," | ",AI772," | ",AJ772," | ",AK772," | ",AL772," | ",AM772," | ",AN772)</f>
        <v xml:space="preserve">90MB1BJ0-C1BAY0 | 59MB1BJB-MB0A02S |  |  |  |  |  | </v>
      </c>
      <c r="AP772" s="6">
        <f>IF(TRIM(H772)="",100,J772)</f>
        <v>0</v>
      </c>
      <c r="AQ772" s="4"/>
      <c r="AR772" s="6" t="b">
        <f>NOT(TRIM(W772)&lt;&gt;"F")</f>
        <v>1</v>
      </c>
      <c r="AS772" s="6" t="str">
        <f>$B772&amp;" | "&amp;$AO772&amp;" | "&amp;IF(TRIM(H772)="","uniq"&amp;ROW(),TRIM(H772))</f>
        <v>461E | 90MB1BJ0-C1BAY0 | 59MB1BJB-MB0A02S |  |  |  |  |  |  | O7</v>
      </c>
      <c r="AT772" s="63">
        <f>IF(NOT(AR772),IF(TRIM($H772)="","Assembly","Phantom Alt"),VLOOKUP(F772,ZPCS04!B:G,6,0))</f>
        <v>768</v>
      </c>
      <c r="AU772" s="7"/>
      <c r="AV772" s="38">
        <f ca="1">IF(TRIM($W772)="F",OFFSET($A$5,MATCH($AS772,$AS$5:$AS772,0)-1,0),$A772)</f>
        <v>771</v>
      </c>
      <c r="AW772" s="38">
        <f ca="1">IFERROR(OFFSET(ZPCS04!$A$1,MATCH(F772,ZPCS04!B:B,0)-1,0),100)</f>
        <v>2</v>
      </c>
      <c r="AX772" s="7"/>
      <c r="AY772" s="6" t="b">
        <f>SUMIF(AS:AS,AS772,AP:AP)=100</f>
        <v>1</v>
      </c>
      <c r="AZ772" s="6" t="b">
        <f>SUMIF(AS:AS,AS772,AE:AE)/COUNTIF(AS:AS,AS772)=AE772</f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>C772&amp;" | "&amp;F772</f>
        <v>90MB1BJ0-C1BAY0 | 11G233247515320</v>
      </c>
      <c r="BE772" s="55" t="str">
        <f ca="1">C772&amp;" | "&amp;OFFSET($AF772,0,8-COUNTBLANK($AG772:$AN772))</f>
        <v>90MB1BJ0-C1BAY0 | 59MB1BJB-MB0A02S</v>
      </c>
      <c r="BF772" s="57">
        <f ca="1">IFERROR(VLOOKUP($BE772,$BD$5:$BF771,3,0)*$AE772,VLOOKUP($C772,Demanda!$A:$B,2,0)*$AE772)*IF(AT772="Phantom Alt",$BC772,TRUE)</f>
        <v>5000</v>
      </c>
      <c r="BG772" s="57">
        <f ca="1">BF772*(AP772/100)</f>
        <v>0</v>
      </c>
      <c r="BH772" s="57">
        <f>SUMIF(Invoice!A:A,F772,Invoice!B:B)</f>
        <v>0</v>
      </c>
      <c r="BI772" s="57">
        <f ca="1">SUMIF(AS:AS,AS772,BG:BG)</f>
        <v>5000</v>
      </c>
      <c r="BJ772" s="57">
        <f ca="1">MIN((BI772-SUMIF($AS$5:AS771,AS772,$BJ$5:BJ771)),MAX(0,BH772-SUMIF($F$5:F771,F772,$BJ$5:BJ771)))</f>
        <v>0</v>
      </c>
      <c r="BK772" s="57">
        <f ca="1">(-SUMIF(AS:AS,AS772,BG:BG)+SUMIF(AS:AS,AS772,BJ:BJ))*(AP772=100)*AR772</f>
        <v>0</v>
      </c>
      <c r="BL772" s="57">
        <f ca="1">MAX(0,SUMIF(Invoice!A:A,F772,Invoice!B:B)-SUMIF(F:F,F772,BJ:BJ))*(COUNTIF(F:F,F772)=COUNTIF($F$5:F772,F772))</f>
        <v>0</v>
      </c>
    </row>
    <row r="773" spans="1:64" hidden="1">
      <c r="A773" s="43">
        <v>773</v>
      </c>
      <c r="B773" s="13" t="s">
        <v>147</v>
      </c>
      <c r="C773" s="13" t="s">
        <v>146</v>
      </c>
      <c r="D773" s="13">
        <v>2</v>
      </c>
      <c r="E773" s="13">
        <v>2470</v>
      </c>
      <c r="F773" s="71" t="s">
        <v>1786</v>
      </c>
      <c r="G773" s="71" t="s">
        <v>1783</v>
      </c>
      <c r="H773" s="13" t="s">
        <v>1781</v>
      </c>
      <c r="I773" s="13" t="s">
        <v>55</v>
      </c>
      <c r="J773" s="28">
        <v>0</v>
      </c>
      <c r="K773" s="13" t="s">
        <v>1428</v>
      </c>
      <c r="L773" s="13" t="s">
        <v>53</v>
      </c>
      <c r="M773" s="13">
        <v>5</v>
      </c>
      <c r="O773" s="13">
        <v>1</v>
      </c>
      <c r="P773" s="13">
        <v>2</v>
      </c>
      <c r="Q773" s="13">
        <v>6</v>
      </c>
      <c r="R773" s="13" t="s">
        <v>122</v>
      </c>
      <c r="S773" s="13" t="s">
        <v>122</v>
      </c>
      <c r="T773" s="13">
        <v>44901</v>
      </c>
      <c r="U773" s="13">
        <v>2958465</v>
      </c>
      <c r="V773" s="13" t="s">
        <v>282</v>
      </c>
      <c r="W773" s="13" t="s">
        <v>145</v>
      </c>
      <c r="Y773" s="13" t="s">
        <v>143</v>
      </c>
      <c r="Z773" s="13">
        <v>7589154</v>
      </c>
      <c r="AA773" s="13">
        <v>1436</v>
      </c>
      <c r="AB773" s="13">
        <v>718</v>
      </c>
      <c r="AE773" s="51">
        <f>M773/O773</f>
        <v>5</v>
      </c>
      <c r="AG773" s="6" t="str">
        <f>C773</f>
        <v>90MB1BJ0-C1BAY0</v>
      </c>
      <c r="AH773" s="6" t="str">
        <f>IF($D773&lt;=AH$4,"",IF(AND($D772=AH$4,$D773&gt;AH$4),$F772,AH772))</f>
        <v>59MB1BJB-MB0A02S</v>
      </c>
      <c r="AI773" s="6" t="str">
        <f>IF($D773&lt;=AI$4,"",IF(AND($D772=AI$4,$D773&gt;AI$4),$F772,AI772))</f>
        <v/>
      </c>
      <c r="AJ773" s="6" t="str">
        <f>IF($D773&lt;=AJ$4,"",IF(AND($D772=AJ$4,$D773&gt;AJ$4),$F772,AJ772))</f>
        <v/>
      </c>
      <c r="AK773" s="6" t="str">
        <f>IF($D773&lt;=AK$4,"",IF(AND($D772=AK$4,$D773&gt;AK$4),$F772,AK772))</f>
        <v/>
      </c>
      <c r="AL773" s="6" t="str">
        <f>IF($D773&lt;=AL$4,"",IF(AND($D772=AL$4,$D773&gt;AL$4),$F772,AL772))</f>
        <v/>
      </c>
      <c r="AM773" s="6" t="str">
        <f>IF($D773&lt;=AM$4,"",IF(AND($D772=AM$4,$D773&gt;AM$4),$F772,AM772))</f>
        <v/>
      </c>
      <c r="AN773" s="6" t="str">
        <f>IF($D773&lt;=AN$4,"",IF(AND($D772=AN$4,$D773&gt;AN$4),$F772,AN772))</f>
        <v/>
      </c>
      <c r="AO773" s="6" t="str">
        <f>CONCATENATE(AG773," | ",AH773," | ",AI773," | ",AJ773," | ",AK773," | ",AL773," | ",AM773," | ",AN773)</f>
        <v xml:space="preserve">90MB1BJ0-C1BAY0 | 59MB1BJB-MB0A02S |  |  |  |  |  | </v>
      </c>
      <c r="AP773" s="6">
        <f>IF(TRIM(H773)="",100,J773)</f>
        <v>0</v>
      </c>
      <c r="AQ773" s="4"/>
      <c r="AR773" s="6" t="b">
        <f>NOT(TRIM(W773)&lt;&gt;"F")</f>
        <v>1</v>
      </c>
      <c r="AS773" s="6" t="str">
        <f>$B773&amp;" | "&amp;$AO773&amp;" | "&amp;IF(TRIM(H773)="","uniq"&amp;ROW(),TRIM(H773))</f>
        <v>461E | 90MB1BJ0-C1BAY0 | 59MB1BJB-MB0A02S |  |  |  |  |  |  | O7</v>
      </c>
      <c r="AT773" s="63">
        <f>IF(NOT(AR773),IF(TRIM($H773)="","Assembly","Phantom Alt"),VLOOKUP(F773,ZPCS04!B:G,6,0))</f>
        <v>768</v>
      </c>
      <c r="AU773" s="7"/>
      <c r="AV773" s="38">
        <f ca="1">IF(TRIM($W773)="F",OFFSET($A$5,MATCH($AS773,$AS$5:$AS773,0)-1,0),$A773)</f>
        <v>771</v>
      </c>
      <c r="AW773" s="38">
        <f ca="1">IFERROR(OFFSET(ZPCS04!$A$1,MATCH(F773,ZPCS04!B:B,0)-1,0),100)</f>
        <v>2</v>
      </c>
      <c r="AX773" s="7"/>
      <c r="AY773" s="6" t="b">
        <f>SUMIF(AS:AS,AS773,AP:AP)=100</f>
        <v>1</v>
      </c>
      <c r="AZ773" s="6" t="b">
        <f>SUMIF(AS:AS,AS773,AE:AE)/COUNTIF(AS:AS,AS773)=AE773</f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>C773&amp;" | "&amp;F773</f>
        <v>90MB1BJ0-C1BAY0 | 11G233247515360</v>
      </c>
      <c r="BE773" s="55" t="str">
        <f ca="1">C773&amp;" | "&amp;OFFSET($AF773,0,8-COUNTBLANK($AG773:$AN773))</f>
        <v>90MB1BJ0-C1BAY0 | 59MB1BJB-MB0A02S</v>
      </c>
      <c r="BF773" s="57">
        <f ca="1">IFERROR(VLOOKUP($BE773,$BD$5:$BF772,3,0)*$AE773,VLOOKUP($C773,Demanda!$A:$B,2,0)*$AE773)*IF(AT773="Phantom Alt",$BC773,TRUE)</f>
        <v>5000</v>
      </c>
      <c r="BG773" s="57">
        <f ca="1">BF773*(AP773/100)</f>
        <v>0</v>
      </c>
      <c r="BH773" s="57">
        <f>SUMIF(Invoice!A:A,F773,Invoice!B:B)</f>
        <v>0</v>
      </c>
      <c r="BI773" s="57">
        <f ca="1">SUMIF(AS:AS,AS773,BG:BG)</f>
        <v>5000</v>
      </c>
      <c r="BJ773" s="57">
        <f ca="1">MIN((BI773-SUMIF($AS$5:AS772,AS773,$BJ$5:BJ772)),MAX(0,BH773-SUMIF($F$5:F772,F773,$BJ$5:BJ772)))</f>
        <v>0</v>
      </c>
      <c r="BK773" s="57">
        <f ca="1">(-SUMIF(AS:AS,AS773,BG:BG)+SUMIF(AS:AS,AS773,BJ:BJ))*(AP773=100)*AR773</f>
        <v>0</v>
      </c>
      <c r="BL773" s="57">
        <f ca="1">MAX(0,SUMIF(Invoice!A:A,F773,Invoice!B:B)-SUMIF(F:F,F773,BJ:BJ))*(COUNTIF(F:F,F773)=COUNTIF($F$5:F773,F773))</f>
        <v>0</v>
      </c>
    </row>
    <row r="774" spans="1:64" hidden="1">
      <c r="A774" s="43">
        <v>774</v>
      </c>
      <c r="B774" s="13" t="s">
        <v>147</v>
      </c>
      <c r="C774" s="13" t="s">
        <v>146</v>
      </c>
      <c r="D774" s="13">
        <v>2</v>
      </c>
      <c r="E774" s="13">
        <v>2470</v>
      </c>
      <c r="F774" s="71" t="s">
        <v>1787</v>
      </c>
      <c r="G774" s="71" t="s">
        <v>1788</v>
      </c>
      <c r="H774" s="13" t="s">
        <v>1781</v>
      </c>
      <c r="I774" s="13" t="s">
        <v>55</v>
      </c>
      <c r="J774" s="28">
        <v>0</v>
      </c>
      <c r="K774" s="13" t="s">
        <v>150</v>
      </c>
      <c r="L774" s="13" t="s">
        <v>53</v>
      </c>
      <c r="M774" s="13">
        <v>5</v>
      </c>
      <c r="O774" s="13">
        <v>1</v>
      </c>
      <c r="P774" s="13">
        <v>2</v>
      </c>
      <c r="Q774" s="13">
        <v>3</v>
      </c>
      <c r="R774" s="13" t="s">
        <v>73</v>
      </c>
      <c r="S774" s="13" t="s">
        <v>73</v>
      </c>
      <c r="T774" s="13">
        <v>44901</v>
      </c>
      <c r="U774" s="13">
        <v>2958465</v>
      </c>
      <c r="V774" s="13" t="s">
        <v>282</v>
      </c>
      <c r="W774" s="13" t="s">
        <v>145</v>
      </c>
      <c r="Y774" s="13" t="s">
        <v>143</v>
      </c>
      <c r="Z774" s="13">
        <v>7589154</v>
      </c>
      <c r="AA774" s="13">
        <v>1430</v>
      </c>
      <c r="AB774" s="13">
        <v>715</v>
      </c>
      <c r="AE774" s="51">
        <f>M774/O774</f>
        <v>5</v>
      </c>
      <c r="AG774" s="6" t="str">
        <f>C774</f>
        <v>90MB1BJ0-C1BAY0</v>
      </c>
      <c r="AH774" s="6" t="str">
        <f>IF($D774&lt;=AH$4,"",IF(AND($D773=AH$4,$D774&gt;AH$4),$F773,AH773))</f>
        <v>59MB1BJB-MB0A02S</v>
      </c>
      <c r="AI774" s="6" t="str">
        <f>IF($D774&lt;=AI$4,"",IF(AND($D773=AI$4,$D774&gt;AI$4),$F773,AI773))</f>
        <v/>
      </c>
      <c r="AJ774" s="6" t="str">
        <f>IF($D774&lt;=AJ$4,"",IF(AND($D773=AJ$4,$D774&gt;AJ$4),$F773,AJ773))</f>
        <v/>
      </c>
      <c r="AK774" s="6" t="str">
        <f>IF($D774&lt;=AK$4,"",IF(AND($D773=AK$4,$D774&gt;AK$4),$F773,AK773))</f>
        <v/>
      </c>
      <c r="AL774" s="6" t="str">
        <f>IF($D774&lt;=AL$4,"",IF(AND($D773=AL$4,$D774&gt;AL$4),$F773,AL773))</f>
        <v/>
      </c>
      <c r="AM774" s="6" t="str">
        <f>IF($D774&lt;=AM$4,"",IF(AND($D773=AM$4,$D774&gt;AM$4),$F773,AM773))</f>
        <v/>
      </c>
      <c r="AN774" s="6" t="str">
        <f>IF($D774&lt;=AN$4,"",IF(AND($D773=AN$4,$D774&gt;AN$4),$F773,AN773))</f>
        <v/>
      </c>
      <c r="AO774" s="6" t="str">
        <f>CONCATENATE(AG774," | ",AH774," | ",AI774," | ",AJ774," | ",AK774," | ",AL774," | ",AM774," | ",AN774)</f>
        <v xml:space="preserve">90MB1BJ0-C1BAY0 | 59MB1BJB-MB0A02S |  |  |  |  |  | </v>
      </c>
      <c r="AP774" s="6">
        <f>IF(TRIM(H774)="",100,J774)</f>
        <v>0</v>
      </c>
      <c r="AQ774" s="4"/>
      <c r="AR774" s="6" t="b">
        <f>NOT(TRIM(W774)&lt;&gt;"F")</f>
        <v>1</v>
      </c>
      <c r="AS774" s="6" t="str">
        <f>$B774&amp;" | "&amp;$AO774&amp;" | "&amp;IF(TRIM(H774)="","uniq"&amp;ROW(),TRIM(H774))</f>
        <v>461E | 90MB1BJ0-C1BAY0 | 59MB1BJB-MB0A02S |  |  |  |  |  |  | O7</v>
      </c>
      <c r="AT774" s="63">
        <f>IF(NOT(AR774),IF(TRIM($H774)="","Assembly","Phantom Alt"),VLOOKUP(F774,ZPCS04!B:G,6,0))</f>
        <v>768</v>
      </c>
      <c r="AU774" s="7"/>
      <c r="AV774" s="38">
        <f ca="1">IF(TRIM($W774)="F",OFFSET($A$5,MATCH($AS774,$AS$5:$AS774,0)-1,0),$A774)</f>
        <v>771</v>
      </c>
      <c r="AW774" s="38">
        <f ca="1">IFERROR(OFFSET(ZPCS04!$A$1,MATCH(F774,ZPCS04!B:B,0)-1,0),100)</f>
        <v>2</v>
      </c>
      <c r="AX774" s="7"/>
      <c r="AY774" s="6" t="b">
        <f>SUMIF(AS:AS,AS774,AP:AP)=100</f>
        <v>1</v>
      </c>
      <c r="AZ774" s="6" t="b">
        <f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>C774&amp;" | "&amp;F774</f>
        <v>90MB1BJ0-C1BAY0 | 11G233247515370</v>
      </c>
      <c r="BE774" s="55" t="str">
        <f ca="1">C774&amp;" | "&amp;OFFSET($AF774,0,8-COUNTBLANK($AG774:$AN774))</f>
        <v>90MB1BJ0-C1BAY0 | 59MB1BJB-MB0A02S</v>
      </c>
      <c r="BF774" s="57">
        <f ca="1">IFERROR(VLOOKUP($BE774,$BD$5:$BF773,3,0)*$AE774,VLOOKUP($C774,Demanda!$A:$B,2,0)*$AE774)*IF(AT774="Phantom Alt",$BC774,TRUE)</f>
        <v>5000</v>
      </c>
      <c r="BG774" s="57">
        <f ca="1">BF774*(AP774/100)</f>
        <v>0</v>
      </c>
      <c r="BH774" s="57">
        <f>SUMIF(Invoice!A:A,F774,Invoice!B:B)</f>
        <v>0</v>
      </c>
      <c r="BI774" s="57">
        <f ca="1">SUMIF(AS:AS,AS774,BG:BG)</f>
        <v>5000</v>
      </c>
      <c r="BJ774" s="57">
        <f ca="1">MIN((BI774-SUMIF($AS$5:AS773,AS774,$BJ$5:BJ773)),MAX(0,BH774-SUMIF($F$5:F773,F774,$BJ$5:BJ773)))</f>
        <v>0</v>
      </c>
      <c r="BK774" s="57">
        <f ca="1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4" hidden="1">
      <c r="A775" s="43">
        <v>775</v>
      </c>
      <c r="B775" s="13" t="s">
        <v>147</v>
      </c>
      <c r="C775" s="13" t="s">
        <v>146</v>
      </c>
      <c r="D775" s="13">
        <v>2</v>
      </c>
      <c r="E775" s="13">
        <v>2470</v>
      </c>
      <c r="F775" s="71" t="s">
        <v>1789</v>
      </c>
      <c r="G775" s="71" t="s">
        <v>1790</v>
      </c>
      <c r="H775" s="13" t="s">
        <v>1781</v>
      </c>
      <c r="I775" s="13" t="s">
        <v>55</v>
      </c>
      <c r="J775" s="28">
        <v>0</v>
      </c>
      <c r="K775" s="13" t="s">
        <v>1428</v>
      </c>
      <c r="L775" s="13" t="s">
        <v>53</v>
      </c>
      <c r="M775" s="13">
        <v>5</v>
      </c>
      <c r="O775" s="13">
        <v>1</v>
      </c>
      <c r="P775" s="13">
        <v>2</v>
      </c>
      <c r="Q775" s="13">
        <v>2</v>
      </c>
      <c r="R775" s="13" t="s">
        <v>122</v>
      </c>
      <c r="S775" s="13" t="s">
        <v>122</v>
      </c>
      <c r="T775" s="13">
        <v>44901</v>
      </c>
      <c r="U775" s="13">
        <v>2958465</v>
      </c>
      <c r="V775" s="13" t="s">
        <v>282</v>
      </c>
      <c r="W775" s="13" t="s">
        <v>145</v>
      </c>
      <c r="Y775" s="13" t="s">
        <v>143</v>
      </c>
      <c r="Z775" s="13">
        <v>7589154</v>
      </c>
      <c r="AA775" s="13">
        <v>1428</v>
      </c>
      <c r="AB775" s="13">
        <v>714</v>
      </c>
      <c r="AE775" s="51">
        <f>M775/O775</f>
        <v>5</v>
      </c>
      <c r="AG775" s="6" t="str">
        <f>C775</f>
        <v>90MB1BJ0-C1BAY0</v>
      </c>
      <c r="AH775" s="6" t="str">
        <f>IF($D775&lt;=AH$4,"",IF(AND($D774=AH$4,$D775&gt;AH$4),$F774,AH774))</f>
        <v>59MB1BJB-MB0A02S</v>
      </c>
      <c r="AI775" s="6" t="str">
        <f>IF($D775&lt;=AI$4,"",IF(AND($D774=AI$4,$D775&gt;AI$4),$F774,AI774))</f>
        <v/>
      </c>
      <c r="AJ775" s="6" t="str">
        <f>IF($D775&lt;=AJ$4,"",IF(AND($D774=AJ$4,$D775&gt;AJ$4),$F774,AJ774))</f>
        <v/>
      </c>
      <c r="AK775" s="6" t="str">
        <f>IF($D775&lt;=AK$4,"",IF(AND($D774=AK$4,$D775&gt;AK$4),$F774,AK774))</f>
        <v/>
      </c>
      <c r="AL775" s="6" t="str">
        <f>IF($D775&lt;=AL$4,"",IF(AND($D774=AL$4,$D775&gt;AL$4),$F774,AL774))</f>
        <v/>
      </c>
      <c r="AM775" s="6" t="str">
        <f>IF($D775&lt;=AM$4,"",IF(AND($D774=AM$4,$D775&gt;AM$4),$F774,AM774))</f>
        <v/>
      </c>
      <c r="AN775" s="6" t="str">
        <f>IF($D775&lt;=AN$4,"",IF(AND($D774=AN$4,$D775&gt;AN$4),$F774,AN774))</f>
        <v/>
      </c>
      <c r="AO775" s="6" t="str">
        <f>CONCATENATE(AG775," | ",AH775," | ",AI775," | ",AJ775," | ",AK775," | ",AL775," | ",AM775," | ",AN775)</f>
        <v xml:space="preserve">90MB1BJ0-C1BAY0 | 59MB1BJB-MB0A02S |  |  |  |  |  | </v>
      </c>
      <c r="AP775" s="6">
        <f>IF(TRIM(H775)="",100,J775)</f>
        <v>0</v>
      </c>
      <c r="AQ775" s="4"/>
      <c r="AR775" s="6" t="b">
        <f>NOT(TRIM(W775)&lt;&gt;"F")</f>
        <v>1</v>
      </c>
      <c r="AS775" s="6" t="str">
        <f>$B775&amp;" | "&amp;$AO775&amp;" | "&amp;IF(TRIM(H775)="","uniq"&amp;ROW(),TRIM(H775))</f>
        <v>461E | 90MB1BJ0-C1BAY0 | 59MB1BJB-MB0A02S |  |  |  |  |  |  | O7</v>
      </c>
      <c r="AT775" s="63">
        <f>IF(NOT(AR775),IF(TRIM($H775)="","Assembly","Phantom Alt"),VLOOKUP(F775,ZPCS04!B:G,6,0))</f>
        <v>768</v>
      </c>
      <c r="AU775" s="7"/>
      <c r="AV775" s="38">
        <f ca="1">IF(TRIM($W775)="F",OFFSET($A$5,MATCH($AS775,$AS$5:$AS775,0)-1,0),$A775)</f>
        <v>771</v>
      </c>
      <c r="AW775" s="38">
        <f ca="1">IFERROR(OFFSET(ZPCS04!$A$1,MATCH(F775,ZPCS04!B:B,0)-1,0),100)</f>
        <v>2</v>
      </c>
      <c r="AX775" s="7"/>
      <c r="AY775" s="6" t="b">
        <f>SUMIF(AS:AS,AS775,AP:AP)=100</f>
        <v>1</v>
      </c>
      <c r="AZ775" s="6" t="b">
        <f>SUMIF(AS:AS,AS775,AE:AE)/COUNTIF(AS:AS,AS775)=AE775</f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>C775&amp;" | "&amp;F775</f>
        <v>90MB1BJ0-C1BAY0 | 11G233247515390</v>
      </c>
      <c r="BE775" s="55" t="str">
        <f ca="1">C775&amp;" | "&amp;OFFSET($AF775,0,8-COUNTBLANK($AG775:$AN775))</f>
        <v>90MB1BJ0-C1BAY0 | 59MB1BJB-MB0A02S</v>
      </c>
      <c r="BF775" s="57">
        <f ca="1">IFERROR(VLOOKUP($BE775,$BD$5:$BF774,3,0)*$AE775,VLOOKUP($C775,Demanda!$A:$B,2,0)*$AE775)*IF(AT775="Phantom Alt",$BC775,TRUE)</f>
        <v>5000</v>
      </c>
      <c r="BG775" s="57">
        <f ca="1">BF775*(AP775/100)</f>
        <v>0</v>
      </c>
      <c r="BH775" s="57">
        <f>SUMIF(Invoice!A:A,F775,Invoice!B:B)</f>
        <v>0</v>
      </c>
      <c r="BI775" s="57">
        <f ca="1">SUMIF(AS:AS,AS775,BG:BG)</f>
        <v>5000</v>
      </c>
      <c r="BJ775" s="57">
        <f ca="1">MIN((BI775-SUMIF($AS$5:AS774,AS775,$BJ$5:BJ774)),MAX(0,BH775-SUMIF($F$5:F774,F775,$BJ$5:BJ774)))</f>
        <v>0</v>
      </c>
      <c r="BK775" s="57">
        <f ca="1">(-SUMIF(AS:AS,AS775,BG:BG)+SUMIF(AS:AS,AS775,BJ:BJ))*(AP775=100)*AR775</f>
        <v>0</v>
      </c>
      <c r="BL775" s="57">
        <f ca="1">MAX(0,SUMIF(Invoice!A:A,F775,Invoice!B:B)-SUMIF(F:F,F775,BJ:BJ))*(COUNTIF(F:F,F775)=COUNTIF($F$5:F775,F775))</f>
        <v>0</v>
      </c>
    </row>
    <row r="776" spans="1:64" hidden="1">
      <c r="A776" s="43">
        <v>777</v>
      </c>
      <c r="B776" s="13" t="s">
        <v>147</v>
      </c>
      <c r="C776" s="13" t="s">
        <v>146</v>
      </c>
      <c r="D776" s="13">
        <v>2</v>
      </c>
      <c r="E776" s="13">
        <v>2480</v>
      </c>
      <c r="F776" s="71" t="s">
        <v>1794</v>
      </c>
      <c r="G776" s="71" t="s">
        <v>1792</v>
      </c>
      <c r="H776" s="13" t="s">
        <v>1793</v>
      </c>
      <c r="I776" s="13" t="s">
        <v>54</v>
      </c>
      <c r="J776" s="28">
        <v>100</v>
      </c>
      <c r="K776" s="13" t="s">
        <v>1428</v>
      </c>
      <c r="L776" s="13" t="s">
        <v>53</v>
      </c>
      <c r="M776" s="13">
        <v>27</v>
      </c>
      <c r="N776" s="13">
        <v>27</v>
      </c>
      <c r="O776" s="13">
        <v>1</v>
      </c>
      <c r="P776" s="13">
        <v>2</v>
      </c>
      <c r="Q776" s="13">
        <v>1</v>
      </c>
      <c r="R776" s="13" t="s">
        <v>122</v>
      </c>
      <c r="S776" s="13" t="s">
        <v>122</v>
      </c>
      <c r="T776" s="13">
        <v>44901</v>
      </c>
      <c r="U776" s="13">
        <v>2958465</v>
      </c>
      <c r="V776" s="13" t="s">
        <v>282</v>
      </c>
      <c r="W776" s="13" t="s">
        <v>145</v>
      </c>
      <c r="Y776" s="13" t="s">
        <v>143</v>
      </c>
      <c r="Z776" s="13">
        <v>7589154</v>
      </c>
      <c r="AA776" s="13">
        <v>1440</v>
      </c>
      <c r="AB776" s="13">
        <v>720</v>
      </c>
      <c r="AE776" s="51">
        <f>M776/O776</f>
        <v>27</v>
      </c>
      <c r="AG776" s="6" t="str">
        <f>C776</f>
        <v>90MB1BJ0-C1BAY0</v>
      </c>
      <c r="AH776" s="6" t="str">
        <f>IF($D776&lt;=AH$4,"",IF(AND($D775=AH$4,$D776&gt;AH$4),$F775,AH775))</f>
        <v>59MB1BJB-MB0A02S</v>
      </c>
      <c r="AI776" s="6" t="str">
        <f>IF($D776&lt;=AI$4,"",IF(AND($D775=AI$4,$D776&gt;AI$4),$F775,AI775))</f>
        <v/>
      </c>
      <c r="AJ776" s="6" t="str">
        <f>IF($D776&lt;=AJ$4,"",IF(AND($D775=AJ$4,$D776&gt;AJ$4),$F775,AJ775))</f>
        <v/>
      </c>
      <c r="AK776" s="6" t="str">
        <f>IF($D776&lt;=AK$4,"",IF(AND($D775=AK$4,$D776&gt;AK$4),$F775,AK775))</f>
        <v/>
      </c>
      <c r="AL776" s="6" t="str">
        <f>IF($D776&lt;=AL$4,"",IF(AND($D775=AL$4,$D776&gt;AL$4),$F775,AL775))</f>
        <v/>
      </c>
      <c r="AM776" s="6" t="str">
        <f>IF($D776&lt;=AM$4,"",IF(AND($D775=AM$4,$D776&gt;AM$4),$F775,AM775))</f>
        <v/>
      </c>
      <c r="AN776" s="6" t="str">
        <f>IF($D776&lt;=AN$4,"",IF(AND($D775=AN$4,$D776&gt;AN$4),$F775,AN775))</f>
        <v/>
      </c>
      <c r="AO776" s="6" t="str">
        <f>CONCATENATE(AG776," | ",AH776," | ",AI776," | ",AJ776," | ",AK776," | ",AL776," | ",AM776," | ",AN776)</f>
        <v xml:space="preserve">90MB1BJ0-C1BAY0 | 59MB1BJB-MB0A02S |  |  |  |  |  | </v>
      </c>
      <c r="AP776" s="6">
        <f>IF(TRIM(H776)="",100,J776)</f>
        <v>100</v>
      </c>
      <c r="AQ776" s="4"/>
      <c r="AR776" s="6" t="b">
        <f>NOT(TRIM(W776)&lt;&gt;"F")</f>
        <v>1</v>
      </c>
      <c r="AS776" s="6" t="str">
        <f>$B776&amp;" | "&amp;$AO776&amp;" | "&amp;IF(TRIM(H776)="","uniq"&amp;ROW(),TRIM(H776))</f>
        <v>461E | 90MB1BJ0-C1BAY0 | 59MB1BJB-MB0A02S |  |  |  |  |  |  | O8</v>
      </c>
      <c r="AT776" s="63">
        <f>IF(NOT(AR776),IF(TRIM($H776)="","Assembly","Phantom Alt"),VLOOKUP(F776,ZPCS04!B:G,6,0))</f>
        <v>769</v>
      </c>
      <c r="AU776" s="7"/>
      <c r="AV776" s="38">
        <f ca="1">IF(TRIM($W776)="F",OFFSET($A$5,MATCH($AS776,$AS$5:$AS776,0)-1,0),$A776)</f>
        <v>777</v>
      </c>
      <c r="AW776" s="38">
        <f ca="1">IFERROR(OFFSET(ZPCS04!$A$1,MATCH(F776,ZPCS04!B:B,0)-1,0),100)</f>
        <v>1.9999997299999999</v>
      </c>
      <c r="AX776" s="7"/>
      <c r="AY776" s="6" t="b">
        <f>SUMIF(AS:AS,AS776,AP:AP)=100</f>
        <v>1</v>
      </c>
      <c r="AZ776" s="6" t="b">
        <f>SUMIF(AS:AS,AS776,AE:AE)/COUNTIF(AS:AS,AS776)=AE776</f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>C776&amp;" | "&amp;F776</f>
        <v>90MB1BJ0-C1BAY0 | 11G235210611320</v>
      </c>
      <c r="BE776" s="55" t="str">
        <f ca="1">C776&amp;" | "&amp;OFFSET($AF776,0,8-COUNTBLANK($AG776:$AN776))</f>
        <v>90MB1BJ0-C1BAY0 | 59MB1BJB-MB0A02S</v>
      </c>
      <c r="BF776" s="57">
        <f ca="1">IFERROR(VLOOKUP($BE776,$BD$5:$BF775,3,0)*$AE776,VLOOKUP($C776,Demanda!$A:$B,2,0)*$AE776)*IF(AT776="Phantom Alt",$BC776,TRUE)</f>
        <v>27000</v>
      </c>
      <c r="BG776" s="57">
        <f ca="1">BF776*(AP776/100)</f>
        <v>27000</v>
      </c>
      <c r="BH776" s="57">
        <f>SUMIF(Invoice!A:A,F776,Invoice!B:B)</f>
        <v>27000</v>
      </c>
      <c r="BI776" s="57">
        <f ca="1">SUMIF(AS:AS,AS776,BG:BG)</f>
        <v>27000</v>
      </c>
      <c r="BJ776" s="57">
        <f ca="1">MIN((BI776-SUMIF($AS$5:AS775,AS776,$BJ$5:BJ775)),MAX(0,BH776-SUMIF($F$5:F775,F776,$BJ$5:BJ775)))</f>
        <v>27000</v>
      </c>
      <c r="BK776" s="57">
        <f ca="1">(-SUMIF(AS:AS,AS776,BG:BG)+SUMIF(AS:AS,AS776,BJ:BJ))*(AP776=100)*AR776</f>
        <v>0</v>
      </c>
      <c r="BL776" s="57">
        <f ca="1">MAX(0,SUMIF(Invoice!A:A,F776,Invoice!B:B)-SUMIF(F:F,F776,BJ:BJ))*(COUNTIF(F:F,F776)=COUNTIF($F$5:F776,F776))</f>
        <v>0</v>
      </c>
    </row>
    <row r="777" spans="1:64" hidden="1">
      <c r="A777" s="43">
        <v>776</v>
      </c>
      <c r="B777" s="13" t="s">
        <v>147</v>
      </c>
      <c r="C777" s="13" t="s">
        <v>146</v>
      </c>
      <c r="D777" s="13">
        <v>2</v>
      </c>
      <c r="E777" s="13">
        <v>2480</v>
      </c>
      <c r="F777" s="71" t="s">
        <v>1791</v>
      </c>
      <c r="G777" s="71" t="s">
        <v>1792</v>
      </c>
      <c r="H777" s="13" t="s">
        <v>1793</v>
      </c>
      <c r="I777" s="13" t="s">
        <v>55</v>
      </c>
      <c r="J777" s="28">
        <v>0</v>
      </c>
      <c r="K777" s="13" t="s">
        <v>150</v>
      </c>
      <c r="L777" s="13" t="s">
        <v>53</v>
      </c>
      <c r="M777" s="13">
        <v>27</v>
      </c>
      <c r="O777" s="13">
        <v>1</v>
      </c>
      <c r="P777" s="13">
        <v>2</v>
      </c>
      <c r="Q777" s="13">
        <v>3</v>
      </c>
      <c r="R777" s="13" t="s">
        <v>73</v>
      </c>
      <c r="S777" s="13" t="s">
        <v>73</v>
      </c>
      <c r="T777" s="13">
        <v>44901</v>
      </c>
      <c r="U777" s="13">
        <v>2958465</v>
      </c>
      <c r="V777" s="13" t="s">
        <v>282</v>
      </c>
      <c r="W777" s="13" t="s">
        <v>145</v>
      </c>
      <c r="Y777" s="13" t="s">
        <v>143</v>
      </c>
      <c r="Z777" s="13">
        <v>7589154</v>
      </c>
      <c r="AA777" s="13">
        <v>1444</v>
      </c>
      <c r="AB777" s="13">
        <v>722</v>
      </c>
      <c r="AE777" s="51">
        <f>M777/O777</f>
        <v>27</v>
      </c>
      <c r="AG777" s="6" t="str">
        <f>C777</f>
        <v>90MB1BJ0-C1BAY0</v>
      </c>
      <c r="AH777" s="6" t="str">
        <f>IF($D777&lt;=AH$4,"",IF(AND($D776=AH$4,$D777&gt;AH$4),$F776,AH776))</f>
        <v>59MB1BJB-MB0A02S</v>
      </c>
      <c r="AI777" s="6" t="str">
        <f>IF($D777&lt;=AI$4,"",IF(AND($D776=AI$4,$D777&gt;AI$4),$F776,AI776))</f>
        <v/>
      </c>
      <c r="AJ777" s="6" t="str">
        <f>IF($D777&lt;=AJ$4,"",IF(AND($D776=AJ$4,$D777&gt;AJ$4),$F776,AJ776))</f>
        <v/>
      </c>
      <c r="AK777" s="6" t="str">
        <f>IF($D777&lt;=AK$4,"",IF(AND($D776=AK$4,$D777&gt;AK$4),$F776,AK776))</f>
        <v/>
      </c>
      <c r="AL777" s="6" t="str">
        <f>IF($D777&lt;=AL$4,"",IF(AND($D776=AL$4,$D777&gt;AL$4),$F776,AL776))</f>
        <v/>
      </c>
      <c r="AM777" s="6" t="str">
        <f>IF($D777&lt;=AM$4,"",IF(AND($D776=AM$4,$D777&gt;AM$4),$F776,AM776))</f>
        <v/>
      </c>
      <c r="AN777" s="6" t="str">
        <f>IF($D777&lt;=AN$4,"",IF(AND($D776=AN$4,$D777&gt;AN$4),$F776,AN776))</f>
        <v/>
      </c>
      <c r="AO777" s="6" t="str">
        <f>CONCATENATE(AG777," | ",AH777," | ",AI777," | ",AJ777," | ",AK777," | ",AL777," | ",AM777," | ",AN777)</f>
        <v xml:space="preserve">90MB1BJ0-C1BAY0 | 59MB1BJB-MB0A02S |  |  |  |  |  | </v>
      </c>
      <c r="AP777" s="6">
        <f>IF(TRIM(H777)="",100,J777)</f>
        <v>0</v>
      </c>
      <c r="AQ777" s="4"/>
      <c r="AR777" s="6" t="b">
        <f>NOT(TRIM(W777)&lt;&gt;"F")</f>
        <v>1</v>
      </c>
      <c r="AS777" s="6" t="str">
        <f>$B777&amp;" | "&amp;$AO777&amp;" | "&amp;IF(TRIM(H777)="","uniq"&amp;ROW(),TRIM(H777))</f>
        <v>461E | 90MB1BJ0-C1BAY0 | 59MB1BJB-MB0A02S |  |  |  |  |  |  | O8</v>
      </c>
      <c r="AT777" s="63">
        <f>IF(NOT(AR777),IF(TRIM($H777)="","Assembly","Phantom Alt"),VLOOKUP(F777,ZPCS04!B:G,6,0))</f>
        <v>769</v>
      </c>
      <c r="AU777" s="7"/>
      <c r="AV777" s="38">
        <f ca="1">IF(TRIM($W777)="F",OFFSET($A$5,MATCH($AS777,$AS$5:$AS777,0)-1,0),$A777)</f>
        <v>777</v>
      </c>
      <c r="AW777" s="38">
        <f ca="1">IFERROR(OFFSET(ZPCS04!$A$1,MATCH(F777,ZPCS04!B:B,0)-1,0),100)</f>
        <v>2</v>
      </c>
      <c r="AX777" s="7"/>
      <c r="AY777" s="6" t="b">
        <f>SUMIF(AS:AS,AS777,AP:AP)=100</f>
        <v>1</v>
      </c>
      <c r="AZ777" s="6" t="b">
        <f>SUMIF(AS:AS,AS777,AE:AE)/COUNTIF(AS:AS,AS777)=AE777</f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>C777&amp;" | "&amp;F777</f>
        <v>90MB1BJ0-C1BAY0 | 11G235210611150</v>
      </c>
      <c r="BE777" s="55" t="str">
        <f ca="1">C777&amp;" | "&amp;OFFSET($AF777,0,8-COUNTBLANK($AG777:$AN777))</f>
        <v>90MB1BJ0-C1BAY0 | 59MB1BJB-MB0A02S</v>
      </c>
      <c r="BF777" s="57">
        <f ca="1">IFERROR(VLOOKUP($BE777,$BD$5:$BF776,3,0)*$AE777,VLOOKUP($C777,Demanda!$A:$B,2,0)*$AE777)*IF(AT777="Phantom Alt",$BC777,TRUE)</f>
        <v>27000</v>
      </c>
      <c r="BG777" s="57">
        <f ca="1">BF777*(AP777/100)</f>
        <v>0</v>
      </c>
      <c r="BH777" s="57">
        <f>SUMIF(Invoice!A:A,F777,Invoice!B:B)</f>
        <v>0</v>
      </c>
      <c r="BI777" s="57">
        <f ca="1">SUMIF(AS:AS,AS777,BG:BG)</f>
        <v>27000</v>
      </c>
      <c r="BJ777" s="57">
        <f ca="1">MIN((BI777-SUMIF($AS$5:AS776,AS777,$BJ$5:BJ776)),MAX(0,BH777-SUMIF($F$5:F776,F777,$BJ$5:BJ776)))</f>
        <v>0</v>
      </c>
      <c r="BK777" s="57">
        <f ca="1">(-SUMIF(AS:AS,AS777,BG:BG)+SUMIF(AS:AS,AS777,BJ:BJ))*(AP777=100)*AR777</f>
        <v>0</v>
      </c>
      <c r="BL777" s="57">
        <f ca="1">MAX(0,SUMIF(Invoice!A:A,F777,Invoice!B:B)-SUMIF(F:F,F777,BJ:BJ))*(COUNTIF(F:F,F777)=COUNTIF($F$5:F777,F777))</f>
        <v>0</v>
      </c>
    </row>
    <row r="778" spans="1:64" hidden="1">
      <c r="A778" s="43">
        <v>778</v>
      </c>
      <c r="B778" s="13" t="s">
        <v>147</v>
      </c>
      <c r="C778" s="13" t="s">
        <v>146</v>
      </c>
      <c r="D778" s="13">
        <v>2</v>
      </c>
      <c r="E778" s="13">
        <v>2480</v>
      </c>
      <c r="F778" s="71" t="s">
        <v>1795</v>
      </c>
      <c r="G778" s="71" t="s">
        <v>1796</v>
      </c>
      <c r="H778" s="13" t="s">
        <v>1793</v>
      </c>
      <c r="I778" s="13" t="s">
        <v>55</v>
      </c>
      <c r="J778" s="28">
        <v>0</v>
      </c>
      <c r="K778" s="13" t="s">
        <v>1428</v>
      </c>
      <c r="L778" s="13" t="s">
        <v>53</v>
      </c>
      <c r="M778" s="13">
        <v>27</v>
      </c>
      <c r="O778" s="13">
        <v>1</v>
      </c>
      <c r="P778" s="13">
        <v>2</v>
      </c>
      <c r="Q778" s="13">
        <v>2</v>
      </c>
      <c r="R778" s="13" t="s">
        <v>122</v>
      </c>
      <c r="S778" s="13" t="s">
        <v>122</v>
      </c>
      <c r="T778" s="13">
        <v>44901</v>
      </c>
      <c r="U778" s="13">
        <v>2958465</v>
      </c>
      <c r="V778" s="13" t="s">
        <v>282</v>
      </c>
      <c r="W778" s="13" t="s">
        <v>145</v>
      </c>
      <c r="Y778" s="13" t="s">
        <v>143</v>
      </c>
      <c r="Z778" s="13">
        <v>7589154</v>
      </c>
      <c r="AA778" s="13">
        <v>1442</v>
      </c>
      <c r="AB778" s="13">
        <v>721</v>
      </c>
      <c r="AE778" s="51">
        <f>M778/O778</f>
        <v>27</v>
      </c>
      <c r="AG778" s="6" t="str">
        <f>C778</f>
        <v>90MB1BJ0-C1BAY0</v>
      </c>
      <c r="AH778" s="6" t="str">
        <f>IF($D778&lt;=AH$4,"",IF(AND($D777=AH$4,$D778&gt;AH$4),$F777,AH777))</f>
        <v>59MB1BJB-MB0A02S</v>
      </c>
      <c r="AI778" s="6" t="str">
        <f>IF($D778&lt;=AI$4,"",IF(AND($D777=AI$4,$D778&gt;AI$4),$F777,AI777))</f>
        <v/>
      </c>
      <c r="AJ778" s="6" t="str">
        <f>IF($D778&lt;=AJ$4,"",IF(AND($D777=AJ$4,$D778&gt;AJ$4),$F777,AJ777))</f>
        <v/>
      </c>
      <c r="AK778" s="6" t="str">
        <f>IF($D778&lt;=AK$4,"",IF(AND($D777=AK$4,$D778&gt;AK$4),$F777,AK777))</f>
        <v/>
      </c>
      <c r="AL778" s="6" t="str">
        <f>IF($D778&lt;=AL$4,"",IF(AND($D777=AL$4,$D778&gt;AL$4),$F777,AL777))</f>
        <v/>
      </c>
      <c r="AM778" s="6" t="str">
        <f>IF($D778&lt;=AM$4,"",IF(AND($D777=AM$4,$D778&gt;AM$4),$F777,AM777))</f>
        <v/>
      </c>
      <c r="AN778" s="6" t="str">
        <f>IF($D778&lt;=AN$4,"",IF(AND($D777=AN$4,$D778&gt;AN$4),$F777,AN777))</f>
        <v/>
      </c>
      <c r="AO778" s="6" t="str">
        <f>CONCATENATE(AG778," | ",AH778," | ",AI778," | ",AJ778," | ",AK778," | ",AL778," | ",AM778," | ",AN778)</f>
        <v xml:space="preserve">90MB1BJ0-C1BAY0 | 59MB1BJB-MB0A02S |  |  |  |  |  | </v>
      </c>
      <c r="AP778" s="6">
        <f>IF(TRIM(H778)="",100,J778)</f>
        <v>0</v>
      </c>
      <c r="AQ778" s="4"/>
      <c r="AR778" s="6" t="b">
        <f>NOT(TRIM(W778)&lt;&gt;"F")</f>
        <v>1</v>
      </c>
      <c r="AS778" s="6" t="str">
        <f>$B778&amp;" | "&amp;$AO778&amp;" | "&amp;IF(TRIM(H778)="","uniq"&amp;ROW(),TRIM(H778))</f>
        <v>461E | 90MB1BJ0-C1BAY0 | 59MB1BJB-MB0A02S |  |  |  |  |  |  | O8</v>
      </c>
      <c r="AT778" s="63">
        <f>IF(NOT(AR778),IF(TRIM($H778)="","Assembly","Phantom Alt"),VLOOKUP(F778,ZPCS04!B:G,6,0))</f>
        <v>769</v>
      </c>
      <c r="AU778" s="7"/>
      <c r="AV778" s="38">
        <f ca="1">IF(TRIM($W778)="F",OFFSET($A$5,MATCH($AS778,$AS$5:$AS778,0)-1,0),$A778)</f>
        <v>777</v>
      </c>
      <c r="AW778" s="38">
        <f ca="1">IFERROR(OFFSET(ZPCS04!$A$1,MATCH(F778,ZPCS04!B:B,0)-1,0),100)</f>
        <v>2</v>
      </c>
      <c r="AX778" s="7"/>
      <c r="AY778" s="6" t="b">
        <f>SUMIF(AS:AS,AS778,AP:AP)=100</f>
        <v>1</v>
      </c>
      <c r="AZ778" s="6" t="b">
        <f>SUMIF(AS:AS,AS778,AE:AE)/COUNTIF(AS:AS,AS778)=AE778</f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>C778&amp;" | "&amp;F778</f>
        <v>90MB1BJ0-C1BAY0 | 11G235210611360</v>
      </c>
      <c r="BE778" s="55" t="str">
        <f ca="1">C778&amp;" | "&amp;OFFSET($AF778,0,8-COUNTBLANK($AG778:$AN778))</f>
        <v>90MB1BJ0-C1BAY0 | 59MB1BJB-MB0A02S</v>
      </c>
      <c r="BF778" s="57">
        <f ca="1">IFERROR(VLOOKUP($BE778,$BD$5:$BF777,3,0)*$AE778,VLOOKUP($C778,Demanda!$A:$B,2,0)*$AE778)*IF(AT778="Phantom Alt",$BC778,TRUE)</f>
        <v>27000</v>
      </c>
      <c r="BG778" s="57">
        <f ca="1">BF778*(AP778/100)</f>
        <v>0</v>
      </c>
      <c r="BH778" s="57">
        <f>SUMIF(Invoice!A:A,F778,Invoice!B:B)</f>
        <v>0</v>
      </c>
      <c r="BI778" s="57">
        <f ca="1">SUMIF(AS:AS,AS778,BG:BG)</f>
        <v>27000</v>
      </c>
      <c r="BJ778" s="57">
        <f ca="1">MIN((BI778-SUMIF($AS$5:AS777,AS778,$BJ$5:BJ777)),MAX(0,BH778-SUMIF($F$5:F777,F778,$BJ$5:BJ777)))</f>
        <v>0</v>
      </c>
      <c r="BK778" s="57">
        <f ca="1">(-SUMIF(AS:AS,AS778,BG:BG)+SUMIF(AS:AS,AS778,BJ:BJ))*(AP778=100)*AR778</f>
        <v>0</v>
      </c>
      <c r="BL778" s="57">
        <f ca="1">MAX(0,SUMIF(Invoice!A:A,F778,Invoice!B:B)-SUMIF(F:F,F778,BJ:BJ))*(COUNTIF(F:F,F778)=COUNTIF($F$5:F778,F778))</f>
        <v>0</v>
      </c>
    </row>
    <row r="779" spans="1:64" hidden="1">
      <c r="A779" s="43">
        <v>779</v>
      </c>
      <c r="B779" s="13" t="s">
        <v>147</v>
      </c>
      <c r="C779" s="13" t="s">
        <v>146</v>
      </c>
      <c r="D779" s="13">
        <v>2</v>
      </c>
      <c r="E779" s="13">
        <v>2490</v>
      </c>
      <c r="F779" s="71" t="s">
        <v>1797</v>
      </c>
      <c r="G779" s="71" t="s">
        <v>1798</v>
      </c>
      <c r="H779" s="13" t="s">
        <v>1799</v>
      </c>
      <c r="I779" s="13" t="s">
        <v>55</v>
      </c>
      <c r="J779" s="28">
        <v>0</v>
      </c>
      <c r="K779" s="13" t="s">
        <v>1428</v>
      </c>
      <c r="L779" s="13" t="s">
        <v>53</v>
      </c>
      <c r="M779" s="13">
        <v>9</v>
      </c>
      <c r="O779" s="13">
        <v>1</v>
      </c>
      <c r="P779" s="13">
        <v>2</v>
      </c>
      <c r="Q779" s="13">
        <v>2</v>
      </c>
      <c r="R779" s="13" t="s">
        <v>122</v>
      </c>
      <c r="S779" s="13" t="s">
        <v>122</v>
      </c>
      <c r="T779" s="13">
        <v>44901</v>
      </c>
      <c r="U779" s="13">
        <v>2958465</v>
      </c>
      <c r="V779" s="13" t="s">
        <v>282</v>
      </c>
      <c r="W779" s="13" t="s">
        <v>145</v>
      </c>
      <c r="Y779" s="13" t="s">
        <v>143</v>
      </c>
      <c r="Z779" s="13">
        <v>7589154</v>
      </c>
      <c r="AA779" s="13">
        <v>1448</v>
      </c>
      <c r="AB779" s="13">
        <v>724</v>
      </c>
      <c r="AE779" s="51">
        <f>M779/O779</f>
        <v>9</v>
      </c>
      <c r="AG779" s="6" t="str">
        <f>C779</f>
        <v>90MB1BJ0-C1BAY0</v>
      </c>
      <c r="AH779" s="6" t="str">
        <f>IF($D779&lt;=AH$4,"",IF(AND($D778=AH$4,$D779&gt;AH$4),$F778,AH778))</f>
        <v>59MB1BJB-MB0A02S</v>
      </c>
      <c r="AI779" s="6" t="str">
        <f>IF($D779&lt;=AI$4,"",IF(AND($D778=AI$4,$D779&gt;AI$4),$F778,AI778))</f>
        <v/>
      </c>
      <c r="AJ779" s="6" t="str">
        <f>IF($D779&lt;=AJ$4,"",IF(AND($D778=AJ$4,$D779&gt;AJ$4),$F778,AJ778))</f>
        <v/>
      </c>
      <c r="AK779" s="6" t="str">
        <f>IF($D779&lt;=AK$4,"",IF(AND($D778=AK$4,$D779&gt;AK$4),$F778,AK778))</f>
        <v/>
      </c>
      <c r="AL779" s="6" t="str">
        <f>IF($D779&lt;=AL$4,"",IF(AND($D778=AL$4,$D779&gt;AL$4),$F778,AL778))</f>
        <v/>
      </c>
      <c r="AM779" s="6" t="str">
        <f>IF($D779&lt;=AM$4,"",IF(AND($D778=AM$4,$D779&gt;AM$4),$F778,AM778))</f>
        <v/>
      </c>
      <c r="AN779" s="6" t="str">
        <f>IF($D779&lt;=AN$4,"",IF(AND($D778=AN$4,$D779&gt;AN$4),$F778,AN778))</f>
        <v/>
      </c>
      <c r="AO779" s="6" t="str">
        <f>CONCATENATE(AG779," | ",AH779," | ",AI779," | ",AJ779," | ",AK779," | ",AL779," | ",AM779," | ",AN779)</f>
        <v xml:space="preserve">90MB1BJ0-C1BAY0 | 59MB1BJB-MB0A02S |  |  |  |  |  | </v>
      </c>
      <c r="AP779" s="6">
        <f>IF(TRIM(H779)="",100,J779)</f>
        <v>0</v>
      </c>
      <c r="AQ779" s="4"/>
      <c r="AR779" s="6" t="b">
        <f>NOT(TRIM(W779)&lt;&gt;"F")</f>
        <v>1</v>
      </c>
      <c r="AS779" s="6" t="str">
        <f>$B779&amp;" | "&amp;$AO779&amp;" | "&amp;IF(TRIM(H779)="","uniq"&amp;ROW(),TRIM(H779))</f>
        <v>461E | 90MB1BJ0-C1BAY0 | 59MB1BJB-MB0A02S |  |  |  |  |  |  | O9</v>
      </c>
      <c r="AT779" s="63">
        <f>IF(NOT(AR779),IF(TRIM($H779)="","Assembly","Phantom Alt"),VLOOKUP(F779,ZPCS04!B:G,6,0))</f>
        <v>770</v>
      </c>
      <c r="AU779" s="7"/>
      <c r="AV779" s="38">
        <f ca="1">IF(TRIM($W779)="F",OFFSET($A$5,MATCH($AS779,$AS$5:$AS779,0)-1,0),$A779)</f>
        <v>779</v>
      </c>
      <c r="AW779" s="38">
        <f ca="1">IFERROR(OFFSET(ZPCS04!$A$1,MATCH(F779,ZPCS04!B:B,0)-1,0),100)</f>
        <v>1.9999999000000002</v>
      </c>
      <c r="AX779" s="7"/>
      <c r="AY779" s="6" t="b">
        <f>SUMIF(AS:AS,AS779,AP:AP)=100</f>
        <v>1</v>
      </c>
      <c r="AZ779" s="6" t="b">
        <f>SUMIF(AS:AS,AS779,AE:AE)/COUNTIF(AS:AS,AS779)=AE779</f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>C779&amp;" | "&amp;F779</f>
        <v>90MB1BJ0-C1BAY0 | 11G235210615150</v>
      </c>
      <c r="BE779" s="55" t="str">
        <f ca="1">C779&amp;" | "&amp;OFFSET($AF779,0,8-COUNTBLANK($AG779:$AN779))</f>
        <v>90MB1BJ0-C1BAY0 | 59MB1BJB-MB0A02S</v>
      </c>
      <c r="BF779" s="57">
        <f ca="1">IFERROR(VLOOKUP($BE779,$BD$5:$BF778,3,0)*$AE779,VLOOKUP($C779,Demanda!$A:$B,2,0)*$AE779)*IF(AT779="Phantom Alt",$BC779,TRUE)</f>
        <v>9000</v>
      </c>
      <c r="BG779" s="57">
        <f ca="1">BF779*(AP779/100)</f>
        <v>0</v>
      </c>
      <c r="BH779" s="57">
        <f>SUMIF(Invoice!A:A,F779,Invoice!B:B)</f>
        <v>10000</v>
      </c>
      <c r="BI779" s="57">
        <f ca="1">SUMIF(AS:AS,AS779,BG:BG)</f>
        <v>9000</v>
      </c>
      <c r="BJ779" s="57">
        <f ca="1">MIN((BI779-SUMIF($AS$5:AS778,AS779,$BJ$5:BJ778)),MAX(0,BH779-SUMIF($F$5:F778,F779,$BJ$5:BJ778)))</f>
        <v>9000</v>
      </c>
      <c r="BK779" s="57">
        <f ca="1">(-SUMIF(AS:AS,AS779,BG:BG)+SUMIF(AS:AS,AS779,BJ:BJ))*(AP779=100)*AR779</f>
        <v>0</v>
      </c>
      <c r="BL779" s="57">
        <f ca="1">MAX(0,SUMIF(Invoice!A:A,F779,Invoice!B:B)-SUMIF(F:F,F779,BJ:BJ))*(COUNTIF(F:F,F779)=COUNTIF($F$5:F779,F779))</f>
        <v>1000</v>
      </c>
    </row>
    <row r="780" spans="1:64" hidden="1">
      <c r="A780" s="43">
        <v>780</v>
      </c>
      <c r="B780" s="13" t="s">
        <v>147</v>
      </c>
      <c r="C780" s="13" t="s">
        <v>146</v>
      </c>
      <c r="D780" s="13">
        <v>2</v>
      </c>
      <c r="E780" s="13">
        <v>2490</v>
      </c>
      <c r="F780" s="71" t="s">
        <v>1800</v>
      </c>
      <c r="G780" s="71" t="s">
        <v>1801</v>
      </c>
      <c r="H780" s="13" t="s">
        <v>1799</v>
      </c>
      <c r="I780" s="13" t="s">
        <v>55</v>
      </c>
      <c r="J780" s="28">
        <v>0</v>
      </c>
      <c r="K780" s="13" t="s">
        <v>1428</v>
      </c>
      <c r="L780" s="13" t="s">
        <v>53</v>
      </c>
      <c r="M780" s="13">
        <v>9</v>
      </c>
      <c r="O780" s="13">
        <v>1</v>
      </c>
      <c r="P780" s="13">
        <v>2</v>
      </c>
      <c r="Q780" s="13">
        <v>3</v>
      </c>
      <c r="R780" s="13" t="s">
        <v>122</v>
      </c>
      <c r="S780" s="13" t="s">
        <v>122</v>
      </c>
      <c r="T780" s="13">
        <v>44901</v>
      </c>
      <c r="U780" s="13">
        <v>2958465</v>
      </c>
      <c r="V780" s="13" t="s">
        <v>282</v>
      </c>
      <c r="W780" s="13" t="s">
        <v>145</v>
      </c>
      <c r="Y780" s="13" t="s">
        <v>143</v>
      </c>
      <c r="Z780" s="13">
        <v>7589154</v>
      </c>
      <c r="AA780" s="13">
        <v>1450</v>
      </c>
      <c r="AB780" s="13">
        <v>725</v>
      </c>
      <c r="AE780" s="51">
        <f>M780/O780</f>
        <v>9</v>
      </c>
      <c r="AG780" s="6" t="str">
        <f>C780</f>
        <v>90MB1BJ0-C1BAY0</v>
      </c>
      <c r="AH780" s="6" t="str">
        <f>IF($D780&lt;=AH$4,"",IF(AND($D779=AH$4,$D780&gt;AH$4),$F779,AH779))</f>
        <v>59MB1BJB-MB0A02S</v>
      </c>
      <c r="AI780" s="6" t="str">
        <f>IF($D780&lt;=AI$4,"",IF(AND($D779=AI$4,$D780&gt;AI$4),$F779,AI779))</f>
        <v/>
      </c>
      <c r="AJ780" s="6" t="str">
        <f>IF($D780&lt;=AJ$4,"",IF(AND($D779=AJ$4,$D780&gt;AJ$4),$F779,AJ779))</f>
        <v/>
      </c>
      <c r="AK780" s="6" t="str">
        <f>IF($D780&lt;=AK$4,"",IF(AND($D779=AK$4,$D780&gt;AK$4),$F779,AK779))</f>
        <v/>
      </c>
      <c r="AL780" s="6" t="str">
        <f>IF($D780&lt;=AL$4,"",IF(AND($D779=AL$4,$D780&gt;AL$4),$F779,AL779))</f>
        <v/>
      </c>
      <c r="AM780" s="6" t="str">
        <f>IF($D780&lt;=AM$4,"",IF(AND($D779=AM$4,$D780&gt;AM$4),$F779,AM779))</f>
        <v/>
      </c>
      <c r="AN780" s="6" t="str">
        <f>IF($D780&lt;=AN$4,"",IF(AND($D779=AN$4,$D780&gt;AN$4),$F779,AN779))</f>
        <v/>
      </c>
      <c r="AO780" s="6" t="str">
        <f>CONCATENATE(AG780," | ",AH780," | ",AI780," | ",AJ780," | ",AK780," | ",AL780," | ",AM780," | ",AN780)</f>
        <v xml:space="preserve">90MB1BJ0-C1BAY0 | 59MB1BJB-MB0A02S |  |  |  |  |  | </v>
      </c>
      <c r="AP780" s="6">
        <f>IF(TRIM(H780)="",100,J780)</f>
        <v>0</v>
      </c>
      <c r="AQ780" s="4"/>
      <c r="AR780" s="6" t="b">
        <f>NOT(TRIM(W780)&lt;&gt;"F")</f>
        <v>1</v>
      </c>
      <c r="AS780" s="6" t="str">
        <f>$B780&amp;" | "&amp;$AO780&amp;" | "&amp;IF(TRIM(H780)="","uniq"&amp;ROW(),TRIM(H780))</f>
        <v>461E | 90MB1BJ0-C1BAY0 | 59MB1BJB-MB0A02S |  |  |  |  |  |  | O9</v>
      </c>
      <c r="AT780" s="63">
        <f>IF(NOT(AR780),IF(TRIM($H780)="","Assembly","Phantom Alt"),VLOOKUP(F780,ZPCS04!B:G,6,0))</f>
        <v>770</v>
      </c>
      <c r="AU780" s="7"/>
      <c r="AV780" s="38">
        <f ca="1">IF(TRIM($W780)="F",OFFSET($A$5,MATCH($AS780,$AS$5:$AS780,0)-1,0),$A780)</f>
        <v>779</v>
      </c>
      <c r="AW780" s="38">
        <f ca="1">IFERROR(OFFSET(ZPCS04!$A$1,MATCH(F780,ZPCS04!B:B,0)-1,0),100)</f>
        <v>2</v>
      </c>
      <c r="AX780" s="7"/>
      <c r="AY780" s="6" t="b">
        <f>SUMIF(AS:AS,AS780,AP:AP)=100</f>
        <v>1</v>
      </c>
      <c r="AZ780" s="6" t="b">
        <f>SUMIF(AS:AS,AS780,AE:AE)/COUNTIF(AS:AS,AS780)=AE780</f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>C780&amp;" | "&amp;F780</f>
        <v>90MB1BJ0-C1BAY0 | 11G235210615320</v>
      </c>
      <c r="BE780" s="55" t="str">
        <f ca="1">C780&amp;" | "&amp;OFFSET($AF780,0,8-COUNTBLANK($AG780:$AN780))</f>
        <v>90MB1BJ0-C1BAY0 | 59MB1BJB-MB0A02S</v>
      </c>
      <c r="BF780" s="57">
        <f ca="1">IFERROR(VLOOKUP($BE780,$BD$5:$BF779,3,0)*$AE780,VLOOKUP($C780,Demanda!$A:$B,2,0)*$AE780)*IF(AT780="Phantom Alt",$BC780,TRUE)</f>
        <v>9000</v>
      </c>
      <c r="BG780" s="57">
        <f ca="1">BF780*(AP780/100)</f>
        <v>0</v>
      </c>
      <c r="BH780" s="57">
        <f>SUMIF(Invoice!A:A,F780,Invoice!B:B)</f>
        <v>0</v>
      </c>
      <c r="BI780" s="57">
        <f ca="1">SUMIF(AS:AS,AS780,BG:BG)</f>
        <v>9000</v>
      </c>
      <c r="BJ780" s="57">
        <f ca="1">MIN((BI780-SUMIF($AS$5:AS779,AS780,$BJ$5:BJ779)),MAX(0,BH780-SUMIF($F$5:F779,F780,$BJ$5:BJ779)))</f>
        <v>0</v>
      </c>
      <c r="BK780" s="57">
        <f ca="1">(-SUMIF(AS:AS,AS780,BG:BG)+SUMIF(AS:AS,AS780,BJ:BJ))*(AP780=100)*AR780</f>
        <v>0</v>
      </c>
      <c r="BL780" s="57">
        <f ca="1">MAX(0,SUMIF(Invoice!A:A,F780,Invoice!B:B)-SUMIF(F:F,F780,BJ:BJ))*(COUNTIF(F:F,F780)=COUNTIF($F$5:F780,F780))</f>
        <v>0</v>
      </c>
    </row>
    <row r="781" spans="1:64" hidden="1">
      <c r="A781" s="43">
        <v>781</v>
      </c>
      <c r="B781" s="13" t="s">
        <v>147</v>
      </c>
      <c r="C781" s="13" t="s">
        <v>146</v>
      </c>
      <c r="D781" s="13">
        <v>2</v>
      </c>
      <c r="E781" s="13">
        <v>2490</v>
      </c>
      <c r="F781" s="71" t="s">
        <v>1802</v>
      </c>
      <c r="G781" s="71" t="s">
        <v>1801</v>
      </c>
      <c r="H781" s="13" t="s">
        <v>1799</v>
      </c>
      <c r="I781" s="13" t="s">
        <v>54</v>
      </c>
      <c r="J781" s="28">
        <v>100</v>
      </c>
      <c r="K781" s="13" t="s">
        <v>1428</v>
      </c>
      <c r="L781" s="13" t="s">
        <v>53</v>
      </c>
      <c r="M781" s="13">
        <v>9</v>
      </c>
      <c r="N781" s="13">
        <v>9</v>
      </c>
      <c r="O781" s="13">
        <v>1</v>
      </c>
      <c r="P781" s="13">
        <v>2</v>
      </c>
      <c r="Q781" s="13">
        <v>1</v>
      </c>
      <c r="R781" s="13" t="s">
        <v>122</v>
      </c>
      <c r="S781" s="13" t="s">
        <v>122</v>
      </c>
      <c r="T781" s="13">
        <v>44901</v>
      </c>
      <c r="U781" s="13">
        <v>2958465</v>
      </c>
      <c r="V781" s="13" t="s">
        <v>282</v>
      </c>
      <c r="W781" s="13" t="s">
        <v>145</v>
      </c>
      <c r="Y781" s="13" t="s">
        <v>143</v>
      </c>
      <c r="Z781" s="13">
        <v>7589154</v>
      </c>
      <c r="AA781" s="13">
        <v>1446</v>
      </c>
      <c r="AB781" s="13">
        <v>723</v>
      </c>
      <c r="AE781" s="51">
        <f>M781/O781</f>
        <v>9</v>
      </c>
      <c r="AG781" s="6" t="str">
        <f>C781</f>
        <v>90MB1BJ0-C1BAY0</v>
      </c>
      <c r="AH781" s="6" t="str">
        <f>IF($D781&lt;=AH$4,"",IF(AND($D780=AH$4,$D781&gt;AH$4),$F780,AH780))</f>
        <v>59MB1BJB-MB0A02S</v>
      </c>
      <c r="AI781" s="6" t="str">
        <f>IF($D781&lt;=AI$4,"",IF(AND($D780=AI$4,$D781&gt;AI$4),$F780,AI780))</f>
        <v/>
      </c>
      <c r="AJ781" s="6" t="str">
        <f>IF($D781&lt;=AJ$4,"",IF(AND($D780=AJ$4,$D781&gt;AJ$4),$F780,AJ780))</f>
        <v/>
      </c>
      <c r="AK781" s="6" t="str">
        <f>IF($D781&lt;=AK$4,"",IF(AND($D780=AK$4,$D781&gt;AK$4),$F780,AK780))</f>
        <v/>
      </c>
      <c r="AL781" s="6" t="str">
        <f>IF($D781&lt;=AL$4,"",IF(AND($D780=AL$4,$D781&gt;AL$4),$F780,AL780))</f>
        <v/>
      </c>
      <c r="AM781" s="6" t="str">
        <f>IF($D781&lt;=AM$4,"",IF(AND($D780=AM$4,$D781&gt;AM$4),$F780,AM780))</f>
        <v/>
      </c>
      <c r="AN781" s="6" t="str">
        <f>IF($D781&lt;=AN$4,"",IF(AND($D780=AN$4,$D781&gt;AN$4),$F780,AN780))</f>
        <v/>
      </c>
      <c r="AO781" s="6" t="str">
        <f>CONCATENATE(AG781," | ",AH781," | ",AI781," | ",AJ781," | ",AK781," | ",AL781," | ",AM781," | ",AN781)</f>
        <v xml:space="preserve">90MB1BJ0-C1BAY0 | 59MB1BJB-MB0A02S |  |  |  |  |  | </v>
      </c>
      <c r="AP781" s="6">
        <f>IF(TRIM(H781)="",100,J781)</f>
        <v>100</v>
      </c>
      <c r="AQ781" s="4"/>
      <c r="AR781" s="6" t="b">
        <f>NOT(TRIM(W781)&lt;&gt;"F")</f>
        <v>1</v>
      </c>
      <c r="AS781" s="6" t="str">
        <f>$B781&amp;" | "&amp;$AO781&amp;" | "&amp;IF(TRIM(H781)="","uniq"&amp;ROW(),TRIM(H781))</f>
        <v>461E | 90MB1BJ0-C1BAY0 | 59MB1BJB-MB0A02S |  |  |  |  |  |  | O9</v>
      </c>
      <c r="AT781" s="63">
        <f>IF(NOT(AR781),IF(TRIM($H781)="","Assembly","Phantom Alt"),VLOOKUP(F781,ZPCS04!B:G,6,0))</f>
        <v>770</v>
      </c>
      <c r="AU781" s="7"/>
      <c r="AV781" s="38">
        <f ca="1">IF(TRIM($W781)="F",OFFSET($A$5,MATCH($AS781,$AS$5:$AS781,0)-1,0),$A781)</f>
        <v>779</v>
      </c>
      <c r="AW781" s="38">
        <f ca="1">IFERROR(OFFSET(ZPCS04!$A$1,MATCH(F781,ZPCS04!B:B,0)-1,0),100)</f>
        <v>2</v>
      </c>
      <c r="AX781" s="7"/>
      <c r="AY781" s="6" t="b">
        <f>SUMIF(AS:AS,AS781,AP:AP)=100</f>
        <v>1</v>
      </c>
      <c r="AZ781" s="6" t="b">
        <f>SUMIF(AS:AS,AS781,AE:AE)/COUNTIF(AS:AS,AS781)=AE781</f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>C781&amp;" | "&amp;F781</f>
        <v>90MB1BJ0-C1BAY0 | 11G235210615360</v>
      </c>
      <c r="BE781" s="55" t="str">
        <f ca="1">C781&amp;" | "&amp;OFFSET($AF781,0,8-COUNTBLANK($AG781:$AN781))</f>
        <v>90MB1BJ0-C1BAY0 | 59MB1BJB-MB0A02S</v>
      </c>
      <c r="BF781" s="57">
        <f ca="1">IFERROR(VLOOKUP($BE781,$BD$5:$BF780,3,0)*$AE781,VLOOKUP($C781,Demanda!$A:$B,2,0)*$AE781)*IF(AT781="Phantom Alt",$BC781,TRUE)</f>
        <v>9000</v>
      </c>
      <c r="BG781" s="57">
        <f ca="1">BF781*(AP781/100)</f>
        <v>9000</v>
      </c>
      <c r="BH781" s="57">
        <f>SUMIF(Invoice!A:A,F781,Invoice!B:B)</f>
        <v>0</v>
      </c>
      <c r="BI781" s="57">
        <f ca="1">SUMIF(AS:AS,AS781,BG:BG)</f>
        <v>9000</v>
      </c>
      <c r="BJ781" s="57">
        <f ca="1">MIN((BI781-SUMIF($AS$5:AS780,AS781,$BJ$5:BJ780)),MAX(0,BH781-SUMIF($F$5:F780,F781,$BJ$5:BJ780)))</f>
        <v>0</v>
      </c>
      <c r="BK781" s="57">
        <f ca="1">(-SUMIF(AS:AS,AS781,BG:BG)+SUMIF(AS:AS,AS781,BJ:BJ))*(AP781=100)*AR781</f>
        <v>0</v>
      </c>
      <c r="BL781" s="57">
        <f ca="1">MAX(0,SUMIF(Invoice!A:A,F781,Invoice!B:B)-SUMIF(F:F,F781,BJ:BJ))*(COUNTIF(F:F,F781)=COUNTIF($F$5:F781,F781))</f>
        <v>0</v>
      </c>
    </row>
    <row r="782" spans="1:64" hidden="1">
      <c r="A782" s="43">
        <v>782</v>
      </c>
      <c r="B782" s="13" t="s">
        <v>147</v>
      </c>
      <c r="C782" s="13" t="s">
        <v>146</v>
      </c>
      <c r="D782" s="13">
        <v>2</v>
      </c>
      <c r="E782" s="13">
        <v>2500</v>
      </c>
      <c r="F782" s="71" t="s">
        <v>1803</v>
      </c>
      <c r="G782" s="71" t="s">
        <v>1804</v>
      </c>
      <c r="H782" s="13" t="s">
        <v>1805</v>
      </c>
      <c r="I782" s="13" t="s">
        <v>55</v>
      </c>
      <c r="J782" s="28">
        <v>0</v>
      </c>
      <c r="K782" s="13" t="s">
        <v>1428</v>
      </c>
      <c r="L782" s="13" t="s">
        <v>53</v>
      </c>
      <c r="M782" s="13">
        <v>28</v>
      </c>
      <c r="O782" s="13">
        <v>1</v>
      </c>
      <c r="P782" s="13">
        <v>2</v>
      </c>
      <c r="Q782" s="13">
        <v>3</v>
      </c>
      <c r="R782" s="13" t="s">
        <v>122</v>
      </c>
      <c r="S782" s="13" t="s">
        <v>122</v>
      </c>
      <c r="T782" s="13">
        <v>44901</v>
      </c>
      <c r="U782" s="13">
        <v>2958465</v>
      </c>
      <c r="V782" s="13" t="s">
        <v>282</v>
      </c>
      <c r="W782" s="13" t="s">
        <v>145</v>
      </c>
      <c r="Y782" s="13" t="s">
        <v>143</v>
      </c>
      <c r="Z782" s="13">
        <v>7589154</v>
      </c>
      <c r="AA782" s="13">
        <v>1456</v>
      </c>
      <c r="AB782" s="13">
        <v>728</v>
      </c>
      <c r="AE782" s="51">
        <f>M782/O782</f>
        <v>28</v>
      </c>
      <c r="AG782" s="6" t="str">
        <f>C782</f>
        <v>90MB1BJ0-C1BAY0</v>
      </c>
      <c r="AH782" s="6" t="str">
        <f>IF($D782&lt;=AH$4,"",IF(AND($D781=AH$4,$D782&gt;AH$4),$F781,AH781))</f>
        <v>59MB1BJB-MB0A02S</v>
      </c>
      <c r="AI782" s="6" t="str">
        <f>IF($D782&lt;=AI$4,"",IF(AND($D781=AI$4,$D782&gt;AI$4),$F781,AI781))</f>
        <v/>
      </c>
      <c r="AJ782" s="6" t="str">
        <f>IF($D782&lt;=AJ$4,"",IF(AND($D781=AJ$4,$D782&gt;AJ$4),$F781,AJ781))</f>
        <v/>
      </c>
      <c r="AK782" s="6" t="str">
        <f>IF($D782&lt;=AK$4,"",IF(AND($D781=AK$4,$D782&gt;AK$4),$F781,AK781))</f>
        <v/>
      </c>
      <c r="AL782" s="6" t="str">
        <f>IF($D782&lt;=AL$4,"",IF(AND($D781=AL$4,$D782&gt;AL$4),$F781,AL781))</f>
        <v/>
      </c>
      <c r="AM782" s="6" t="str">
        <f>IF($D782&lt;=AM$4,"",IF(AND($D781=AM$4,$D782&gt;AM$4),$F781,AM781))</f>
        <v/>
      </c>
      <c r="AN782" s="6" t="str">
        <f>IF($D782&lt;=AN$4,"",IF(AND($D781=AN$4,$D782&gt;AN$4),$F781,AN781))</f>
        <v/>
      </c>
      <c r="AO782" s="6" t="str">
        <f>CONCATENATE(AG782," | ",AH782," | ",AI782," | ",AJ782," | ",AK782," | ",AL782," | ",AM782," | ",AN782)</f>
        <v xml:space="preserve">90MB1BJ0-C1BAY0 | 59MB1BJB-MB0A02S |  |  |  |  |  | </v>
      </c>
      <c r="AP782" s="6">
        <f>IF(TRIM(H782)="",100,J782)</f>
        <v>0</v>
      </c>
      <c r="AQ782" s="4"/>
      <c r="AR782" s="6" t="b">
        <f>NOT(TRIM(W782)&lt;&gt;"F")</f>
        <v>1</v>
      </c>
      <c r="AS782" s="6" t="str">
        <f>$B782&amp;" | "&amp;$AO782&amp;" | "&amp;IF(TRIM(H782)="","uniq"&amp;ROW(),TRIM(H782))</f>
        <v>461E | 90MB1BJ0-C1BAY0 | 59MB1BJB-MB0A02S |  |  |  |  |  |  | P0</v>
      </c>
      <c r="AT782" s="63">
        <f>IF(NOT(AR782),IF(TRIM($H782)="","Assembly","Phantom Alt"),VLOOKUP(F782,ZPCS04!B:G,6,0))</f>
        <v>771</v>
      </c>
      <c r="AU782" s="7"/>
      <c r="AV782" s="38">
        <f ca="1">IF(TRIM($W782)="F",OFFSET($A$5,MATCH($AS782,$AS$5:$AS782,0)-1,0),$A782)</f>
        <v>782</v>
      </c>
      <c r="AW782" s="38">
        <f ca="1">IFERROR(OFFSET(ZPCS04!$A$1,MATCH(F782,ZPCS04!B:B,0)-1,0),100)</f>
        <v>1.9999997199999999</v>
      </c>
      <c r="AX782" s="7"/>
      <c r="AY782" s="6" t="b">
        <f>SUMIF(AS:AS,AS782,AP:AP)=100</f>
        <v>1</v>
      </c>
      <c r="AZ782" s="6" t="b">
        <f>SUMIF(AS:AS,AS782,AE:AE)/COUNTIF(AS:AS,AS782)=AE782</f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>C782&amp;" | "&amp;F782</f>
        <v>90MB1BJ0-C1BAY0 | 11G235222625150</v>
      </c>
      <c r="BE782" s="55" t="str">
        <f ca="1">C782&amp;" | "&amp;OFFSET($AF782,0,8-COUNTBLANK($AG782:$AN782))</f>
        <v>90MB1BJ0-C1BAY0 | 59MB1BJB-MB0A02S</v>
      </c>
      <c r="BF782" s="57">
        <f ca="1">IFERROR(VLOOKUP($BE782,$BD$5:$BF781,3,0)*$AE782,VLOOKUP($C782,Demanda!$A:$B,2,0)*$AE782)*IF(AT782="Phantom Alt",$BC782,TRUE)</f>
        <v>28000</v>
      </c>
      <c r="BG782" s="57">
        <f ca="1">BF782*(AP782/100)</f>
        <v>0</v>
      </c>
      <c r="BH782" s="57">
        <f>SUMIF(Invoice!A:A,F782,Invoice!B:B)</f>
        <v>28000</v>
      </c>
      <c r="BI782" s="57">
        <f ca="1">SUMIF(AS:AS,AS782,BG:BG)</f>
        <v>28000</v>
      </c>
      <c r="BJ782" s="57">
        <f ca="1">MIN((BI782-SUMIF($AS$5:AS781,AS782,$BJ$5:BJ781)),MAX(0,BH782-SUMIF($F$5:F781,F782,$BJ$5:BJ781)))</f>
        <v>28000</v>
      </c>
      <c r="BK782" s="57">
        <f ca="1">(-SUMIF(AS:AS,AS782,BG:BG)+SUMIF(AS:AS,AS782,BJ:BJ))*(AP782=100)*AR782</f>
        <v>0</v>
      </c>
      <c r="BL782" s="57">
        <f ca="1">MAX(0,SUMIF(Invoice!A:A,F782,Invoice!B:B)-SUMIF(F:F,F782,BJ:BJ))*(COUNTIF(F:F,F782)=COUNTIF($F$5:F782,F782))</f>
        <v>0</v>
      </c>
    </row>
    <row r="783" spans="1:64" hidden="1">
      <c r="A783" s="43">
        <v>783</v>
      </c>
      <c r="B783" s="13" t="s">
        <v>147</v>
      </c>
      <c r="C783" s="13" t="s">
        <v>146</v>
      </c>
      <c r="D783" s="13">
        <v>2</v>
      </c>
      <c r="E783" s="13">
        <v>2500</v>
      </c>
      <c r="F783" s="71" t="s">
        <v>1806</v>
      </c>
      <c r="G783" s="71" t="s">
        <v>1807</v>
      </c>
      <c r="H783" s="13" t="s">
        <v>1805</v>
      </c>
      <c r="I783" s="13" t="s">
        <v>54</v>
      </c>
      <c r="J783" s="28">
        <v>100</v>
      </c>
      <c r="K783" s="13" t="s">
        <v>1428</v>
      </c>
      <c r="L783" s="13" t="s">
        <v>53</v>
      </c>
      <c r="M783" s="13">
        <v>28</v>
      </c>
      <c r="N783" s="13">
        <v>28</v>
      </c>
      <c r="O783" s="13">
        <v>1</v>
      </c>
      <c r="P783" s="13">
        <v>2</v>
      </c>
      <c r="Q783" s="13">
        <v>1</v>
      </c>
      <c r="R783" s="13" t="s">
        <v>122</v>
      </c>
      <c r="S783" s="13" t="s">
        <v>122</v>
      </c>
      <c r="T783" s="13">
        <v>44901</v>
      </c>
      <c r="U783" s="13">
        <v>2958465</v>
      </c>
      <c r="V783" s="13" t="s">
        <v>282</v>
      </c>
      <c r="W783" s="13" t="s">
        <v>145</v>
      </c>
      <c r="Y783" s="13" t="s">
        <v>143</v>
      </c>
      <c r="Z783" s="13">
        <v>7589154</v>
      </c>
      <c r="AA783" s="13">
        <v>1452</v>
      </c>
      <c r="AB783" s="13">
        <v>726</v>
      </c>
      <c r="AE783" s="51">
        <f>M783/O783</f>
        <v>28</v>
      </c>
      <c r="AG783" s="6" t="str">
        <f>C783</f>
        <v>90MB1BJ0-C1BAY0</v>
      </c>
      <c r="AH783" s="6" t="str">
        <f>IF($D783&lt;=AH$4,"",IF(AND($D782=AH$4,$D783&gt;AH$4),$F782,AH782))</f>
        <v>59MB1BJB-MB0A02S</v>
      </c>
      <c r="AI783" s="6" t="str">
        <f>IF($D783&lt;=AI$4,"",IF(AND($D782=AI$4,$D783&gt;AI$4),$F782,AI782))</f>
        <v/>
      </c>
      <c r="AJ783" s="6" t="str">
        <f>IF($D783&lt;=AJ$4,"",IF(AND($D782=AJ$4,$D783&gt;AJ$4),$F782,AJ782))</f>
        <v/>
      </c>
      <c r="AK783" s="6" t="str">
        <f>IF($D783&lt;=AK$4,"",IF(AND($D782=AK$4,$D783&gt;AK$4),$F782,AK782))</f>
        <v/>
      </c>
      <c r="AL783" s="6" t="str">
        <f>IF($D783&lt;=AL$4,"",IF(AND($D782=AL$4,$D783&gt;AL$4),$F782,AL782))</f>
        <v/>
      </c>
      <c r="AM783" s="6" t="str">
        <f>IF($D783&lt;=AM$4,"",IF(AND($D782=AM$4,$D783&gt;AM$4),$F782,AM782))</f>
        <v/>
      </c>
      <c r="AN783" s="6" t="str">
        <f>IF($D783&lt;=AN$4,"",IF(AND($D782=AN$4,$D783&gt;AN$4),$F782,AN782))</f>
        <v/>
      </c>
      <c r="AO783" s="6" t="str">
        <f>CONCATENATE(AG783," | ",AH783," | ",AI783," | ",AJ783," | ",AK783," | ",AL783," | ",AM783," | ",AN783)</f>
        <v xml:space="preserve">90MB1BJ0-C1BAY0 | 59MB1BJB-MB0A02S |  |  |  |  |  | </v>
      </c>
      <c r="AP783" s="6">
        <f>IF(TRIM(H783)="",100,J783)</f>
        <v>100</v>
      </c>
      <c r="AQ783" s="4"/>
      <c r="AR783" s="6" t="b">
        <f>NOT(TRIM(W783)&lt;&gt;"F")</f>
        <v>1</v>
      </c>
      <c r="AS783" s="6" t="str">
        <f>$B783&amp;" | "&amp;$AO783&amp;" | "&amp;IF(TRIM(H783)="","uniq"&amp;ROW(),TRIM(H783))</f>
        <v>461E | 90MB1BJ0-C1BAY0 | 59MB1BJB-MB0A02S |  |  |  |  |  |  | P0</v>
      </c>
      <c r="AT783" s="63">
        <f>IF(NOT(AR783),IF(TRIM($H783)="","Assembly","Phantom Alt"),VLOOKUP(F783,ZPCS04!B:G,6,0))</f>
        <v>771</v>
      </c>
      <c r="AU783" s="7"/>
      <c r="AV783" s="38">
        <f ca="1">IF(TRIM($W783)="F",OFFSET($A$5,MATCH($AS783,$AS$5:$AS783,0)-1,0),$A783)</f>
        <v>782</v>
      </c>
      <c r="AW783" s="38">
        <f ca="1">IFERROR(OFFSET(ZPCS04!$A$1,MATCH(F783,ZPCS04!B:B,0)-1,0),100)</f>
        <v>2</v>
      </c>
      <c r="AX783" s="7"/>
      <c r="AY783" s="6" t="b">
        <f>SUMIF(AS:AS,AS783,AP:AP)=100</f>
        <v>1</v>
      </c>
      <c r="AZ783" s="6" t="b">
        <f>SUMIF(AS:AS,AS783,AE:AE)/COUNTIF(AS:AS,AS783)=AE783</f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>C783&amp;" | "&amp;F783</f>
        <v>90MB1BJ0-C1BAY0 | 11G235222625320</v>
      </c>
      <c r="BE783" s="55" t="str">
        <f ca="1">C783&amp;" | "&amp;OFFSET($AF783,0,8-COUNTBLANK($AG783:$AN783))</f>
        <v>90MB1BJ0-C1BAY0 | 59MB1BJB-MB0A02S</v>
      </c>
      <c r="BF783" s="57">
        <f ca="1">IFERROR(VLOOKUP($BE783,$BD$5:$BF782,3,0)*$AE783,VLOOKUP($C783,Demanda!$A:$B,2,0)*$AE783)*IF(AT783="Phantom Alt",$BC783,TRUE)</f>
        <v>28000</v>
      </c>
      <c r="BG783" s="57">
        <f ca="1">BF783*(AP783/100)</f>
        <v>28000</v>
      </c>
      <c r="BH783" s="57">
        <f>SUMIF(Invoice!A:A,F783,Invoice!B:B)</f>
        <v>0</v>
      </c>
      <c r="BI783" s="57">
        <f ca="1">SUMIF(AS:AS,AS783,BG:BG)</f>
        <v>28000</v>
      </c>
      <c r="BJ783" s="57">
        <f ca="1">MIN((BI783-SUMIF($AS$5:AS782,AS783,$BJ$5:BJ782)),MAX(0,BH783-SUMIF($F$5:F782,F783,$BJ$5:BJ782)))</f>
        <v>0</v>
      </c>
      <c r="BK783" s="57">
        <f ca="1">(-SUMIF(AS:AS,AS783,BG:BG)+SUMIF(AS:AS,AS783,BJ:BJ))*(AP783=100)*AR783</f>
        <v>0</v>
      </c>
      <c r="BL783" s="57">
        <f ca="1">MAX(0,SUMIF(Invoice!A:A,F783,Invoice!B:B)-SUMIF(F:F,F783,BJ:BJ))*(COUNTIF(F:F,F783)=COUNTIF($F$5:F783,F783))</f>
        <v>0</v>
      </c>
    </row>
    <row r="784" spans="1:64" hidden="1">
      <c r="A784" s="43">
        <v>784</v>
      </c>
      <c r="B784" s="13" t="s">
        <v>147</v>
      </c>
      <c r="C784" s="13" t="s">
        <v>146</v>
      </c>
      <c r="D784" s="13">
        <v>2</v>
      </c>
      <c r="E784" s="13">
        <v>2500</v>
      </c>
      <c r="F784" s="71" t="s">
        <v>1808</v>
      </c>
      <c r="G784" s="71" t="s">
        <v>1809</v>
      </c>
      <c r="H784" s="13" t="s">
        <v>1805</v>
      </c>
      <c r="I784" s="13" t="s">
        <v>55</v>
      </c>
      <c r="J784" s="28">
        <v>0</v>
      </c>
      <c r="K784" s="13" t="s">
        <v>1428</v>
      </c>
      <c r="L784" s="13" t="s">
        <v>53</v>
      </c>
      <c r="M784" s="13">
        <v>28</v>
      </c>
      <c r="O784" s="13">
        <v>1</v>
      </c>
      <c r="P784" s="13">
        <v>2</v>
      </c>
      <c r="Q784" s="13">
        <v>2</v>
      </c>
      <c r="R784" s="13" t="s">
        <v>122</v>
      </c>
      <c r="S784" s="13" t="s">
        <v>122</v>
      </c>
      <c r="T784" s="13">
        <v>44901</v>
      </c>
      <c r="U784" s="13">
        <v>2958465</v>
      </c>
      <c r="V784" s="13" t="s">
        <v>282</v>
      </c>
      <c r="W784" s="13" t="s">
        <v>145</v>
      </c>
      <c r="Y784" s="13" t="s">
        <v>143</v>
      </c>
      <c r="Z784" s="13">
        <v>7589154</v>
      </c>
      <c r="AA784" s="13">
        <v>1454</v>
      </c>
      <c r="AB784" s="13">
        <v>727</v>
      </c>
      <c r="AE784" s="51">
        <f>M784/O784</f>
        <v>28</v>
      </c>
      <c r="AG784" s="6" t="str">
        <f>C784</f>
        <v>90MB1BJ0-C1BAY0</v>
      </c>
      <c r="AH784" s="6" t="str">
        <f>IF($D784&lt;=AH$4,"",IF(AND($D783=AH$4,$D784&gt;AH$4),$F783,AH783))</f>
        <v>59MB1BJB-MB0A02S</v>
      </c>
      <c r="AI784" s="6" t="str">
        <f>IF($D784&lt;=AI$4,"",IF(AND($D783=AI$4,$D784&gt;AI$4),$F783,AI783))</f>
        <v/>
      </c>
      <c r="AJ784" s="6" t="str">
        <f>IF($D784&lt;=AJ$4,"",IF(AND($D783=AJ$4,$D784&gt;AJ$4),$F783,AJ783))</f>
        <v/>
      </c>
      <c r="AK784" s="6" t="str">
        <f>IF($D784&lt;=AK$4,"",IF(AND($D783=AK$4,$D784&gt;AK$4),$F783,AK783))</f>
        <v/>
      </c>
      <c r="AL784" s="6" t="str">
        <f>IF($D784&lt;=AL$4,"",IF(AND($D783=AL$4,$D784&gt;AL$4),$F783,AL783))</f>
        <v/>
      </c>
      <c r="AM784" s="6" t="str">
        <f>IF($D784&lt;=AM$4,"",IF(AND($D783=AM$4,$D784&gt;AM$4),$F783,AM783))</f>
        <v/>
      </c>
      <c r="AN784" s="6" t="str">
        <f>IF($D784&lt;=AN$4,"",IF(AND($D783=AN$4,$D784&gt;AN$4),$F783,AN783))</f>
        <v/>
      </c>
      <c r="AO784" s="6" t="str">
        <f>CONCATENATE(AG784," | ",AH784," | ",AI784," | ",AJ784," | ",AK784," | ",AL784," | ",AM784," | ",AN784)</f>
        <v xml:space="preserve">90MB1BJ0-C1BAY0 | 59MB1BJB-MB0A02S |  |  |  |  |  | </v>
      </c>
      <c r="AP784" s="6">
        <f>IF(TRIM(H784)="",100,J784)</f>
        <v>0</v>
      </c>
      <c r="AQ784" s="4"/>
      <c r="AR784" s="6" t="b">
        <f>NOT(TRIM(W784)&lt;&gt;"F")</f>
        <v>1</v>
      </c>
      <c r="AS784" s="6" t="str">
        <f>$B784&amp;" | "&amp;$AO784&amp;" | "&amp;IF(TRIM(H784)="","uniq"&amp;ROW(),TRIM(H784))</f>
        <v>461E | 90MB1BJ0-C1BAY0 | 59MB1BJB-MB0A02S |  |  |  |  |  |  | P0</v>
      </c>
      <c r="AT784" s="63">
        <f>IF(NOT(AR784),IF(TRIM($H784)="","Assembly","Phantom Alt"),VLOOKUP(F784,ZPCS04!B:G,6,0))</f>
        <v>771</v>
      </c>
      <c r="AU784" s="7"/>
      <c r="AV784" s="38">
        <f ca="1">IF(TRIM($W784)="F",OFFSET($A$5,MATCH($AS784,$AS$5:$AS784,0)-1,0),$A784)</f>
        <v>782</v>
      </c>
      <c r="AW784" s="38">
        <f ca="1">IFERROR(OFFSET(ZPCS04!$A$1,MATCH(F784,ZPCS04!B:B,0)-1,0),100)</f>
        <v>2</v>
      </c>
      <c r="AX784" s="7"/>
      <c r="AY784" s="6" t="b">
        <f>SUMIF(AS:AS,AS784,AP:AP)=100</f>
        <v>1</v>
      </c>
      <c r="AZ784" s="6" t="b">
        <f>SUMIF(AS:AS,AS784,AE:AE)/COUNTIF(AS:AS,AS784)=AE784</f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>C784&amp;" | "&amp;F784</f>
        <v>90MB1BJ0-C1BAY0 | 11G235222625360</v>
      </c>
      <c r="BE784" s="55" t="str">
        <f ca="1">C784&amp;" | "&amp;OFFSET($AF784,0,8-COUNTBLANK($AG784:$AN784))</f>
        <v>90MB1BJ0-C1BAY0 | 59MB1BJB-MB0A02S</v>
      </c>
      <c r="BF784" s="57">
        <f ca="1">IFERROR(VLOOKUP($BE784,$BD$5:$BF783,3,0)*$AE784,VLOOKUP($C784,Demanda!$A:$B,2,0)*$AE784)*IF(AT784="Phantom Alt",$BC784,TRUE)</f>
        <v>28000</v>
      </c>
      <c r="BG784" s="57">
        <f ca="1">BF784*(AP784/100)</f>
        <v>0</v>
      </c>
      <c r="BH784" s="57">
        <f>SUMIF(Invoice!A:A,F784,Invoice!B:B)</f>
        <v>0</v>
      </c>
      <c r="BI784" s="57">
        <f ca="1">SUMIF(AS:AS,AS784,BG:BG)</f>
        <v>28000</v>
      </c>
      <c r="BJ784" s="57">
        <f ca="1">MIN((BI784-SUMIF($AS$5:AS783,AS784,$BJ$5:BJ783)),MAX(0,BH784-SUMIF($F$5:F783,F784,$BJ$5:BJ783)))</f>
        <v>0</v>
      </c>
      <c r="BK784" s="57">
        <f ca="1">(-SUMIF(AS:AS,AS784,BG:BG)+SUMIF(AS:AS,AS784,BJ:BJ))*(AP784=100)*AR784</f>
        <v>0</v>
      </c>
      <c r="BL784" s="57">
        <f ca="1">MAX(0,SUMIF(Invoice!A:A,F784,Invoice!B:B)-SUMIF(F:F,F784,BJ:BJ))*(COUNTIF(F:F,F784)=COUNTIF($F$5:F784,F784))</f>
        <v>0</v>
      </c>
    </row>
    <row r="785" spans="1:64" hidden="1">
      <c r="A785" s="43">
        <v>785</v>
      </c>
      <c r="B785" s="13" t="s">
        <v>147</v>
      </c>
      <c r="C785" s="13" t="s">
        <v>146</v>
      </c>
      <c r="D785" s="13">
        <v>2</v>
      </c>
      <c r="E785" s="13">
        <v>2510</v>
      </c>
      <c r="F785" s="71" t="s">
        <v>1810</v>
      </c>
      <c r="G785" s="71" t="s">
        <v>1811</v>
      </c>
      <c r="H785" s="13" t="s">
        <v>1812</v>
      </c>
      <c r="I785" s="13" t="s">
        <v>55</v>
      </c>
      <c r="J785" s="28">
        <v>0</v>
      </c>
      <c r="K785" s="13" t="s">
        <v>150</v>
      </c>
      <c r="L785" s="13" t="s">
        <v>53</v>
      </c>
      <c r="M785" s="13">
        <v>4</v>
      </c>
      <c r="O785" s="13">
        <v>1</v>
      </c>
      <c r="P785" s="13">
        <v>2</v>
      </c>
      <c r="Q785" s="13">
        <v>2</v>
      </c>
      <c r="R785" s="13" t="s">
        <v>73</v>
      </c>
      <c r="S785" s="13" t="s">
        <v>73</v>
      </c>
      <c r="T785" s="13">
        <v>44901</v>
      </c>
      <c r="U785" s="13">
        <v>2958465</v>
      </c>
      <c r="V785" s="13" t="s">
        <v>282</v>
      </c>
      <c r="W785" s="13" t="s">
        <v>145</v>
      </c>
      <c r="Y785" s="13" t="s">
        <v>143</v>
      </c>
      <c r="Z785" s="13">
        <v>7589154</v>
      </c>
      <c r="AA785" s="13">
        <v>1460</v>
      </c>
      <c r="AB785" s="13">
        <v>730</v>
      </c>
      <c r="AE785" s="51">
        <f>M785/O785</f>
        <v>4</v>
      </c>
      <c r="AG785" s="6" t="str">
        <f>C785</f>
        <v>90MB1BJ0-C1BAY0</v>
      </c>
      <c r="AH785" s="6" t="str">
        <f>IF($D785&lt;=AH$4,"",IF(AND($D784=AH$4,$D785&gt;AH$4),$F784,AH784))</f>
        <v>59MB1BJB-MB0A02S</v>
      </c>
      <c r="AI785" s="6" t="str">
        <f>IF($D785&lt;=AI$4,"",IF(AND($D784=AI$4,$D785&gt;AI$4),$F784,AI784))</f>
        <v/>
      </c>
      <c r="AJ785" s="6" t="str">
        <f>IF($D785&lt;=AJ$4,"",IF(AND($D784=AJ$4,$D785&gt;AJ$4),$F784,AJ784))</f>
        <v/>
      </c>
      <c r="AK785" s="6" t="str">
        <f>IF($D785&lt;=AK$4,"",IF(AND($D784=AK$4,$D785&gt;AK$4),$F784,AK784))</f>
        <v/>
      </c>
      <c r="AL785" s="6" t="str">
        <f>IF($D785&lt;=AL$4,"",IF(AND($D784=AL$4,$D785&gt;AL$4),$F784,AL784))</f>
        <v/>
      </c>
      <c r="AM785" s="6" t="str">
        <f>IF($D785&lt;=AM$4,"",IF(AND($D784=AM$4,$D785&gt;AM$4),$F784,AM784))</f>
        <v/>
      </c>
      <c r="AN785" s="6" t="str">
        <f>IF($D785&lt;=AN$4,"",IF(AND($D784=AN$4,$D785&gt;AN$4),$F784,AN784))</f>
        <v/>
      </c>
      <c r="AO785" s="6" t="str">
        <f>CONCATENATE(AG785," | ",AH785," | ",AI785," | ",AJ785," | ",AK785," | ",AL785," | ",AM785," | ",AN785)</f>
        <v xml:space="preserve">90MB1BJ0-C1BAY0 | 59MB1BJB-MB0A02S |  |  |  |  |  | </v>
      </c>
      <c r="AP785" s="6">
        <f>IF(TRIM(H785)="",100,J785)</f>
        <v>0</v>
      </c>
      <c r="AQ785" s="4"/>
      <c r="AR785" s="6" t="b">
        <f>NOT(TRIM(W785)&lt;&gt;"F")</f>
        <v>1</v>
      </c>
      <c r="AS785" s="6" t="str">
        <f>$B785&amp;" | "&amp;$AO785&amp;" | "&amp;IF(TRIM(H785)="","uniq"&amp;ROW(),TRIM(H785))</f>
        <v>461E | 90MB1BJ0-C1BAY0 | 59MB1BJB-MB0A02S |  |  |  |  |  |  | P1</v>
      </c>
      <c r="AT785" s="63">
        <f>IF(NOT(AR785),IF(TRIM($H785)="","Assembly","Phantom Alt"),VLOOKUP(F785,ZPCS04!B:G,6,0))</f>
        <v>1284</v>
      </c>
      <c r="AU785" s="7"/>
      <c r="AV785" s="38">
        <f ca="1">IF(TRIM($W785)="F",OFFSET($A$5,MATCH($AS785,$AS$5:$AS785,0)-1,0),$A785)</f>
        <v>785</v>
      </c>
      <c r="AW785" s="38">
        <f ca="1">IFERROR(OFFSET(ZPCS04!$A$1,MATCH(F785,ZPCS04!B:B,0)-1,0),100)</f>
        <v>1.99999996</v>
      </c>
      <c r="AX785" s="7"/>
      <c r="AY785" s="6" t="b">
        <f>SUMIF(AS:AS,AS785,AP:AP)=100</f>
        <v>1</v>
      </c>
      <c r="AZ785" s="6" t="b">
        <f>SUMIF(AS:AS,AS785,AE:AE)/COUNTIF(AS:AS,AS785)=AE785</f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>C785&amp;" | "&amp;F785</f>
        <v>90MB1BJ0-C1BAY0 | 11G235222626150</v>
      </c>
      <c r="BE785" s="55" t="str">
        <f ca="1">C785&amp;" | "&amp;OFFSET($AF785,0,8-COUNTBLANK($AG785:$AN785))</f>
        <v>90MB1BJ0-C1BAY0 | 59MB1BJB-MB0A02S</v>
      </c>
      <c r="BF785" s="57">
        <f ca="1">IFERROR(VLOOKUP($BE785,$BD$5:$BF784,3,0)*$AE785,VLOOKUP($C785,Demanda!$A:$B,2,0)*$AE785)*IF(AT785="Phantom Alt",$BC785,TRUE)</f>
        <v>4000</v>
      </c>
      <c r="BG785" s="57">
        <f ca="1">BF785*(AP785/100)</f>
        <v>0</v>
      </c>
      <c r="BH785" s="57">
        <f>SUMIF(Invoice!A:A,F785,Invoice!B:B)</f>
        <v>4000</v>
      </c>
      <c r="BI785" s="57">
        <f ca="1">SUMIF(AS:AS,AS785,BG:BG)</f>
        <v>4000</v>
      </c>
      <c r="BJ785" s="57">
        <f ca="1">MIN((BI785-SUMIF($AS$5:AS784,AS785,$BJ$5:BJ784)),MAX(0,BH785-SUMIF($F$5:F784,F785,$BJ$5:BJ784)))</f>
        <v>4000</v>
      </c>
      <c r="BK785" s="57">
        <f ca="1">(-SUMIF(AS:AS,AS785,BG:BG)+SUMIF(AS:AS,AS785,BJ:BJ))*(AP785=100)*AR785</f>
        <v>0</v>
      </c>
      <c r="BL785" s="57">
        <f ca="1">MAX(0,SUMIF(Invoice!A:A,F785,Invoice!B:B)-SUMIF(F:F,F785,BJ:BJ))*(COUNTIF(F:F,F785)=COUNTIF($F$5:F785,F785))</f>
        <v>0</v>
      </c>
    </row>
    <row r="786" spans="1:64" hidden="1">
      <c r="A786" s="43">
        <v>786</v>
      </c>
      <c r="B786" s="13" t="s">
        <v>147</v>
      </c>
      <c r="C786" s="13" t="s">
        <v>146</v>
      </c>
      <c r="D786" s="13">
        <v>2</v>
      </c>
      <c r="E786" s="13">
        <v>2510</v>
      </c>
      <c r="F786" s="71" t="s">
        <v>1813</v>
      </c>
      <c r="G786" s="71" t="s">
        <v>1814</v>
      </c>
      <c r="H786" s="13" t="s">
        <v>1812</v>
      </c>
      <c r="I786" s="13" t="s">
        <v>54</v>
      </c>
      <c r="J786" s="28">
        <v>100</v>
      </c>
      <c r="K786" s="13" t="s">
        <v>150</v>
      </c>
      <c r="L786" s="13" t="s">
        <v>53</v>
      </c>
      <c r="M786" s="13">
        <v>4</v>
      </c>
      <c r="N786" s="13">
        <v>4</v>
      </c>
      <c r="O786" s="13">
        <v>1</v>
      </c>
      <c r="P786" s="13">
        <v>2</v>
      </c>
      <c r="Q786" s="13">
        <v>1</v>
      </c>
      <c r="R786" s="13" t="s">
        <v>73</v>
      </c>
      <c r="S786" s="13" t="s">
        <v>73</v>
      </c>
      <c r="T786" s="13">
        <v>44901</v>
      </c>
      <c r="U786" s="13">
        <v>2958465</v>
      </c>
      <c r="V786" s="13" t="s">
        <v>282</v>
      </c>
      <c r="W786" s="13" t="s">
        <v>145</v>
      </c>
      <c r="Y786" s="13" t="s">
        <v>143</v>
      </c>
      <c r="Z786" s="13">
        <v>7589154</v>
      </c>
      <c r="AA786" s="13">
        <v>1458</v>
      </c>
      <c r="AB786" s="13">
        <v>729</v>
      </c>
      <c r="AE786" s="51">
        <f>M786/O786</f>
        <v>4</v>
      </c>
      <c r="AG786" s="6" t="str">
        <f>C786</f>
        <v>90MB1BJ0-C1BAY0</v>
      </c>
      <c r="AH786" s="6" t="str">
        <f>IF($D786&lt;=AH$4,"",IF(AND($D785=AH$4,$D786&gt;AH$4),$F785,AH785))</f>
        <v>59MB1BJB-MB0A02S</v>
      </c>
      <c r="AI786" s="6" t="str">
        <f>IF($D786&lt;=AI$4,"",IF(AND($D785=AI$4,$D786&gt;AI$4),$F785,AI785))</f>
        <v/>
      </c>
      <c r="AJ786" s="6" t="str">
        <f>IF($D786&lt;=AJ$4,"",IF(AND($D785=AJ$4,$D786&gt;AJ$4),$F785,AJ785))</f>
        <v/>
      </c>
      <c r="AK786" s="6" t="str">
        <f>IF($D786&lt;=AK$4,"",IF(AND($D785=AK$4,$D786&gt;AK$4),$F785,AK785))</f>
        <v/>
      </c>
      <c r="AL786" s="6" t="str">
        <f>IF($D786&lt;=AL$4,"",IF(AND($D785=AL$4,$D786&gt;AL$4),$F785,AL785))</f>
        <v/>
      </c>
      <c r="AM786" s="6" t="str">
        <f>IF($D786&lt;=AM$4,"",IF(AND($D785=AM$4,$D786&gt;AM$4),$F785,AM785))</f>
        <v/>
      </c>
      <c r="AN786" s="6" t="str">
        <f>IF($D786&lt;=AN$4,"",IF(AND($D785=AN$4,$D786&gt;AN$4),$F785,AN785))</f>
        <v/>
      </c>
      <c r="AO786" s="6" t="str">
        <f>CONCATENATE(AG786," | ",AH786," | ",AI786," | ",AJ786," | ",AK786," | ",AL786," | ",AM786," | ",AN786)</f>
        <v xml:space="preserve">90MB1BJ0-C1BAY0 | 59MB1BJB-MB0A02S |  |  |  |  |  | </v>
      </c>
      <c r="AP786" s="6">
        <f>IF(TRIM(H786)="",100,J786)</f>
        <v>100</v>
      </c>
      <c r="AQ786" s="4"/>
      <c r="AR786" s="6" t="b">
        <f>NOT(TRIM(W786)&lt;&gt;"F")</f>
        <v>1</v>
      </c>
      <c r="AS786" s="6" t="str">
        <f>$B786&amp;" | "&amp;$AO786&amp;" | "&amp;IF(TRIM(H786)="","uniq"&amp;ROW(),TRIM(H786))</f>
        <v>461E | 90MB1BJ0-C1BAY0 | 59MB1BJB-MB0A02S |  |  |  |  |  |  | P1</v>
      </c>
      <c r="AT786" s="63">
        <f>IF(NOT(AR786),IF(TRIM($H786)="","Assembly","Phantom Alt"),VLOOKUP(F786,ZPCS04!B:G,6,0))</f>
        <v>1284</v>
      </c>
      <c r="AU786" s="7"/>
      <c r="AV786" s="38">
        <f ca="1">IF(TRIM($W786)="F",OFFSET($A$5,MATCH($AS786,$AS$5:$AS786,0)-1,0),$A786)</f>
        <v>785</v>
      </c>
      <c r="AW786" s="38">
        <f ca="1">IFERROR(OFFSET(ZPCS04!$A$1,MATCH(F786,ZPCS04!B:B,0)-1,0),100)</f>
        <v>2</v>
      </c>
      <c r="AX786" s="7"/>
      <c r="AY786" s="6" t="b">
        <f>SUMIF(AS:AS,AS786,AP:AP)=100</f>
        <v>1</v>
      </c>
      <c r="AZ786" s="6" t="b">
        <f>SUMIF(AS:AS,AS786,AE:AE)/COUNTIF(AS:AS,AS786)=AE786</f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>C786&amp;" | "&amp;F786</f>
        <v>90MB1BJ0-C1BAY0 | 11G235222626320</v>
      </c>
      <c r="BE786" s="55" t="str">
        <f ca="1">C786&amp;" | "&amp;OFFSET($AF786,0,8-COUNTBLANK($AG786:$AN786))</f>
        <v>90MB1BJ0-C1BAY0 | 59MB1BJB-MB0A02S</v>
      </c>
      <c r="BF786" s="57">
        <f ca="1">IFERROR(VLOOKUP($BE786,$BD$5:$BF785,3,0)*$AE786,VLOOKUP($C786,Demanda!$A:$B,2,0)*$AE786)*IF(AT786="Phantom Alt",$BC786,TRUE)</f>
        <v>4000</v>
      </c>
      <c r="BG786" s="57">
        <f ca="1">BF786*(AP786/100)</f>
        <v>4000</v>
      </c>
      <c r="BH786" s="57">
        <f>SUMIF(Invoice!A:A,F786,Invoice!B:B)</f>
        <v>0</v>
      </c>
      <c r="BI786" s="57">
        <f ca="1">SUMIF(AS:AS,AS786,BG:BG)</f>
        <v>4000</v>
      </c>
      <c r="BJ786" s="57">
        <f ca="1">MIN((BI786-SUMIF($AS$5:AS785,AS786,$BJ$5:BJ785)),MAX(0,BH786-SUMIF($F$5:F785,F786,$BJ$5:BJ785)))</f>
        <v>0</v>
      </c>
      <c r="BK786" s="57">
        <f ca="1">(-SUMIF(AS:AS,AS786,BG:BG)+SUMIF(AS:AS,AS786,BJ:BJ))*(AP786=100)*AR786</f>
        <v>0</v>
      </c>
      <c r="BL786" s="57">
        <f ca="1">MAX(0,SUMIF(Invoice!A:A,F786,Invoice!B:B)-SUMIF(F:F,F786,BJ:BJ))*(COUNTIF(F:F,F786)=COUNTIF($F$5:F786,F786))</f>
        <v>0</v>
      </c>
    </row>
    <row r="787" spans="1:64" hidden="1">
      <c r="A787" s="43">
        <v>787</v>
      </c>
      <c r="B787" s="13" t="s">
        <v>147</v>
      </c>
      <c r="C787" s="13" t="s">
        <v>146</v>
      </c>
      <c r="D787" s="13">
        <v>2</v>
      </c>
      <c r="E787" s="13">
        <v>2510</v>
      </c>
      <c r="F787" s="71" t="s">
        <v>1815</v>
      </c>
      <c r="G787" s="71" t="s">
        <v>1816</v>
      </c>
      <c r="H787" s="13" t="s">
        <v>1812</v>
      </c>
      <c r="I787" s="13" t="s">
        <v>55</v>
      </c>
      <c r="J787" s="28">
        <v>0</v>
      </c>
      <c r="K787" s="13" t="s">
        <v>150</v>
      </c>
      <c r="L787" s="13" t="s">
        <v>53</v>
      </c>
      <c r="M787" s="13">
        <v>4</v>
      </c>
      <c r="O787" s="13">
        <v>1</v>
      </c>
      <c r="P787" s="13">
        <v>2</v>
      </c>
      <c r="Q787" s="13">
        <v>3</v>
      </c>
      <c r="R787" s="13" t="s">
        <v>73</v>
      </c>
      <c r="S787" s="13" t="s">
        <v>73</v>
      </c>
      <c r="T787" s="13">
        <v>44901</v>
      </c>
      <c r="U787" s="13">
        <v>2958465</v>
      </c>
      <c r="V787" s="13" t="s">
        <v>282</v>
      </c>
      <c r="W787" s="13" t="s">
        <v>145</v>
      </c>
      <c r="Y787" s="13" t="s">
        <v>143</v>
      </c>
      <c r="Z787" s="13">
        <v>7589154</v>
      </c>
      <c r="AA787" s="13">
        <v>1462</v>
      </c>
      <c r="AB787" s="13">
        <v>731</v>
      </c>
      <c r="AE787" s="51">
        <f>M787/O787</f>
        <v>4</v>
      </c>
      <c r="AG787" s="6" t="str">
        <f>C787</f>
        <v>90MB1BJ0-C1BAY0</v>
      </c>
      <c r="AH787" s="6" t="str">
        <f>IF($D787&lt;=AH$4,"",IF(AND($D786=AH$4,$D787&gt;AH$4),$F786,AH786))</f>
        <v>59MB1BJB-MB0A02S</v>
      </c>
      <c r="AI787" s="6" t="str">
        <f>IF($D787&lt;=AI$4,"",IF(AND($D786=AI$4,$D787&gt;AI$4),$F786,AI786))</f>
        <v/>
      </c>
      <c r="AJ787" s="6" t="str">
        <f>IF($D787&lt;=AJ$4,"",IF(AND($D786=AJ$4,$D787&gt;AJ$4),$F786,AJ786))</f>
        <v/>
      </c>
      <c r="AK787" s="6" t="str">
        <f>IF($D787&lt;=AK$4,"",IF(AND($D786=AK$4,$D787&gt;AK$4),$F786,AK786))</f>
        <v/>
      </c>
      <c r="AL787" s="6" t="str">
        <f>IF($D787&lt;=AL$4,"",IF(AND($D786=AL$4,$D787&gt;AL$4),$F786,AL786))</f>
        <v/>
      </c>
      <c r="AM787" s="6" t="str">
        <f>IF($D787&lt;=AM$4,"",IF(AND($D786=AM$4,$D787&gt;AM$4),$F786,AM786))</f>
        <v/>
      </c>
      <c r="AN787" s="6" t="str">
        <f>IF($D787&lt;=AN$4,"",IF(AND($D786=AN$4,$D787&gt;AN$4),$F786,AN786))</f>
        <v/>
      </c>
      <c r="AO787" s="6" t="str">
        <f>CONCATENATE(AG787," | ",AH787," | ",AI787," | ",AJ787," | ",AK787," | ",AL787," | ",AM787," | ",AN787)</f>
        <v xml:space="preserve">90MB1BJ0-C1BAY0 | 59MB1BJB-MB0A02S |  |  |  |  |  | </v>
      </c>
      <c r="AP787" s="6">
        <f>IF(TRIM(H787)="",100,J787)</f>
        <v>0</v>
      </c>
      <c r="AQ787" s="4"/>
      <c r="AR787" s="6" t="b">
        <f>NOT(TRIM(W787)&lt;&gt;"F")</f>
        <v>1</v>
      </c>
      <c r="AS787" s="6" t="str">
        <f>$B787&amp;" | "&amp;$AO787&amp;" | "&amp;IF(TRIM(H787)="","uniq"&amp;ROW(),TRIM(H787))</f>
        <v>461E | 90MB1BJ0-C1BAY0 | 59MB1BJB-MB0A02S |  |  |  |  |  |  | P1</v>
      </c>
      <c r="AT787" s="63">
        <f>IF(NOT(AR787),IF(TRIM($H787)="","Assembly","Phantom Alt"),VLOOKUP(F787,ZPCS04!B:G,6,0))</f>
        <v>1284</v>
      </c>
      <c r="AU787" s="7"/>
      <c r="AV787" s="38">
        <f ca="1">IF(TRIM($W787)="F",OFFSET($A$5,MATCH($AS787,$AS$5:$AS787,0)-1,0),$A787)</f>
        <v>785</v>
      </c>
      <c r="AW787" s="38">
        <f ca="1">IFERROR(OFFSET(ZPCS04!$A$1,MATCH(F787,ZPCS04!B:B,0)-1,0),100)</f>
        <v>2</v>
      </c>
      <c r="AX787" s="7"/>
      <c r="AY787" s="6" t="b">
        <f>SUMIF(AS:AS,AS787,AP:AP)=100</f>
        <v>1</v>
      </c>
      <c r="AZ787" s="6" t="b">
        <f>SUMIF(AS:AS,AS787,AE:AE)/COUNTIF(AS:AS,AS787)=AE787</f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>C787&amp;" | "&amp;F787</f>
        <v>90MB1BJ0-C1BAY0 | 11G235222626360</v>
      </c>
      <c r="BE787" s="55" t="str">
        <f ca="1">C787&amp;" | "&amp;OFFSET($AF787,0,8-COUNTBLANK($AG787:$AN787))</f>
        <v>90MB1BJ0-C1BAY0 | 59MB1BJB-MB0A02S</v>
      </c>
      <c r="BF787" s="57">
        <f ca="1">IFERROR(VLOOKUP($BE787,$BD$5:$BF786,3,0)*$AE787,VLOOKUP($C787,Demanda!$A:$B,2,0)*$AE787)*IF(AT787="Phantom Alt",$BC787,TRUE)</f>
        <v>4000</v>
      </c>
      <c r="BG787" s="57">
        <f ca="1">BF787*(AP787/100)</f>
        <v>0</v>
      </c>
      <c r="BH787" s="57">
        <f>SUMIF(Invoice!A:A,F787,Invoice!B:B)</f>
        <v>0</v>
      </c>
      <c r="BI787" s="57">
        <f ca="1">SUMIF(AS:AS,AS787,BG:BG)</f>
        <v>4000</v>
      </c>
      <c r="BJ787" s="57">
        <f ca="1">MIN((BI787-SUMIF($AS$5:AS786,AS787,$BJ$5:BJ786)),MAX(0,BH787-SUMIF($F$5:F786,F787,$BJ$5:BJ786)))</f>
        <v>0</v>
      </c>
      <c r="BK787" s="57">
        <f ca="1">(-SUMIF(AS:AS,AS787,BG:BG)+SUMIF(AS:AS,AS787,BJ:BJ))*(AP787=100)*AR787</f>
        <v>0</v>
      </c>
      <c r="BL787" s="57">
        <f ca="1">MAX(0,SUMIF(Invoice!A:A,F787,Invoice!B:B)-SUMIF(F:F,F787,BJ:BJ))*(COUNTIF(F:F,F787)=COUNTIF($F$5:F787,F787))</f>
        <v>0</v>
      </c>
    </row>
    <row r="788" spans="1:64" hidden="1">
      <c r="A788" s="43">
        <v>788</v>
      </c>
      <c r="B788" s="13" t="s">
        <v>147</v>
      </c>
      <c r="C788" s="13" t="s">
        <v>146</v>
      </c>
      <c r="D788" s="13">
        <v>2</v>
      </c>
      <c r="E788" s="13">
        <v>2520</v>
      </c>
      <c r="F788" s="71" t="s">
        <v>1817</v>
      </c>
      <c r="G788" s="71" t="s">
        <v>1818</v>
      </c>
      <c r="H788" s="13" t="s">
        <v>1819</v>
      </c>
      <c r="I788" s="13" t="s">
        <v>55</v>
      </c>
      <c r="J788" s="28">
        <v>0</v>
      </c>
      <c r="K788" s="13" t="s">
        <v>150</v>
      </c>
      <c r="L788" s="13" t="s">
        <v>53</v>
      </c>
      <c r="M788" s="13">
        <v>49</v>
      </c>
      <c r="O788" s="13">
        <v>1</v>
      </c>
      <c r="P788" s="13">
        <v>2</v>
      </c>
      <c r="Q788" s="13">
        <v>2</v>
      </c>
      <c r="R788" s="13" t="s">
        <v>73</v>
      </c>
      <c r="S788" s="13" t="s">
        <v>73</v>
      </c>
      <c r="T788" s="13">
        <v>44901</v>
      </c>
      <c r="U788" s="13">
        <v>2958465</v>
      </c>
      <c r="V788" s="13" t="s">
        <v>282</v>
      </c>
      <c r="W788" s="13" t="s">
        <v>145</v>
      </c>
      <c r="Y788" s="13" t="s">
        <v>143</v>
      </c>
      <c r="Z788" s="13">
        <v>7589154</v>
      </c>
      <c r="AA788" s="13">
        <v>1466</v>
      </c>
      <c r="AB788" s="13">
        <v>733</v>
      </c>
      <c r="AE788" s="51">
        <f>M788/O788</f>
        <v>49</v>
      </c>
      <c r="AG788" s="6" t="str">
        <f>C788</f>
        <v>90MB1BJ0-C1BAY0</v>
      </c>
      <c r="AH788" s="6" t="str">
        <f>IF($D788&lt;=AH$4,"",IF(AND($D787=AH$4,$D788&gt;AH$4),$F787,AH787))</f>
        <v>59MB1BJB-MB0A02S</v>
      </c>
      <c r="AI788" s="6" t="str">
        <f>IF($D788&lt;=AI$4,"",IF(AND($D787=AI$4,$D788&gt;AI$4),$F787,AI787))</f>
        <v/>
      </c>
      <c r="AJ788" s="6" t="str">
        <f>IF($D788&lt;=AJ$4,"",IF(AND($D787=AJ$4,$D788&gt;AJ$4),$F787,AJ787))</f>
        <v/>
      </c>
      <c r="AK788" s="6" t="str">
        <f>IF($D788&lt;=AK$4,"",IF(AND($D787=AK$4,$D788&gt;AK$4),$F787,AK787))</f>
        <v/>
      </c>
      <c r="AL788" s="6" t="str">
        <f>IF($D788&lt;=AL$4,"",IF(AND($D787=AL$4,$D788&gt;AL$4),$F787,AL787))</f>
        <v/>
      </c>
      <c r="AM788" s="6" t="str">
        <f>IF($D788&lt;=AM$4,"",IF(AND($D787=AM$4,$D788&gt;AM$4),$F787,AM787))</f>
        <v/>
      </c>
      <c r="AN788" s="6" t="str">
        <f>IF($D788&lt;=AN$4,"",IF(AND($D787=AN$4,$D788&gt;AN$4),$F787,AN787))</f>
        <v/>
      </c>
      <c r="AO788" s="6" t="str">
        <f>CONCATENATE(AG788," | ",AH788," | ",AI788," | ",AJ788," | ",AK788," | ",AL788," | ",AM788," | ",AN788)</f>
        <v xml:space="preserve">90MB1BJ0-C1BAY0 | 59MB1BJB-MB0A02S |  |  |  |  |  | </v>
      </c>
      <c r="AP788" s="6">
        <f>IF(TRIM(H788)="",100,J788)</f>
        <v>0</v>
      </c>
      <c r="AQ788" s="4"/>
      <c r="AR788" s="6" t="b">
        <f>NOT(TRIM(W788)&lt;&gt;"F")</f>
        <v>1</v>
      </c>
      <c r="AS788" s="6" t="str">
        <f>$B788&amp;" | "&amp;$AO788&amp;" | "&amp;IF(TRIM(H788)="","uniq"&amp;ROW(),TRIM(H788))</f>
        <v>461E | 90MB1BJ0-C1BAY0 | 59MB1BJB-MB0A02S |  |  |  |  |  |  | P2</v>
      </c>
      <c r="AT788" s="63">
        <f>IF(NOT(AR788),IF(TRIM($H788)="","Assembly","Phantom Alt"),VLOOKUP(F788,ZPCS04!B:G,6,0))</f>
        <v>899</v>
      </c>
      <c r="AU788" s="7"/>
      <c r="AV788" s="38">
        <f ca="1">IF(TRIM($W788)="F",OFFSET($A$5,MATCH($AS788,$AS$5:$AS788,0)-1,0),$A788)</f>
        <v>788</v>
      </c>
      <c r="AW788" s="38">
        <f ca="1">IFERROR(OFFSET(ZPCS04!$A$1,MATCH(F788,ZPCS04!B:B,0)-1,0),100)</f>
        <v>1.9999994999999999</v>
      </c>
      <c r="AX788" s="7"/>
      <c r="AY788" s="6" t="b">
        <f>SUMIF(AS:AS,AS788,AP:AP)=100</f>
        <v>1</v>
      </c>
      <c r="AZ788" s="6" t="b">
        <f>SUMIF(AS:AS,AS788,AE:AE)/COUNTIF(AS:AS,AS788)=AE788</f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>C788&amp;" | "&amp;F788</f>
        <v>90MB1BJ0-C1BAY0 | 11G23524762B150</v>
      </c>
      <c r="BE788" s="55" t="str">
        <f ca="1">C788&amp;" | "&amp;OFFSET($AF788,0,8-COUNTBLANK($AG788:$AN788))</f>
        <v>90MB1BJ0-C1BAY0 | 59MB1BJB-MB0A02S</v>
      </c>
      <c r="BF788" s="57">
        <f ca="1">IFERROR(VLOOKUP($BE788,$BD$5:$BF787,3,0)*$AE788,VLOOKUP($C788,Demanda!$A:$B,2,0)*$AE788)*IF(AT788="Phantom Alt",$BC788,TRUE)</f>
        <v>49000</v>
      </c>
      <c r="BG788" s="57">
        <f ca="1">BF788*(AP788/100)</f>
        <v>0</v>
      </c>
      <c r="BH788" s="57">
        <f>SUMIF(Invoice!A:A,F788,Invoice!B:B)</f>
        <v>50000</v>
      </c>
      <c r="BI788" s="57">
        <f ca="1">SUMIF(AS:AS,AS788,BG:BG)</f>
        <v>49000</v>
      </c>
      <c r="BJ788" s="57">
        <f ca="1">MIN((BI788-SUMIF($AS$5:AS787,AS788,$BJ$5:BJ787)),MAX(0,BH788-SUMIF($F$5:F787,F788,$BJ$5:BJ787)))</f>
        <v>49000</v>
      </c>
      <c r="BK788" s="57">
        <f ca="1">(-SUMIF(AS:AS,AS788,BG:BG)+SUMIF(AS:AS,AS788,BJ:BJ))*(AP788=100)*AR788</f>
        <v>0</v>
      </c>
      <c r="BL788" s="57">
        <f ca="1">MAX(0,SUMIF(Invoice!A:A,F788,Invoice!B:B)-SUMIF(F:F,F788,BJ:BJ))*(COUNTIF(F:F,F788)=COUNTIF($F$5:F788,F788))</f>
        <v>1000</v>
      </c>
    </row>
    <row r="789" spans="1:64" hidden="1">
      <c r="A789" s="43">
        <v>789</v>
      </c>
      <c r="B789" s="13" t="s">
        <v>147</v>
      </c>
      <c r="C789" s="13" t="s">
        <v>146</v>
      </c>
      <c r="D789" s="13">
        <v>2</v>
      </c>
      <c r="E789" s="13">
        <v>2520</v>
      </c>
      <c r="F789" s="71" t="s">
        <v>1820</v>
      </c>
      <c r="G789" s="71" t="s">
        <v>1821</v>
      </c>
      <c r="H789" s="13" t="s">
        <v>1819</v>
      </c>
      <c r="I789" s="13" t="s">
        <v>54</v>
      </c>
      <c r="J789" s="28">
        <v>100</v>
      </c>
      <c r="K789" s="13" t="s">
        <v>150</v>
      </c>
      <c r="L789" s="13" t="s">
        <v>53</v>
      </c>
      <c r="M789" s="13">
        <v>49</v>
      </c>
      <c r="N789" s="13">
        <v>49</v>
      </c>
      <c r="O789" s="13">
        <v>1</v>
      </c>
      <c r="P789" s="13">
        <v>2</v>
      </c>
      <c r="Q789" s="13">
        <v>1</v>
      </c>
      <c r="R789" s="13" t="s">
        <v>73</v>
      </c>
      <c r="S789" s="13" t="s">
        <v>73</v>
      </c>
      <c r="T789" s="13">
        <v>44901</v>
      </c>
      <c r="U789" s="13">
        <v>2958465</v>
      </c>
      <c r="V789" s="13" t="s">
        <v>282</v>
      </c>
      <c r="W789" s="13" t="s">
        <v>145</v>
      </c>
      <c r="Y789" s="13" t="s">
        <v>143</v>
      </c>
      <c r="Z789" s="13">
        <v>7589154</v>
      </c>
      <c r="AA789" s="13">
        <v>1464</v>
      </c>
      <c r="AB789" s="13">
        <v>732</v>
      </c>
      <c r="AE789" s="51">
        <f>M789/O789</f>
        <v>49</v>
      </c>
      <c r="AG789" s="6" t="str">
        <f>C789</f>
        <v>90MB1BJ0-C1BAY0</v>
      </c>
      <c r="AH789" s="6" t="str">
        <f>IF($D789&lt;=AH$4,"",IF(AND($D788=AH$4,$D789&gt;AH$4),$F788,AH788))</f>
        <v>59MB1BJB-MB0A02S</v>
      </c>
      <c r="AI789" s="6" t="str">
        <f>IF($D789&lt;=AI$4,"",IF(AND($D788=AI$4,$D789&gt;AI$4),$F788,AI788))</f>
        <v/>
      </c>
      <c r="AJ789" s="6" t="str">
        <f>IF($D789&lt;=AJ$4,"",IF(AND($D788=AJ$4,$D789&gt;AJ$4),$F788,AJ788))</f>
        <v/>
      </c>
      <c r="AK789" s="6" t="str">
        <f>IF($D789&lt;=AK$4,"",IF(AND($D788=AK$4,$D789&gt;AK$4),$F788,AK788))</f>
        <v/>
      </c>
      <c r="AL789" s="6" t="str">
        <f>IF($D789&lt;=AL$4,"",IF(AND($D788=AL$4,$D789&gt;AL$4),$F788,AL788))</f>
        <v/>
      </c>
      <c r="AM789" s="6" t="str">
        <f>IF($D789&lt;=AM$4,"",IF(AND($D788=AM$4,$D789&gt;AM$4),$F788,AM788))</f>
        <v/>
      </c>
      <c r="AN789" s="6" t="str">
        <f>IF($D789&lt;=AN$4,"",IF(AND($D788=AN$4,$D789&gt;AN$4),$F788,AN788))</f>
        <v/>
      </c>
      <c r="AO789" s="6" t="str">
        <f>CONCATENATE(AG789," | ",AH789," | ",AI789," | ",AJ789," | ",AK789," | ",AL789," | ",AM789," | ",AN789)</f>
        <v xml:space="preserve">90MB1BJ0-C1BAY0 | 59MB1BJB-MB0A02S |  |  |  |  |  | </v>
      </c>
      <c r="AP789" s="6">
        <f>IF(TRIM(H789)="",100,J789)</f>
        <v>100</v>
      </c>
      <c r="AQ789" s="4"/>
      <c r="AR789" s="6" t="b">
        <f>NOT(TRIM(W789)&lt;&gt;"F")</f>
        <v>1</v>
      </c>
      <c r="AS789" s="6" t="str">
        <f>$B789&amp;" | "&amp;$AO789&amp;" | "&amp;IF(TRIM(H789)="","uniq"&amp;ROW(),TRIM(H789))</f>
        <v>461E | 90MB1BJ0-C1BAY0 | 59MB1BJB-MB0A02S |  |  |  |  |  |  | P2</v>
      </c>
      <c r="AT789" s="63">
        <f>IF(NOT(AR789),IF(TRIM($H789)="","Assembly","Phantom Alt"),VLOOKUP(F789,ZPCS04!B:G,6,0))</f>
        <v>899</v>
      </c>
      <c r="AU789" s="7"/>
      <c r="AV789" s="38">
        <f ca="1">IF(TRIM($W789)="F",OFFSET($A$5,MATCH($AS789,$AS$5:$AS789,0)-1,0),$A789)</f>
        <v>788</v>
      </c>
      <c r="AW789" s="38">
        <f ca="1">IFERROR(OFFSET(ZPCS04!$A$1,MATCH(F789,ZPCS04!B:B,0)-1,0),100)</f>
        <v>2</v>
      </c>
      <c r="AX789" s="7"/>
      <c r="AY789" s="6" t="b">
        <f>SUMIF(AS:AS,AS789,AP:AP)=100</f>
        <v>1</v>
      </c>
      <c r="AZ789" s="6" t="b">
        <f>SUMIF(AS:AS,AS789,AE:AE)/COUNTIF(AS:AS,AS789)=AE789</f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>C789&amp;" | "&amp;F789</f>
        <v>90MB1BJ0-C1BAY0 | 11G23524762B320</v>
      </c>
      <c r="BE789" s="55" t="str">
        <f ca="1">C789&amp;" | "&amp;OFFSET($AF789,0,8-COUNTBLANK($AG789:$AN789))</f>
        <v>90MB1BJ0-C1BAY0 | 59MB1BJB-MB0A02S</v>
      </c>
      <c r="BF789" s="57">
        <f ca="1">IFERROR(VLOOKUP($BE789,$BD$5:$BF788,3,0)*$AE789,VLOOKUP($C789,Demanda!$A:$B,2,0)*$AE789)*IF(AT789="Phantom Alt",$BC789,TRUE)</f>
        <v>49000</v>
      </c>
      <c r="BG789" s="57">
        <f ca="1">BF789*(AP789/100)</f>
        <v>49000</v>
      </c>
      <c r="BH789" s="57">
        <f>SUMIF(Invoice!A:A,F789,Invoice!B:B)</f>
        <v>0</v>
      </c>
      <c r="BI789" s="57">
        <f ca="1">SUMIF(AS:AS,AS789,BG:BG)</f>
        <v>49000</v>
      </c>
      <c r="BJ789" s="57">
        <f ca="1">MIN((BI789-SUMIF($AS$5:AS788,AS789,$BJ$5:BJ788)),MAX(0,BH789-SUMIF($F$5:F788,F789,$BJ$5:BJ788)))</f>
        <v>0</v>
      </c>
      <c r="BK789" s="57">
        <f ca="1">(-SUMIF(AS:AS,AS789,BG:BG)+SUMIF(AS:AS,AS789,BJ:BJ))*(AP789=100)*AR789</f>
        <v>0</v>
      </c>
      <c r="BL789" s="57">
        <f ca="1">MAX(0,SUMIF(Invoice!A:A,F789,Invoice!B:B)-SUMIF(F:F,F789,BJ:BJ))*(COUNTIF(F:F,F789)=COUNTIF($F$5:F789,F789))</f>
        <v>0</v>
      </c>
    </row>
    <row r="790" spans="1:64" hidden="1">
      <c r="A790" s="43">
        <v>790</v>
      </c>
      <c r="B790" s="13" t="s">
        <v>147</v>
      </c>
      <c r="C790" s="13" t="s">
        <v>146</v>
      </c>
      <c r="D790" s="13">
        <v>2</v>
      </c>
      <c r="E790" s="13">
        <v>2520</v>
      </c>
      <c r="F790" s="71" t="s">
        <v>1822</v>
      </c>
      <c r="G790" s="71" t="s">
        <v>1821</v>
      </c>
      <c r="H790" s="13" t="s">
        <v>1819</v>
      </c>
      <c r="I790" s="13" t="s">
        <v>55</v>
      </c>
      <c r="J790" s="28">
        <v>0</v>
      </c>
      <c r="K790" s="13" t="s">
        <v>150</v>
      </c>
      <c r="L790" s="13" t="s">
        <v>53</v>
      </c>
      <c r="M790" s="13">
        <v>49</v>
      </c>
      <c r="O790" s="13">
        <v>1</v>
      </c>
      <c r="P790" s="13">
        <v>2</v>
      </c>
      <c r="Q790" s="13">
        <v>3</v>
      </c>
      <c r="R790" s="13" t="s">
        <v>73</v>
      </c>
      <c r="S790" s="13" t="s">
        <v>73</v>
      </c>
      <c r="T790" s="13">
        <v>44901</v>
      </c>
      <c r="U790" s="13">
        <v>2958465</v>
      </c>
      <c r="V790" s="13" t="s">
        <v>282</v>
      </c>
      <c r="W790" s="13" t="s">
        <v>145</v>
      </c>
      <c r="Y790" s="13" t="s">
        <v>143</v>
      </c>
      <c r="Z790" s="13">
        <v>7589154</v>
      </c>
      <c r="AA790" s="13">
        <v>1468</v>
      </c>
      <c r="AB790" s="13">
        <v>734</v>
      </c>
      <c r="AE790" s="51">
        <f>M790/O790</f>
        <v>49</v>
      </c>
      <c r="AG790" s="6" t="str">
        <f>C790</f>
        <v>90MB1BJ0-C1BAY0</v>
      </c>
      <c r="AH790" s="6" t="str">
        <f>IF($D790&lt;=AH$4,"",IF(AND($D789=AH$4,$D790&gt;AH$4),$F789,AH789))</f>
        <v>59MB1BJB-MB0A02S</v>
      </c>
      <c r="AI790" s="6" t="str">
        <f>IF($D790&lt;=AI$4,"",IF(AND($D789=AI$4,$D790&gt;AI$4),$F789,AI789))</f>
        <v/>
      </c>
      <c r="AJ790" s="6" t="str">
        <f>IF($D790&lt;=AJ$4,"",IF(AND($D789=AJ$4,$D790&gt;AJ$4),$F789,AJ789))</f>
        <v/>
      </c>
      <c r="AK790" s="6" t="str">
        <f>IF($D790&lt;=AK$4,"",IF(AND($D789=AK$4,$D790&gt;AK$4),$F789,AK789))</f>
        <v/>
      </c>
      <c r="AL790" s="6" t="str">
        <f>IF($D790&lt;=AL$4,"",IF(AND($D789=AL$4,$D790&gt;AL$4),$F789,AL789))</f>
        <v/>
      </c>
      <c r="AM790" s="6" t="str">
        <f>IF($D790&lt;=AM$4,"",IF(AND($D789=AM$4,$D790&gt;AM$4),$F789,AM789))</f>
        <v/>
      </c>
      <c r="AN790" s="6" t="str">
        <f>IF($D790&lt;=AN$4,"",IF(AND($D789=AN$4,$D790&gt;AN$4),$F789,AN789))</f>
        <v/>
      </c>
      <c r="AO790" s="6" t="str">
        <f>CONCATENATE(AG790," | ",AH790," | ",AI790," | ",AJ790," | ",AK790," | ",AL790," | ",AM790," | ",AN790)</f>
        <v xml:space="preserve">90MB1BJ0-C1BAY0 | 59MB1BJB-MB0A02S |  |  |  |  |  | </v>
      </c>
      <c r="AP790" s="6">
        <f>IF(TRIM(H790)="",100,J790)</f>
        <v>0</v>
      </c>
      <c r="AQ790" s="4"/>
      <c r="AR790" s="6" t="b">
        <f>NOT(TRIM(W790)&lt;&gt;"F")</f>
        <v>1</v>
      </c>
      <c r="AS790" s="6" t="str">
        <f>$B790&amp;" | "&amp;$AO790&amp;" | "&amp;IF(TRIM(H790)="","uniq"&amp;ROW(),TRIM(H790))</f>
        <v>461E | 90MB1BJ0-C1BAY0 | 59MB1BJB-MB0A02S |  |  |  |  |  |  | P2</v>
      </c>
      <c r="AT790" s="63">
        <f>IF(NOT(AR790),IF(TRIM($H790)="","Assembly","Phantom Alt"),VLOOKUP(F790,ZPCS04!B:G,6,0))</f>
        <v>899</v>
      </c>
      <c r="AU790" s="7"/>
      <c r="AV790" s="38">
        <f ca="1">IF(TRIM($W790)="F",OFFSET($A$5,MATCH($AS790,$AS$5:$AS790,0)-1,0),$A790)</f>
        <v>788</v>
      </c>
      <c r="AW790" s="38">
        <f ca="1">IFERROR(OFFSET(ZPCS04!$A$1,MATCH(F790,ZPCS04!B:B,0)-1,0),100)</f>
        <v>2</v>
      </c>
      <c r="AX790" s="7"/>
      <c r="AY790" s="6" t="b">
        <f>SUMIF(AS:AS,AS790,AP:AP)=100</f>
        <v>1</v>
      </c>
      <c r="AZ790" s="6" t="b">
        <f>SUMIF(AS:AS,AS790,AE:AE)/COUNTIF(AS:AS,AS790)=AE790</f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>C790&amp;" | "&amp;F790</f>
        <v>90MB1BJ0-C1BAY0 | 11G23524762B360</v>
      </c>
      <c r="BE790" s="55" t="str">
        <f ca="1">C790&amp;" | "&amp;OFFSET($AF790,0,8-COUNTBLANK($AG790:$AN790))</f>
        <v>90MB1BJ0-C1BAY0 | 59MB1BJB-MB0A02S</v>
      </c>
      <c r="BF790" s="57">
        <f ca="1">IFERROR(VLOOKUP($BE790,$BD$5:$BF789,3,0)*$AE790,VLOOKUP($C790,Demanda!$A:$B,2,0)*$AE790)*IF(AT790="Phantom Alt",$BC790,TRUE)</f>
        <v>49000</v>
      </c>
      <c r="BG790" s="57">
        <f ca="1">BF790*(AP790/100)</f>
        <v>0</v>
      </c>
      <c r="BH790" s="57">
        <f>SUMIF(Invoice!A:A,F790,Invoice!B:B)</f>
        <v>0</v>
      </c>
      <c r="BI790" s="57">
        <f ca="1">SUMIF(AS:AS,AS790,BG:BG)</f>
        <v>49000</v>
      </c>
      <c r="BJ790" s="57">
        <f ca="1">MIN((BI790-SUMIF($AS$5:AS789,AS790,$BJ$5:BJ789)),MAX(0,BH790-SUMIF($F$5:F789,F790,$BJ$5:BJ789)))</f>
        <v>0</v>
      </c>
      <c r="BK790" s="57">
        <f ca="1">(-SUMIF(AS:AS,AS790,BG:BG)+SUMIF(AS:AS,AS790,BJ:BJ))*(AP790=100)*AR790</f>
        <v>0</v>
      </c>
      <c r="BL790" s="57">
        <f ca="1">MAX(0,SUMIF(Invoice!A:A,F790,Invoice!B:B)-SUMIF(F:F,F790,BJ:BJ))*(COUNTIF(F:F,F790)=COUNTIF($F$5:F790,F790))</f>
        <v>0</v>
      </c>
    </row>
    <row r="791" spans="1:64" hidden="1">
      <c r="A791" s="43">
        <v>791</v>
      </c>
      <c r="B791" s="13" t="s">
        <v>147</v>
      </c>
      <c r="C791" s="13" t="s">
        <v>146</v>
      </c>
      <c r="D791" s="13">
        <v>2</v>
      </c>
      <c r="E791" s="13">
        <v>2530</v>
      </c>
      <c r="F791" s="71" t="s">
        <v>1823</v>
      </c>
      <c r="G791" s="71" t="s">
        <v>1824</v>
      </c>
      <c r="H791" s="13" t="s">
        <v>1825</v>
      </c>
      <c r="I791" s="13" t="s">
        <v>54</v>
      </c>
      <c r="J791" s="28">
        <v>100</v>
      </c>
      <c r="K791" s="13" t="s">
        <v>150</v>
      </c>
      <c r="L791" s="13" t="s">
        <v>53</v>
      </c>
      <c r="M791" s="13">
        <v>1</v>
      </c>
      <c r="N791" s="13">
        <v>1</v>
      </c>
      <c r="O791" s="13">
        <v>1</v>
      </c>
      <c r="P791" s="13">
        <v>2</v>
      </c>
      <c r="Q791" s="13">
        <v>1</v>
      </c>
      <c r="R791" s="13" t="s">
        <v>73</v>
      </c>
      <c r="S791" s="13" t="s">
        <v>73</v>
      </c>
      <c r="T791" s="13">
        <v>44901</v>
      </c>
      <c r="U791" s="13">
        <v>2958465</v>
      </c>
      <c r="V791" s="13" t="s">
        <v>282</v>
      </c>
      <c r="W791" s="13" t="s">
        <v>145</v>
      </c>
      <c r="Y791" s="13" t="s">
        <v>143</v>
      </c>
      <c r="Z791" s="13">
        <v>7589154</v>
      </c>
      <c r="AA791" s="13">
        <v>1470</v>
      </c>
      <c r="AB791" s="13">
        <v>735</v>
      </c>
      <c r="AE791" s="51">
        <f>M791/O791</f>
        <v>1</v>
      </c>
      <c r="AG791" s="6" t="str">
        <f>C791</f>
        <v>90MB1BJ0-C1BAY0</v>
      </c>
      <c r="AH791" s="6" t="str">
        <f>IF($D791&lt;=AH$4,"",IF(AND($D790=AH$4,$D791&gt;AH$4),$F790,AH790))</f>
        <v>59MB1BJB-MB0A02S</v>
      </c>
      <c r="AI791" s="6" t="str">
        <f>IF($D791&lt;=AI$4,"",IF(AND($D790=AI$4,$D791&gt;AI$4),$F790,AI790))</f>
        <v/>
      </c>
      <c r="AJ791" s="6" t="str">
        <f>IF($D791&lt;=AJ$4,"",IF(AND($D790=AJ$4,$D791&gt;AJ$4),$F790,AJ790))</f>
        <v/>
      </c>
      <c r="AK791" s="6" t="str">
        <f>IF($D791&lt;=AK$4,"",IF(AND($D790=AK$4,$D791&gt;AK$4),$F790,AK790))</f>
        <v/>
      </c>
      <c r="AL791" s="6" t="str">
        <f>IF($D791&lt;=AL$4,"",IF(AND($D790=AL$4,$D791&gt;AL$4),$F790,AL790))</f>
        <v/>
      </c>
      <c r="AM791" s="6" t="str">
        <f>IF($D791&lt;=AM$4,"",IF(AND($D790=AM$4,$D791&gt;AM$4),$F790,AM790))</f>
        <v/>
      </c>
      <c r="AN791" s="6" t="str">
        <f>IF($D791&lt;=AN$4,"",IF(AND($D790=AN$4,$D791&gt;AN$4),$F790,AN790))</f>
        <v/>
      </c>
      <c r="AO791" s="6" t="str">
        <f>CONCATENATE(AG791," | ",AH791," | ",AI791," | ",AJ791," | ",AK791," | ",AL791," | ",AM791," | ",AN791)</f>
        <v xml:space="preserve">90MB1BJ0-C1BAY0 | 59MB1BJB-MB0A02S |  |  |  |  |  | </v>
      </c>
      <c r="AP791" s="6">
        <f>IF(TRIM(H791)="",100,J791)</f>
        <v>100</v>
      </c>
      <c r="AQ791" s="4"/>
      <c r="AR791" s="6" t="b">
        <f>NOT(TRIM(W791)&lt;&gt;"F")</f>
        <v>1</v>
      </c>
      <c r="AS791" s="6" t="str">
        <f>$B791&amp;" | "&amp;$AO791&amp;" | "&amp;IF(TRIM(H791)="","uniq"&amp;ROW(),TRIM(H791))</f>
        <v>461E | 90MB1BJ0-C1BAY0 | 59MB1BJB-MB0A02S |  |  |  |  |  |  | P3</v>
      </c>
      <c r="AT791" s="63">
        <f>IF(NOT(AR791),IF(TRIM($H791)="","Assembly","Phantom Alt"),VLOOKUP(F791,ZPCS04!B:G,6,0))</f>
        <v>1285</v>
      </c>
      <c r="AU791" s="7"/>
      <c r="AV791" s="38">
        <f ca="1">IF(TRIM($W791)="F",OFFSET($A$5,MATCH($AS791,$AS$5:$AS791,0)-1,0),$A791)</f>
        <v>791</v>
      </c>
      <c r="AW791" s="38">
        <f ca="1">IFERROR(OFFSET(ZPCS04!$A$1,MATCH(F791,ZPCS04!B:B,0)-1,0),100)</f>
        <v>1.9999999856000001</v>
      </c>
      <c r="AX791" s="7"/>
      <c r="AY791" s="6" t="b">
        <f>SUMIF(AS:AS,AS791,AP:AP)=100</f>
        <v>1</v>
      </c>
      <c r="AZ791" s="6" t="b">
        <f>SUMIF(AS:AS,AS791,AE:AE)/COUNTIF(AS:AS,AS791)=AE791</f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>C791&amp;" | "&amp;F791</f>
        <v>90MB1BJ0-C1BAY0 | 12001-00320200</v>
      </c>
      <c r="BE791" s="55" t="str">
        <f ca="1">C791&amp;" | "&amp;OFFSET($AF791,0,8-COUNTBLANK($AG791:$AN791))</f>
        <v>90MB1BJ0-C1BAY0 | 59MB1BJB-MB0A02S</v>
      </c>
      <c r="BF791" s="57">
        <f ca="1">IFERROR(VLOOKUP($BE791,$BD$5:$BF790,3,0)*$AE791,VLOOKUP($C791,Demanda!$A:$B,2,0)*$AE791)*IF(AT791="Phantom Alt",$BC791,TRUE)</f>
        <v>1000</v>
      </c>
      <c r="BG791" s="57">
        <f ca="1">BF791*(AP791/100)</f>
        <v>1000</v>
      </c>
      <c r="BH791" s="57">
        <f>SUMIF(Invoice!A:A,F791,Invoice!B:B)</f>
        <v>1440</v>
      </c>
      <c r="BI791" s="57">
        <f ca="1">SUMIF(AS:AS,AS791,BG:BG)</f>
        <v>1000</v>
      </c>
      <c r="BJ791" s="57">
        <f ca="1">MIN((BI791-SUMIF($AS$5:AS790,AS791,$BJ$5:BJ790)),MAX(0,BH791-SUMIF($F$5:F790,F791,$BJ$5:BJ790)))</f>
        <v>1000</v>
      </c>
      <c r="BK791" s="57">
        <f ca="1">(-SUMIF(AS:AS,AS791,BG:BG)+SUMIF(AS:AS,AS791,BJ:BJ))*(AP791=100)*AR791</f>
        <v>0</v>
      </c>
      <c r="BL791" s="57">
        <f ca="1">MAX(0,SUMIF(Invoice!A:A,F791,Invoice!B:B)-SUMIF(F:F,F791,BJ:BJ))*(COUNTIF(F:F,F791)=COUNTIF($F$5:F791,F791))</f>
        <v>440</v>
      </c>
    </row>
    <row r="792" spans="1:64" hidden="1">
      <c r="A792" s="43">
        <v>792</v>
      </c>
      <c r="B792" s="13" t="s">
        <v>147</v>
      </c>
      <c r="C792" s="13" t="s">
        <v>146</v>
      </c>
      <c r="D792" s="13">
        <v>2</v>
      </c>
      <c r="E792" s="13">
        <v>2530</v>
      </c>
      <c r="F792" s="71" t="s">
        <v>1826</v>
      </c>
      <c r="G792" s="71" t="s">
        <v>1827</v>
      </c>
      <c r="H792" s="13" t="s">
        <v>1825</v>
      </c>
      <c r="I792" s="13" t="s">
        <v>55</v>
      </c>
      <c r="J792" s="28">
        <v>0</v>
      </c>
      <c r="K792" s="13" t="s">
        <v>150</v>
      </c>
      <c r="L792" s="13" t="s">
        <v>53</v>
      </c>
      <c r="M792" s="13">
        <v>1</v>
      </c>
      <c r="O792" s="13">
        <v>1</v>
      </c>
      <c r="P792" s="13">
        <v>2</v>
      </c>
      <c r="Q792" s="13">
        <v>2</v>
      </c>
      <c r="R792" s="13" t="s">
        <v>73</v>
      </c>
      <c r="S792" s="13" t="s">
        <v>73</v>
      </c>
      <c r="T792" s="13">
        <v>44901</v>
      </c>
      <c r="U792" s="13">
        <v>2958465</v>
      </c>
      <c r="V792" s="13" t="s">
        <v>282</v>
      </c>
      <c r="W792" s="13" t="s">
        <v>145</v>
      </c>
      <c r="Y792" s="13" t="s">
        <v>143</v>
      </c>
      <c r="Z792" s="13">
        <v>7589154</v>
      </c>
      <c r="AA792" s="13">
        <v>1472</v>
      </c>
      <c r="AB792" s="13">
        <v>736</v>
      </c>
      <c r="AE792" s="51">
        <f>M792/O792</f>
        <v>1</v>
      </c>
      <c r="AG792" s="6" t="str">
        <f>C792</f>
        <v>90MB1BJ0-C1BAY0</v>
      </c>
      <c r="AH792" s="6" t="str">
        <f>IF($D792&lt;=AH$4,"",IF(AND($D791=AH$4,$D792&gt;AH$4),$F791,AH791))</f>
        <v>59MB1BJB-MB0A02S</v>
      </c>
      <c r="AI792" s="6" t="str">
        <f>IF($D792&lt;=AI$4,"",IF(AND($D791=AI$4,$D792&gt;AI$4),$F791,AI791))</f>
        <v/>
      </c>
      <c r="AJ792" s="6" t="str">
        <f>IF($D792&lt;=AJ$4,"",IF(AND($D791=AJ$4,$D792&gt;AJ$4),$F791,AJ791))</f>
        <v/>
      </c>
      <c r="AK792" s="6" t="str">
        <f>IF($D792&lt;=AK$4,"",IF(AND($D791=AK$4,$D792&gt;AK$4),$F791,AK791))</f>
        <v/>
      </c>
      <c r="AL792" s="6" t="str">
        <f>IF($D792&lt;=AL$4,"",IF(AND($D791=AL$4,$D792&gt;AL$4),$F791,AL791))</f>
        <v/>
      </c>
      <c r="AM792" s="6" t="str">
        <f>IF($D792&lt;=AM$4,"",IF(AND($D791=AM$4,$D792&gt;AM$4),$F791,AM791))</f>
        <v/>
      </c>
      <c r="AN792" s="6" t="str">
        <f>IF($D792&lt;=AN$4,"",IF(AND($D791=AN$4,$D792&gt;AN$4),$F791,AN791))</f>
        <v/>
      </c>
      <c r="AO792" s="6" t="str">
        <f>CONCATENATE(AG792," | ",AH792," | ",AI792," | ",AJ792," | ",AK792," | ",AL792," | ",AM792," | ",AN792)</f>
        <v xml:space="preserve">90MB1BJ0-C1BAY0 | 59MB1BJB-MB0A02S |  |  |  |  |  | </v>
      </c>
      <c r="AP792" s="6">
        <f>IF(TRIM(H792)="",100,J792)</f>
        <v>0</v>
      </c>
      <c r="AQ792" s="4"/>
      <c r="AR792" s="6" t="b">
        <f>NOT(TRIM(W792)&lt;&gt;"F")</f>
        <v>1</v>
      </c>
      <c r="AS792" s="6" t="str">
        <f>$B792&amp;" | "&amp;$AO792&amp;" | "&amp;IF(TRIM(H792)="","uniq"&amp;ROW(),TRIM(H792))</f>
        <v>461E | 90MB1BJ0-C1BAY0 | 59MB1BJB-MB0A02S |  |  |  |  |  |  | P3</v>
      </c>
      <c r="AT792" s="63">
        <f>IF(NOT(AR792),IF(TRIM($H792)="","Assembly","Phantom Alt"),VLOOKUP(F792,ZPCS04!B:G,6,0))</f>
        <v>1285</v>
      </c>
      <c r="AU792" s="7"/>
      <c r="AV792" s="38">
        <f ca="1">IF(TRIM($W792)="F",OFFSET($A$5,MATCH($AS792,$AS$5:$AS792,0)-1,0),$A792)</f>
        <v>791</v>
      </c>
      <c r="AW792" s="38">
        <f ca="1">IFERROR(OFFSET(ZPCS04!$A$1,MATCH(F792,ZPCS04!B:B,0)-1,0),100)</f>
        <v>2</v>
      </c>
      <c r="AX792" s="7"/>
      <c r="AY792" s="6" t="b">
        <f>SUMIF(AS:AS,AS792,AP:AP)=100</f>
        <v>1</v>
      </c>
      <c r="AZ792" s="6" t="b">
        <f>SUMIF(AS:AS,AS792,AE:AE)/COUNTIF(AS:AS,AS792)=AE792</f>
        <v>1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>C792&amp;" | "&amp;F792</f>
        <v>90MB1BJ0-C1BAY0 | 12001-00320300</v>
      </c>
      <c r="BE792" s="55" t="str">
        <f ca="1">C792&amp;" | "&amp;OFFSET($AF792,0,8-COUNTBLANK($AG792:$AN792))</f>
        <v>90MB1BJ0-C1BAY0 | 59MB1BJB-MB0A02S</v>
      </c>
      <c r="BF792" s="57">
        <f ca="1">IFERROR(VLOOKUP($BE792,$BD$5:$BF791,3,0)*$AE792,VLOOKUP($C792,Demanda!$A:$B,2,0)*$AE792)*IF(AT792="Phantom Alt",$BC792,TRUE)</f>
        <v>1000</v>
      </c>
      <c r="BG792" s="57">
        <f ca="1">BF792*(AP792/100)</f>
        <v>0</v>
      </c>
      <c r="BH792" s="57">
        <f>SUMIF(Invoice!A:A,F792,Invoice!B:B)</f>
        <v>0</v>
      </c>
      <c r="BI792" s="57">
        <f ca="1">SUMIF(AS:AS,AS792,BG:BG)</f>
        <v>1000</v>
      </c>
      <c r="BJ792" s="57">
        <f ca="1">MIN((BI792-SUMIF($AS$5:AS791,AS792,$BJ$5:BJ791)),MAX(0,BH792-SUMIF($F$5:F791,F792,$BJ$5:BJ791)))</f>
        <v>0</v>
      </c>
      <c r="BK792" s="57">
        <f ca="1">(-SUMIF(AS:AS,AS792,BG:BG)+SUMIF(AS:AS,AS792,BJ:BJ))*(AP792=100)*AR792</f>
        <v>0</v>
      </c>
      <c r="BL792" s="57">
        <f ca="1">MAX(0,SUMIF(Invoice!A:A,F792,Invoice!B:B)-SUMIF(F:F,F792,BJ:BJ))*(COUNTIF(F:F,F792)=COUNTIF($F$5:F792,F792))</f>
        <v>0</v>
      </c>
    </row>
    <row r="793" spans="1:64" hidden="1">
      <c r="A793" s="43">
        <v>794</v>
      </c>
      <c r="B793" s="13" t="s">
        <v>147</v>
      </c>
      <c r="C793" s="13" t="s">
        <v>146</v>
      </c>
      <c r="D793" s="13">
        <v>2</v>
      </c>
      <c r="E793" s="13">
        <v>2540</v>
      </c>
      <c r="F793" s="71" t="s">
        <v>1831</v>
      </c>
      <c r="G793" s="71" t="s">
        <v>1829</v>
      </c>
      <c r="H793" s="13" t="s">
        <v>1830</v>
      </c>
      <c r="I793" s="13" t="s">
        <v>54</v>
      </c>
      <c r="J793" s="28">
        <v>100</v>
      </c>
      <c r="K793" s="13" t="s">
        <v>150</v>
      </c>
      <c r="L793" s="13" t="s">
        <v>53</v>
      </c>
      <c r="M793" s="13">
        <v>2</v>
      </c>
      <c r="N793" s="13">
        <v>2</v>
      </c>
      <c r="O793" s="13">
        <v>1</v>
      </c>
      <c r="P793" s="13">
        <v>2</v>
      </c>
      <c r="Q793" s="13">
        <v>1</v>
      </c>
      <c r="R793" s="13" t="s">
        <v>73</v>
      </c>
      <c r="S793" s="13" t="s">
        <v>73</v>
      </c>
      <c r="T793" s="13">
        <v>44901</v>
      </c>
      <c r="U793" s="13">
        <v>2958465</v>
      </c>
      <c r="V793" s="13" t="s">
        <v>282</v>
      </c>
      <c r="W793" s="13" t="s">
        <v>145</v>
      </c>
      <c r="Y793" s="13" t="s">
        <v>143</v>
      </c>
      <c r="Z793" s="13">
        <v>7589154</v>
      </c>
      <c r="AA793" s="13">
        <v>1474</v>
      </c>
      <c r="AB793" s="13">
        <v>737</v>
      </c>
      <c r="AE793" s="51">
        <f>M793/O793</f>
        <v>2</v>
      </c>
      <c r="AG793" s="6" t="str">
        <f>C793</f>
        <v>90MB1BJ0-C1BAY0</v>
      </c>
      <c r="AH793" s="6" t="str">
        <f>IF($D793&lt;=AH$4,"",IF(AND($D792=AH$4,$D793&gt;AH$4),$F792,AH792))</f>
        <v>59MB1BJB-MB0A02S</v>
      </c>
      <c r="AI793" s="6" t="str">
        <f>IF($D793&lt;=AI$4,"",IF(AND($D792=AI$4,$D793&gt;AI$4),$F792,AI792))</f>
        <v/>
      </c>
      <c r="AJ793" s="6" t="str">
        <f>IF($D793&lt;=AJ$4,"",IF(AND($D792=AJ$4,$D793&gt;AJ$4),$F792,AJ792))</f>
        <v/>
      </c>
      <c r="AK793" s="6" t="str">
        <f>IF($D793&lt;=AK$4,"",IF(AND($D792=AK$4,$D793&gt;AK$4),$F792,AK792))</f>
        <v/>
      </c>
      <c r="AL793" s="6" t="str">
        <f>IF($D793&lt;=AL$4,"",IF(AND($D792=AL$4,$D793&gt;AL$4),$F792,AL792))</f>
        <v/>
      </c>
      <c r="AM793" s="6" t="str">
        <f>IF($D793&lt;=AM$4,"",IF(AND($D792=AM$4,$D793&gt;AM$4),$F792,AM792))</f>
        <v/>
      </c>
      <c r="AN793" s="6" t="str">
        <f>IF($D793&lt;=AN$4,"",IF(AND($D792=AN$4,$D793&gt;AN$4),$F792,AN792))</f>
        <v/>
      </c>
      <c r="AO793" s="6" t="str">
        <f>CONCATENATE(AG793," | ",AH793," | ",AI793," | ",AJ793," | ",AK793," | ",AL793," | ",AM793," | ",AN793)</f>
        <v xml:space="preserve">90MB1BJ0-C1BAY0 | 59MB1BJB-MB0A02S |  |  |  |  |  | </v>
      </c>
      <c r="AP793" s="6">
        <f>IF(TRIM(H793)="",100,J793)</f>
        <v>100</v>
      </c>
      <c r="AQ793" s="4"/>
      <c r="AR793" s="6" t="b">
        <f>NOT(TRIM(W793)&lt;&gt;"F")</f>
        <v>1</v>
      </c>
      <c r="AS793" s="6" t="str">
        <f>$B793&amp;" | "&amp;$AO793&amp;" | "&amp;IF(TRIM(H793)="","uniq"&amp;ROW(),TRIM(H793))</f>
        <v>461E | 90MB1BJ0-C1BAY0 | 59MB1BJB-MB0A02S |  |  |  |  |  |  | P4</v>
      </c>
      <c r="AT793" s="63">
        <f>IF(NOT(AR793),IF(TRIM($H793)="","Assembly","Phantom Alt"),VLOOKUP(F793,ZPCS04!B:G,6,0))</f>
        <v>1286</v>
      </c>
      <c r="AU793" s="7"/>
      <c r="AV793" s="38">
        <f ca="1">IF(TRIM($W793)="F",OFFSET($A$5,MATCH($AS793,$AS$5:$AS793,0)-1,0),$A793)</f>
        <v>794</v>
      </c>
      <c r="AW793" s="38">
        <f ca="1">IFERROR(OFFSET(ZPCS04!$A$1,MATCH(F793,ZPCS04!B:B,0)-1,0),100)</f>
        <v>1.9999999769599999</v>
      </c>
      <c r="AX793" s="7"/>
      <c r="AY793" s="6" t="b">
        <f>SUMIF(AS:AS,AS793,AP:AP)=100</f>
        <v>1</v>
      </c>
      <c r="AZ793" s="6" t="b">
        <f>SUMIF(AS:AS,AS793,AE:AE)/COUNTIF(AS:AS,AS793)=AE793</f>
        <v>1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>C793&amp;" | "&amp;F793</f>
        <v>90MB1BJ0-C1BAY0 | 12002-00143000</v>
      </c>
      <c r="BE793" s="55" t="str">
        <f ca="1">C793&amp;" | "&amp;OFFSET($AF793,0,8-COUNTBLANK($AG793:$AN793))</f>
        <v>90MB1BJ0-C1BAY0 | 59MB1BJB-MB0A02S</v>
      </c>
      <c r="BF793" s="57">
        <f ca="1">IFERROR(VLOOKUP($BE793,$BD$5:$BF792,3,0)*$AE793,VLOOKUP($C793,Demanda!$A:$B,2,0)*$AE793)*IF(AT793="Phantom Alt",$BC793,TRUE)</f>
        <v>2000</v>
      </c>
      <c r="BG793" s="57">
        <f ca="1">BF793*(AP793/100)</f>
        <v>2000</v>
      </c>
      <c r="BH793" s="57">
        <f>SUMIF(Invoice!A:A,F793,Invoice!B:B)</f>
        <v>2304</v>
      </c>
      <c r="BI793" s="57">
        <f ca="1">SUMIF(AS:AS,AS793,BG:BG)</f>
        <v>2000</v>
      </c>
      <c r="BJ793" s="57">
        <f ca="1">MIN((BI793-SUMIF($AS$5:AS792,AS793,$BJ$5:BJ792)),MAX(0,BH793-SUMIF($F$5:F792,F793,$BJ$5:BJ792)))</f>
        <v>2000</v>
      </c>
      <c r="BK793" s="57">
        <f ca="1">(-SUMIF(AS:AS,AS793,BG:BG)+SUMIF(AS:AS,AS793,BJ:BJ))*(AP793=100)*AR793</f>
        <v>0</v>
      </c>
      <c r="BL793" s="57">
        <f ca="1">MAX(0,SUMIF(Invoice!A:A,F793,Invoice!B:B)-SUMIF(F:F,F793,BJ:BJ))*(COUNTIF(F:F,F793)=COUNTIF($F$5:F793,F793))</f>
        <v>304</v>
      </c>
    </row>
    <row r="794" spans="1:64" hidden="1">
      <c r="A794" s="43">
        <v>793</v>
      </c>
      <c r="B794" s="13" t="s">
        <v>147</v>
      </c>
      <c r="C794" s="13" t="s">
        <v>146</v>
      </c>
      <c r="D794" s="13">
        <v>2</v>
      </c>
      <c r="E794" s="13">
        <v>2540</v>
      </c>
      <c r="F794" s="71" t="s">
        <v>1828</v>
      </c>
      <c r="G794" s="71" t="s">
        <v>1829</v>
      </c>
      <c r="H794" s="13" t="s">
        <v>1830</v>
      </c>
      <c r="I794" s="13" t="s">
        <v>55</v>
      </c>
      <c r="J794" s="28">
        <v>0</v>
      </c>
      <c r="K794" s="13" t="s">
        <v>150</v>
      </c>
      <c r="L794" s="13" t="s">
        <v>53</v>
      </c>
      <c r="M794" s="13">
        <v>2</v>
      </c>
      <c r="O794" s="13">
        <v>1</v>
      </c>
      <c r="P794" s="13">
        <v>2</v>
      </c>
      <c r="Q794" s="13">
        <v>2</v>
      </c>
      <c r="R794" s="13" t="s">
        <v>73</v>
      </c>
      <c r="S794" s="13" t="s">
        <v>73</v>
      </c>
      <c r="T794" s="13">
        <v>44901</v>
      </c>
      <c r="U794" s="13">
        <v>2958465</v>
      </c>
      <c r="V794" s="13" t="s">
        <v>282</v>
      </c>
      <c r="W794" s="13" t="s">
        <v>145</v>
      </c>
      <c r="Y794" s="13" t="s">
        <v>143</v>
      </c>
      <c r="Z794" s="13">
        <v>7589154</v>
      </c>
      <c r="AA794" s="13">
        <v>1476</v>
      </c>
      <c r="AB794" s="13">
        <v>738</v>
      </c>
      <c r="AE794" s="51">
        <f>M794/O794</f>
        <v>2</v>
      </c>
      <c r="AG794" s="6" t="str">
        <f>C794</f>
        <v>90MB1BJ0-C1BAY0</v>
      </c>
      <c r="AH794" s="6" t="str">
        <f>IF($D794&lt;=AH$4,"",IF(AND($D793=AH$4,$D794&gt;AH$4),$F793,AH793))</f>
        <v>59MB1BJB-MB0A02S</v>
      </c>
      <c r="AI794" s="6" t="str">
        <f>IF($D794&lt;=AI$4,"",IF(AND($D793=AI$4,$D794&gt;AI$4),$F793,AI793))</f>
        <v/>
      </c>
      <c r="AJ794" s="6" t="str">
        <f>IF($D794&lt;=AJ$4,"",IF(AND($D793=AJ$4,$D794&gt;AJ$4),$F793,AJ793))</f>
        <v/>
      </c>
      <c r="AK794" s="6" t="str">
        <f>IF($D794&lt;=AK$4,"",IF(AND($D793=AK$4,$D794&gt;AK$4),$F793,AK793))</f>
        <v/>
      </c>
      <c r="AL794" s="6" t="str">
        <f>IF($D794&lt;=AL$4,"",IF(AND($D793=AL$4,$D794&gt;AL$4),$F793,AL793))</f>
        <v/>
      </c>
      <c r="AM794" s="6" t="str">
        <f>IF($D794&lt;=AM$4,"",IF(AND($D793=AM$4,$D794&gt;AM$4),$F793,AM793))</f>
        <v/>
      </c>
      <c r="AN794" s="6" t="str">
        <f>IF($D794&lt;=AN$4,"",IF(AND($D793=AN$4,$D794&gt;AN$4),$F793,AN793))</f>
        <v/>
      </c>
      <c r="AO794" s="6" t="str">
        <f>CONCATENATE(AG794," | ",AH794," | ",AI794," | ",AJ794," | ",AK794," | ",AL794," | ",AM794," | ",AN794)</f>
        <v xml:space="preserve">90MB1BJ0-C1BAY0 | 59MB1BJB-MB0A02S |  |  |  |  |  | </v>
      </c>
      <c r="AP794" s="6">
        <f>IF(TRIM(H794)="",100,J794)</f>
        <v>0</v>
      </c>
      <c r="AQ794" s="4"/>
      <c r="AR794" s="6" t="b">
        <f>NOT(TRIM(W794)&lt;&gt;"F")</f>
        <v>1</v>
      </c>
      <c r="AS794" s="6" t="str">
        <f>$B794&amp;" | "&amp;$AO794&amp;" | "&amp;IF(TRIM(H794)="","uniq"&amp;ROW(),TRIM(H794))</f>
        <v>461E | 90MB1BJ0-C1BAY0 | 59MB1BJB-MB0A02S |  |  |  |  |  |  | P4</v>
      </c>
      <c r="AT794" s="63">
        <f>IF(NOT(AR794),IF(TRIM($H794)="","Assembly","Phantom Alt"),VLOOKUP(F794,ZPCS04!B:G,6,0))</f>
        <v>1286</v>
      </c>
      <c r="AU794" s="7"/>
      <c r="AV794" s="38">
        <f ca="1">IF(TRIM($W794)="F",OFFSET($A$5,MATCH($AS794,$AS$5:$AS794,0)-1,0),$A794)</f>
        <v>794</v>
      </c>
      <c r="AW794" s="38">
        <f ca="1">IFERROR(OFFSET(ZPCS04!$A$1,MATCH(F794,ZPCS04!B:B,0)-1,0),100)</f>
        <v>2</v>
      </c>
      <c r="AX794" s="7"/>
      <c r="AY794" s="6" t="b">
        <f>SUMIF(AS:AS,AS794,AP:AP)=100</f>
        <v>1</v>
      </c>
      <c r="AZ794" s="6" t="b">
        <f>SUMIF(AS:AS,AS794,AE:AE)/COUNTIF(AS:AS,AS794)=AE794</f>
        <v>1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>C794&amp;" | "&amp;F794</f>
        <v>90MB1BJ0-C1BAY0 | 12002-00142500</v>
      </c>
      <c r="BE794" s="55" t="str">
        <f ca="1">C794&amp;" | "&amp;OFFSET($AF794,0,8-COUNTBLANK($AG794:$AN794))</f>
        <v>90MB1BJ0-C1BAY0 | 59MB1BJB-MB0A02S</v>
      </c>
      <c r="BF794" s="57">
        <f ca="1">IFERROR(VLOOKUP($BE794,$BD$5:$BF793,3,0)*$AE794,VLOOKUP($C794,Demanda!$A:$B,2,0)*$AE794)*IF(AT794="Phantom Alt",$BC794,TRUE)</f>
        <v>2000</v>
      </c>
      <c r="BG794" s="57">
        <f ca="1">BF794*(AP794/100)</f>
        <v>0</v>
      </c>
      <c r="BH794" s="57">
        <f>SUMIF(Invoice!A:A,F794,Invoice!B:B)</f>
        <v>0</v>
      </c>
      <c r="BI794" s="57">
        <f ca="1">SUMIF(AS:AS,AS794,BG:BG)</f>
        <v>2000</v>
      </c>
      <c r="BJ794" s="57">
        <f ca="1">MIN((BI794-SUMIF($AS$5:AS793,AS794,$BJ$5:BJ793)),MAX(0,BH794-SUMIF($F$5:F793,F794,$BJ$5:BJ793)))</f>
        <v>0</v>
      </c>
      <c r="BK794" s="57">
        <f ca="1">(-SUMIF(AS:AS,AS794,BG:BG)+SUMIF(AS:AS,AS794,BJ:BJ))*(AP794=100)*AR794</f>
        <v>0</v>
      </c>
      <c r="BL794" s="57">
        <f ca="1">MAX(0,SUMIF(Invoice!A:A,F794,Invoice!B:B)-SUMIF(F:F,F794,BJ:BJ))*(COUNTIF(F:F,F794)=COUNTIF($F$5:F794,F794))</f>
        <v>0</v>
      </c>
    </row>
    <row r="795" spans="1:64" hidden="1">
      <c r="A795" s="43">
        <v>795</v>
      </c>
      <c r="B795" s="13" t="s">
        <v>147</v>
      </c>
      <c r="C795" s="13" t="s">
        <v>146</v>
      </c>
      <c r="D795" s="13">
        <v>2</v>
      </c>
      <c r="E795" s="13">
        <v>2550</v>
      </c>
      <c r="F795" s="71" t="s">
        <v>1832</v>
      </c>
      <c r="G795" s="71" t="s">
        <v>1833</v>
      </c>
      <c r="H795" s="13" t="s">
        <v>1834</v>
      </c>
      <c r="I795" s="13" t="s">
        <v>54</v>
      </c>
      <c r="J795" s="28">
        <v>100</v>
      </c>
      <c r="K795" s="13" t="s">
        <v>150</v>
      </c>
      <c r="L795" s="13" t="s">
        <v>53</v>
      </c>
      <c r="M795" s="13">
        <v>2</v>
      </c>
      <c r="N795" s="13">
        <v>2</v>
      </c>
      <c r="O795" s="13">
        <v>1</v>
      </c>
      <c r="P795" s="13">
        <v>2</v>
      </c>
      <c r="Q795" s="13">
        <v>1</v>
      </c>
      <c r="R795" s="13" t="s">
        <v>73</v>
      </c>
      <c r="S795" s="13" t="s">
        <v>73</v>
      </c>
      <c r="T795" s="13">
        <v>44901</v>
      </c>
      <c r="U795" s="13">
        <v>2958465</v>
      </c>
      <c r="V795" s="13" t="s">
        <v>282</v>
      </c>
      <c r="W795" s="13" t="s">
        <v>145</v>
      </c>
      <c r="Y795" s="13" t="s">
        <v>143</v>
      </c>
      <c r="Z795" s="13">
        <v>7589154</v>
      </c>
      <c r="AA795" s="13">
        <v>1478</v>
      </c>
      <c r="AB795" s="13">
        <v>739</v>
      </c>
      <c r="AE795" s="51">
        <f>M795/O795</f>
        <v>2</v>
      </c>
      <c r="AG795" s="6" t="str">
        <f>C795</f>
        <v>90MB1BJ0-C1BAY0</v>
      </c>
      <c r="AH795" s="6" t="str">
        <f>IF($D795&lt;=AH$4,"",IF(AND($D794=AH$4,$D795&gt;AH$4),$F794,AH794))</f>
        <v>59MB1BJB-MB0A02S</v>
      </c>
      <c r="AI795" s="6" t="str">
        <f>IF($D795&lt;=AI$4,"",IF(AND($D794=AI$4,$D795&gt;AI$4),$F794,AI794))</f>
        <v/>
      </c>
      <c r="AJ795" s="6" t="str">
        <f>IF($D795&lt;=AJ$4,"",IF(AND($D794=AJ$4,$D795&gt;AJ$4),$F794,AJ794))</f>
        <v/>
      </c>
      <c r="AK795" s="6" t="str">
        <f>IF($D795&lt;=AK$4,"",IF(AND($D794=AK$4,$D795&gt;AK$4),$F794,AK794))</f>
        <v/>
      </c>
      <c r="AL795" s="6" t="str">
        <f>IF($D795&lt;=AL$4,"",IF(AND($D794=AL$4,$D795&gt;AL$4),$F794,AL794))</f>
        <v/>
      </c>
      <c r="AM795" s="6" t="str">
        <f>IF($D795&lt;=AM$4,"",IF(AND($D794=AM$4,$D795&gt;AM$4),$F794,AM794))</f>
        <v/>
      </c>
      <c r="AN795" s="6" t="str">
        <f>IF($D795&lt;=AN$4,"",IF(AND($D794=AN$4,$D795&gt;AN$4),$F794,AN794))</f>
        <v/>
      </c>
      <c r="AO795" s="6" t="str">
        <f>CONCATENATE(AG795," | ",AH795," | ",AI795," | ",AJ795," | ",AK795," | ",AL795," | ",AM795," | ",AN795)</f>
        <v xml:space="preserve">90MB1BJ0-C1BAY0 | 59MB1BJB-MB0A02S |  |  |  |  |  | </v>
      </c>
      <c r="AP795" s="6">
        <f>IF(TRIM(H795)="",100,J795)</f>
        <v>100</v>
      </c>
      <c r="AQ795" s="4"/>
      <c r="AR795" s="6" t="b">
        <f>NOT(TRIM(W795)&lt;&gt;"F")</f>
        <v>1</v>
      </c>
      <c r="AS795" s="6" t="str">
        <f>$B795&amp;" | "&amp;$AO795&amp;" | "&amp;IF(TRIM(H795)="","uniq"&amp;ROW(),TRIM(H795))</f>
        <v>461E | 90MB1BJ0-C1BAY0 | 59MB1BJB-MB0A02S |  |  |  |  |  |  | P5</v>
      </c>
      <c r="AT795" s="63">
        <f>IF(NOT(AR795),IF(TRIM($H795)="","Assembly","Phantom Alt"),VLOOKUP(F795,ZPCS04!B:G,6,0))</f>
        <v>336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1.9999999559999999</v>
      </c>
      <c r="AX795" s="7"/>
      <c r="AY795" s="6" t="b">
        <f>SUMIF(AS:AS,AS795,AP:AP)=100</f>
        <v>1</v>
      </c>
      <c r="AZ795" s="6" t="b">
        <f>SUMIF(AS:AS,AS795,AE:AE)/COUNTIF(AS:AS,AS795)=AE795</f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>C795&amp;" | "&amp;F795</f>
        <v>90MB1BJ0-C1BAY0 | 12003-00180700</v>
      </c>
      <c r="BE795" s="55" t="str">
        <f ca="1">C795&amp;" | "&amp;OFFSET($AF795,0,8-COUNTBLANK($AG795:$AN795))</f>
        <v>90MB1BJ0-C1BAY0 | 59MB1BJB-MB0A02S</v>
      </c>
      <c r="BF795" s="57">
        <f ca="1">IFERROR(VLOOKUP($BE795,$BD$5:$BF794,3,0)*$AE795,VLOOKUP($C795,Demanda!$A:$B,2,0)*$AE795)*IF(AT795="Phantom Alt",$BC795,TRUE)</f>
        <v>2000</v>
      </c>
      <c r="BG795" s="57">
        <f ca="1">BF795*(AP795/100)</f>
        <v>2000</v>
      </c>
      <c r="BH795" s="57">
        <f>SUMIF(Invoice!A:A,F795,Invoice!B:B)</f>
        <v>4400</v>
      </c>
      <c r="BI795" s="57">
        <f ca="1">SUMIF(AS:AS,AS795,BG:BG)</f>
        <v>2000</v>
      </c>
      <c r="BJ795" s="57">
        <f ca="1">MIN((BI795-SUMIF($AS$5:AS794,AS795,$BJ$5:BJ794)),MAX(0,BH795-SUMIF($F$5:F794,F795,$BJ$5:BJ794)))</f>
        <v>2000</v>
      </c>
      <c r="BK795" s="57">
        <f ca="1">(-SUMIF(AS:AS,AS795,BG:BG)+SUMIF(AS:AS,AS795,BJ:BJ))*(AP795=100)*AR795</f>
        <v>0</v>
      </c>
      <c r="BL795" s="57">
        <f ca="1">MAX(0,SUMIF(Invoice!A:A,F795,Invoice!B:B)-SUMIF(F:F,F795,BJ:BJ))*(COUNTIF(F:F,F795)=COUNTIF($F$5:F795,F795))</f>
        <v>2400</v>
      </c>
    </row>
    <row r="796" spans="1:64" hidden="1">
      <c r="A796" s="43">
        <v>796</v>
      </c>
      <c r="B796" s="13" t="s">
        <v>147</v>
      </c>
      <c r="C796" s="13" t="s">
        <v>146</v>
      </c>
      <c r="D796" s="13">
        <v>2</v>
      </c>
      <c r="E796" s="13">
        <v>2550</v>
      </c>
      <c r="F796" s="71" t="s">
        <v>1835</v>
      </c>
      <c r="G796" s="71" t="s">
        <v>1836</v>
      </c>
      <c r="H796" s="13" t="s">
        <v>1834</v>
      </c>
      <c r="I796" s="13" t="s">
        <v>55</v>
      </c>
      <c r="J796" s="28">
        <v>0</v>
      </c>
      <c r="K796" s="13" t="s">
        <v>150</v>
      </c>
      <c r="L796" s="13" t="s">
        <v>53</v>
      </c>
      <c r="M796" s="13">
        <v>2</v>
      </c>
      <c r="O796" s="13">
        <v>1</v>
      </c>
      <c r="P796" s="13">
        <v>2</v>
      </c>
      <c r="Q796" s="13">
        <v>2</v>
      </c>
      <c r="R796" s="13" t="s">
        <v>73</v>
      </c>
      <c r="S796" s="13" t="s">
        <v>73</v>
      </c>
      <c r="T796" s="13">
        <v>44901</v>
      </c>
      <c r="U796" s="13">
        <v>2958465</v>
      </c>
      <c r="V796" s="13" t="s">
        <v>282</v>
      </c>
      <c r="W796" s="13" t="s">
        <v>145</v>
      </c>
      <c r="Y796" s="13" t="s">
        <v>143</v>
      </c>
      <c r="Z796" s="13">
        <v>7589154</v>
      </c>
      <c r="AA796" s="13">
        <v>1480</v>
      </c>
      <c r="AB796" s="13">
        <v>740</v>
      </c>
      <c r="AE796" s="51">
        <f>M796/O796</f>
        <v>2</v>
      </c>
      <c r="AG796" s="6" t="str">
        <f>C796</f>
        <v>90MB1BJ0-C1BAY0</v>
      </c>
      <c r="AH796" s="6" t="str">
        <f>IF($D796&lt;=AH$4,"",IF(AND($D795=AH$4,$D796&gt;AH$4),$F795,AH795))</f>
        <v>59MB1BJB-MB0A02S</v>
      </c>
      <c r="AI796" s="6" t="str">
        <f>IF($D796&lt;=AI$4,"",IF(AND($D795=AI$4,$D796&gt;AI$4),$F795,AI795))</f>
        <v/>
      </c>
      <c r="AJ796" s="6" t="str">
        <f>IF($D796&lt;=AJ$4,"",IF(AND($D795=AJ$4,$D796&gt;AJ$4),$F795,AJ795))</f>
        <v/>
      </c>
      <c r="AK796" s="6" t="str">
        <f>IF($D796&lt;=AK$4,"",IF(AND($D795=AK$4,$D796&gt;AK$4),$F795,AK795))</f>
        <v/>
      </c>
      <c r="AL796" s="6" t="str">
        <f>IF($D796&lt;=AL$4,"",IF(AND($D795=AL$4,$D796&gt;AL$4),$F795,AL795))</f>
        <v/>
      </c>
      <c r="AM796" s="6" t="str">
        <f>IF($D796&lt;=AM$4,"",IF(AND($D795=AM$4,$D796&gt;AM$4),$F795,AM795))</f>
        <v/>
      </c>
      <c r="AN796" s="6" t="str">
        <f>IF($D796&lt;=AN$4,"",IF(AND($D795=AN$4,$D796&gt;AN$4),$F795,AN795))</f>
        <v/>
      </c>
      <c r="AO796" s="6" t="str">
        <f>CONCATENATE(AG796," | ",AH796," | ",AI796," | ",AJ796," | ",AK796," | ",AL796," | ",AM796," | ",AN796)</f>
        <v xml:space="preserve">90MB1BJ0-C1BAY0 | 59MB1BJB-MB0A02S |  |  |  |  |  | </v>
      </c>
      <c r="AP796" s="6">
        <f>IF(TRIM(H796)="",100,J796)</f>
        <v>0</v>
      </c>
      <c r="AQ796" s="4"/>
      <c r="AR796" s="6" t="b">
        <f>NOT(TRIM(W796)&lt;&gt;"F")</f>
        <v>1</v>
      </c>
      <c r="AS796" s="6" t="str">
        <f>$B796&amp;" | "&amp;$AO796&amp;" | "&amp;IF(TRIM(H796)="","uniq"&amp;ROW(),TRIM(H796))</f>
        <v>461E | 90MB1BJ0-C1BAY0 | 59MB1BJB-MB0A02S |  |  |  |  |  |  | P5</v>
      </c>
      <c r="AT796" s="63">
        <f>IF(NOT(AR796),IF(TRIM($H796)="","Assembly","Phantom Alt"),VLOOKUP(F796,ZPCS04!B:G,6,0))</f>
        <v>336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2</v>
      </c>
      <c r="AX796" s="7"/>
      <c r="AY796" s="6" t="b">
        <f>SUMIF(AS:AS,AS796,AP:AP)=100</f>
        <v>1</v>
      </c>
      <c r="AZ796" s="6" t="b">
        <f>SUMIF(AS:AS,AS796,AE:AE)/COUNTIF(AS:AS,AS796)=AE796</f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>C796&amp;" | "&amp;F796</f>
        <v>90MB1BJ0-C1BAY0 | 12003-00181000</v>
      </c>
      <c r="BE796" s="55" t="str">
        <f ca="1">C796&amp;" | "&amp;OFFSET($AF796,0,8-COUNTBLANK($AG796:$AN796))</f>
        <v>90MB1BJ0-C1BAY0 | 59MB1BJB-MB0A02S</v>
      </c>
      <c r="BF796" s="57">
        <f ca="1">IFERROR(VLOOKUP($BE796,$BD$5:$BF795,3,0)*$AE796,VLOOKUP($C796,Demanda!$A:$B,2,0)*$AE796)*IF(AT796="Phantom Alt",$BC796,TRUE)</f>
        <v>2000</v>
      </c>
      <c r="BG796" s="57">
        <f ca="1">BF796*(AP796/100)</f>
        <v>0</v>
      </c>
      <c r="BH796" s="57">
        <f>SUMIF(Invoice!A:A,F796,Invoice!B:B)</f>
        <v>0</v>
      </c>
      <c r="BI796" s="57">
        <f ca="1">SUMIF(AS:AS,AS796,BG:BG)</f>
        <v>2000</v>
      </c>
      <c r="BJ796" s="57">
        <f ca="1">MIN((BI796-SUMIF($AS$5:AS795,AS796,$BJ$5:BJ795)),MAX(0,BH796-SUMIF($F$5:F795,F796,$BJ$5:BJ795)))</f>
        <v>0</v>
      </c>
      <c r="BK796" s="57">
        <f ca="1">(-SUMIF(AS:AS,AS796,BG:BG)+SUMIF(AS:AS,AS796,BJ:BJ))*(AP796=100)*AR796</f>
        <v>0</v>
      </c>
      <c r="BL796" s="57">
        <f ca="1">MAX(0,SUMIF(Invoice!A:A,F796,Invoice!B:B)-SUMIF(F:F,F796,BJ:BJ))*(COUNTIF(F:F,F796)=COUNTIF($F$5:F796,F796))</f>
        <v>0</v>
      </c>
    </row>
    <row r="797" spans="1:64" hidden="1">
      <c r="A797" s="43">
        <v>797</v>
      </c>
      <c r="B797" s="13" t="s">
        <v>147</v>
      </c>
      <c r="C797" s="13" t="s">
        <v>146</v>
      </c>
      <c r="D797" s="13">
        <v>2</v>
      </c>
      <c r="E797" s="13">
        <v>2550</v>
      </c>
      <c r="F797" s="71" t="s">
        <v>1837</v>
      </c>
      <c r="G797" s="71" t="s">
        <v>1838</v>
      </c>
      <c r="H797" s="13" t="s">
        <v>1834</v>
      </c>
      <c r="I797" s="13" t="s">
        <v>55</v>
      </c>
      <c r="J797" s="28">
        <v>0</v>
      </c>
      <c r="K797" s="13" t="s">
        <v>150</v>
      </c>
      <c r="L797" s="13" t="s">
        <v>53</v>
      </c>
      <c r="M797" s="13">
        <v>2</v>
      </c>
      <c r="O797" s="13">
        <v>1</v>
      </c>
      <c r="P797" s="13">
        <v>2</v>
      </c>
      <c r="Q797" s="13">
        <v>3</v>
      </c>
      <c r="R797" s="13" t="s">
        <v>73</v>
      </c>
      <c r="S797" s="13" t="s">
        <v>73</v>
      </c>
      <c r="T797" s="13">
        <v>44901</v>
      </c>
      <c r="U797" s="13">
        <v>2958465</v>
      </c>
      <c r="V797" s="13" t="s">
        <v>282</v>
      </c>
      <c r="W797" s="13" t="s">
        <v>145</v>
      </c>
      <c r="Y797" s="13" t="s">
        <v>143</v>
      </c>
      <c r="Z797" s="13">
        <v>7589154</v>
      </c>
      <c r="AA797" s="13">
        <v>1482</v>
      </c>
      <c r="AB797" s="13">
        <v>741</v>
      </c>
      <c r="AE797" s="51">
        <f>M797/O797</f>
        <v>2</v>
      </c>
      <c r="AG797" s="6" t="str">
        <f>C797</f>
        <v>90MB1BJ0-C1BAY0</v>
      </c>
      <c r="AH797" s="6" t="str">
        <f>IF($D797&lt;=AH$4,"",IF(AND($D796=AH$4,$D797&gt;AH$4),$F796,AH796))</f>
        <v>59MB1BJB-MB0A02S</v>
      </c>
      <c r="AI797" s="6" t="str">
        <f>IF($D797&lt;=AI$4,"",IF(AND($D796=AI$4,$D797&gt;AI$4),$F796,AI796))</f>
        <v/>
      </c>
      <c r="AJ797" s="6" t="str">
        <f>IF($D797&lt;=AJ$4,"",IF(AND($D796=AJ$4,$D797&gt;AJ$4),$F796,AJ796))</f>
        <v/>
      </c>
      <c r="AK797" s="6" t="str">
        <f>IF($D797&lt;=AK$4,"",IF(AND($D796=AK$4,$D797&gt;AK$4),$F796,AK796))</f>
        <v/>
      </c>
      <c r="AL797" s="6" t="str">
        <f>IF($D797&lt;=AL$4,"",IF(AND($D796=AL$4,$D797&gt;AL$4),$F796,AL796))</f>
        <v/>
      </c>
      <c r="AM797" s="6" t="str">
        <f>IF($D797&lt;=AM$4,"",IF(AND($D796=AM$4,$D797&gt;AM$4),$F796,AM796))</f>
        <v/>
      </c>
      <c r="AN797" s="6" t="str">
        <f>IF($D797&lt;=AN$4,"",IF(AND($D796=AN$4,$D797&gt;AN$4),$F796,AN796))</f>
        <v/>
      </c>
      <c r="AO797" s="6" t="str">
        <f>CONCATENATE(AG797," | ",AH797," | ",AI797," | ",AJ797," | ",AK797," | ",AL797," | ",AM797," | ",AN797)</f>
        <v xml:space="preserve">90MB1BJ0-C1BAY0 | 59MB1BJB-MB0A02S |  |  |  |  |  | </v>
      </c>
      <c r="AP797" s="6">
        <f>IF(TRIM(H797)="",100,J797)</f>
        <v>0</v>
      </c>
      <c r="AQ797" s="4"/>
      <c r="AR797" s="6" t="b">
        <f>NOT(TRIM(W797)&lt;&gt;"F")</f>
        <v>1</v>
      </c>
      <c r="AS797" s="6" t="str">
        <f>$B797&amp;" | "&amp;$AO797&amp;" | "&amp;IF(TRIM(H797)="","uniq"&amp;ROW(),TRIM(H797))</f>
        <v>461E | 90MB1BJ0-C1BAY0 | 59MB1BJB-MB0A02S |  |  |  |  |  |  | P5</v>
      </c>
      <c r="AT797" s="63">
        <f>IF(NOT(AR797),IF(TRIM($H797)="","Assembly","Phantom Alt"),VLOOKUP(F797,ZPCS04!B:G,6,0))</f>
        <v>336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>SUMIF(AS:AS,AS797,AP:AP)=100</f>
        <v>1</v>
      </c>
      <c r="AZ797" s="6" t="b">
        <f>SUMIF(AS:AS,AS797,AE:AE)/COUNTIF(AS:AS,AS797)=AE797</f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>C797&amp;" | "&amp;F797</f>
        <v>90MB1BJ0-C1BAY0 | 12003-00182800</v>
      </c>
      <c r="BE797" s="55" t="str">
        <f ca="1">C797&amp;" | "&amp;OFFSET($AF797,0,8-COUNTBLANK($AG797:$AN797))</f>
        <v>90MB1BJ0-C1BAY0 | 59MB1BJB-MB0A02S</v>
      </c>
      <c r="BF797" s="57">
        <f ca="1">IFERROR(VLOOKUP($BE797,$BD$5:$BF796,3,0)*$AE797,VLOOKUP($C797,Demanda!$A:$B,2,0)*$AE797)*IF(AT797="Phantom Alt",$BC797,TRUE)</f>
        <v>2000</v>
      </c>
      <c r="BG797" s="57">
        <f ca="1">BF797*(AP797/100)</f>
        <v>0</v>
      </c>
      <c r="BH797" s="57">
        <f>SUMIF(Invoice!A:A,F797,Invoice!B:B)</f>
        <v>0</v>
      </c>
      <c r="BI797" s="57">
        <f ca="1">SUMIF(AS:AS,AS797,BG:BG)</f>
        <v>2000</v>
      </c>
      <c r="BJ797" s="57">
        <f ca="1">MIN((BI797-SUMIF($AS$5:AS796,AS797,$BJ$5:BJ796)),MAX(0,BH797-SUMIF($F$5:F796,F797,$BJ$5:BJ796)))</f>
        <v>0</v>
      </c>
      <c r="BK797" s="57">
        <f ca="1">(-SUMIF(AS:AS,AS797,BG:BG)+SUMIF(AS:AS,AS797,BJ:BJ))*(AP797=100)*AR797</f>
        <v>0</v>
      </c>
      <c r="BL797" s="57">
        <f ca="1">MAX(0,SUMIF(Invoice!A:A,F797,Invoice!B:B)-SUMIF(F:F,F797,BJ:BJ))*(COUNTIF(F:F,F797)=COUNTIF($F$5:F797,F797))</f>
        <v>0</v>
      </c>
    </row>
    <row r="798" spans="1:64" hidden="1">
      <c r="A798" s="43">
        <v>798</v>
      </c>
      <c r="B798" s="13" t="s">
        <v>147</v>
      </c>
      <c r="C798" s="13" t="s">
        <v>146</v>
      </c>
      <c r="D798" s="13">
        <v>2</v>
      </c>
      <c r="E798" s="13">
        <v>2560</v>
      </c>
      <c r="F798" s="71" t="s">
        <v>1839</v>
      </c>
      <c r="G798" s="71" t="s">
        <v>1840</v>
      </c>
      <c r="I798" s="13" t="s">
        <v>54</v>
      </c>
      <c r="J798" s="28">
        <v>0</v>
      </c>
      <c r="K798" s="13" t="s">
        <v>150</v>
      </c>
      <c r="L798" s="13" t="s">
        <v>53</v>
      </c>
      <c r="M798" s="13">
        <v>1</v>
      </c>
      <c r="N798" s="13">
        <v>1</v>
      </c>
      <c r="O798" s="13">
        <v>1</v>
      </c>
      <c r="R798" s="13" t="s">
        <v>73</v>
      </c>
      <c r="S798" s="13" t="s">
        <v>73</v>
      </c>
      <c r="T798" s="13">
        <v>44901</v>
      </c>
      <c r="U798" s="13">
        <v>2958465</v>
      </c>
      <c r="V798" s="13" t="s">
        <v>282</v>
      </c>
      <c r="W798" s="13" t="s">
        <v>145</v>
      </c>
      <c r="Y798" s="13" t="s">
        <v>143</v>
      </c>
      <c r="Z798" s="13">
        <v>7589154</v>
      </c>
      <c r="AA798" s="13">
        <v>1484</v>
      </c>
      <c r="AB798" s="13">
        <v>742</v>
      </c>
      <c r="AE798" s="51">
        <f>M798/O798</f>
        <v>1</v>
      </c>
      <c r="AG798" s="6" t="str">
        <f>C798</f>
        <v>90MB1BJ0-C1BAY0</v>
      </c>
      <c r="AH798" s="6" t="str">
        <f>IF($D798&lt;=AH$4,"",IF(AND($D797=AH$4,$D798&gt;AH$4),$F797,AH797))</f>
        <v>59MB1BJB-MB0A02S</v>
      </c>
      <c r="AI798" s="6" t="str">
        <f>IF($D798&lt;=AI$4,"",IF(AND($D797=AI$4,$D798&gt;AI$4),$F797,AI797))</f>
        <v/>
      </c>
      <c r="AJ798" s="6" t="str">
        <f>IF($D798&lt;=AJ$4,"",IF(AND($D797=AJ$4,$D798&gt;AJ$4),$F797,AJ797))</f>
        <v/>
      </c>
      <c r="AK798" s="6" t="str">
        <f>IF($D798&lt;=AK$4,"",IF(AND($D797=AK$4,$D798&gt;AK$4),$F797,AK797))</f>
        <v/>
      </c>
      <c r="AL798" s="6" t="str">
        <f>IF($D798&lt;=AL$4,"",IF(AND($D797=AL$4,$D798&gt;AL$4),$F797,AL797))</f>
        <v/>
      </c>
      <c r="AM798" s="6" t="str">
        <f>IF($D798&lt;=AM$4,"",IF(AND($D797=AM$4,$D798&gt;AM$4),$F797,AM797))</f>
        <v/>
      </c>
      <c r="AN798" s="6" t="str">
        <f>IF($D798&lt;=AN$4,"",IF(AND($D797=AN$4,$D798&gt;AN$4),$F797,AN797))</f>
        <v/>
      </c>
      <c r="AO798" s="6" t="str">
        <f>CONCATENATE(AG798," | ",AH798," | ",AI798," | ",AJ798," | ",AK798," | ",AL798," | ",AM798," | ",AN798)</f>
        <v xml:space="preserve">90MB1BJ0-C1BAY0 | 59MB1BJB-MB0A02S |  |  |  |  |  | </v>
      </c>
      <c r="AP798" s="6">
        <f>IF(TRIM(H798)="",100,J798)</f>
        <v>100</v>
      </c>
      <c r="AQ798" s="4"/>
      <c r="AR798" s="6" t="b">
        <f>NOT(TRIM(W798)&lt;&gt;"F")</f>
        <v>1</v>
      </c>
      <c r="AS798" s="6" t="str">
        <f>$B798&amp;" | "&amp;$AO798&amp;" | "&amp;IF(TRIM(H798)="","uniq"&amp;ROW(),TRIM(H798))</f>
        <v>461E | 90MB1BJ0-C1BAY0 | 59MB1BJB-MB0A02S |  |  |  |  |  |  | uniq798</v>
      </c>
      <c r="AT798" s="63">
        <f>IF(NOT(AR798),IF(TRIM($H798)="","Assembly","Phantom Alt"),VLOOKUP(F798,ZPCS04!B:G,6,0))</f>
        <v>131</v>
      </c>
      <c r="AU798" s="7"/>
      <c r="AV798" s="38">
        <f ca="1">IF(TRIM($W798)="F",OFFSET($A$5,MATCH($AS798,$AS$5:$AS798,0)-1,0),$A798)</f>
        <v>798</v>
      </c>
      <c r="AW798" s="38">
        <f ca="1">IFERROR(OFFSET(ZPCS04!$A$1,MATCH(F798,ZPCS04!B:B,0)-1,0),100)</f>
        <v>1.9999999669999999</v>
      </c>
      <c r="AX798" s="7"/>
      <c r="AY798" s="6" t="b">
        <f>SUMIF(AS:AS,AS798,AP:AP)=100</f>
        <v>1</v>
      </c>
      <c r="AZ798" s="6" t="b">
        <f>SUMIF(AS:AS,AS798,AE:AE)/COUNTIF(AS:AS,AS798)=AE798</f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>C798&amp;" | "&amp;F798</f>
        <v>90MB1BJ0-C1BAY0 | 12003-00182100</v>
      </c>
      <c r="BE798" s="55" t="str">
        <f ca="1">C798&amp;" | "&amp;OFFSET($AF798,0,8-COUNTBLANK($AG798:$AN798))</f>
        <v>90MB1BJ0-C1BAY0 | 59MB1BJB-MB0A02S</v>
      </c>
      <c r="BF798" s="57">
        <f ca="1">IFERROR(VLOOKUP($BE798,$BD$5:$BF797,3,0)*$AE798,VLOOKUP($C798,Demanda!$A:$B,2,0)*$AE798)*IF(AT798="Phantom Alt",$BC798,TRUE)</f>
        <v>1000</v>
      </c>
      <c r="BG798" s="57">
        <f ca="1">BF798*(AP798/100)</f>
        <v>1000</v>
      </c>
      <c r="BH798" s="57">
        <f>SUMIF(Invoice!A:A,F798,Invoice!B:B)</f>
        <v>3300</v>
      </c>
      <c r="BI798" s="57">
        <f ca="1">SUMIF(AS:AS,AS798,BG:BG)</f>
        <v>1000</v>
      </c>
      <c r="BJ798" s="57">
        <f ca="1">MIN((BI798-SUMIF($AS$5:AS797,AS798,$BJ$5:BJ797)),MAX(0,BH798-SUMIF($F$5:F797,F798,$BJ$5:BJ797)))</f>
        <v>1000</v>
      </c>
      <c r="BK798" s="57">
        <f ca="1">(-SUMIF(AS:AS,AS798,BG:BG)+SUMIF(AS:AS,AS798,BJ:BJ))*(AP798=100)*AR798</f>
        <v>0</v>
      </c>
      <c r="BL798" s="57">
        <f ca="1">MAX(0,SUMIF(Invoice!A:A,F798,Invoice!B:B)-SUMIF(F:F,F798,BJ:BJ))*(COUNTIF(F:F,F798)=COUNTIF($F$5:F798,F798))</f>
        <v>2300</v>
      </c>
    </row>
    <row r="799" spans="1:64" hidden="1">
      <c r="A799" s="43">
        <v>799</v>
      </c>
      <c r="B799" s="13" t="s">
        <v>147</v>
      </c>
      <c r="C799" s="13" t="s">
        <v>146</v>
      </c>
      <c r="D799" s="13">
        <v>2</v>
      </c>
      <c r="E799" s="13">
        <v>2570</v>
      </c>
      <c r="F799" s="71" t="s">
        <v>1841</v>
      </c>
      <c r="G799" s="71" t="s">
        <v>1842</v>
      </c>
      <c r="H799" s="13" t="s">
        <v>1843</v>
      </c>
      <c r="I799" s="13" t="s">
        <v>55</v>
      </c>
      <c r="J799" s="28">
        <v>0</v>
      </c>
      <c r="K799" s="13" t="s">
        <v>150</v>
      </c>
      <c r="L799" s="13" t="s">
        <v>53</v>
      </c>
      <c r="M799" s="13">
        <v>1</v>
      </c>
      <c r="O799" s="13">
        <v>1</v>
      </c>
      <c r="P799" s="13">
        <v>2</v>
      </c>
      <c r="Q799" s="13">
        <v>3</v>
      </c>
      <c r="R799" s="13" t="s">
        <v>73</v>
      </c>
      <c r="S799" s="13" t="s">
        <v>73</v>
      </c>
      <c r="T799" s="13">
        <v>44901</v>
      </c>
      <c r="U799" s="13">
        <v>2958465</v>
      </c>
      <c r="V799" s="13" t="s">
        <v>282</v>
      </c>
      <c r="W799" s="13" t="s">
        <v>145</v>
      </c>
      <c r="Y799" s="13" t="s">
        <v>143</v>
      </c>
      <c r="Z799" s="13">
        <v>7589154</v>
      </c>
      <c r="AA799" s="13">
        <v>1490</v>
      </c>
      <c r="AB799" s="13">
        <v>745</v>
      </c>
      <c r="AE799" s="51">
        <f>M799/O799</f>
        <v>1</v>
      </c>
      <c r="AG799" s="6" t="str">
        <f>C799</f>
        <v>90MB1BJ0-C1BAY0</v>
      </c>
      <c r="AH799" s="6" t="str">
        <f>IF($D799&lt;=AH$4,"",IF(AND($D798=AH$4,$D799&gt;AH$4),$F798,AH798))</f>
        <v>59MB1BJB-MB0A02S</v>
      </c>
      <c r="AI799" s="6" t="str">
        <f>IF($D799&lt;=AI$4,"",IF(AND($D798=AI$4,$D799&gt;AI$4),$F798,AI798))</f>
        <v/>
      </c>
      <c r="AJ799" s="6" t="str">
        <f>IF($D799&lt;=AJ$4,"",IF(AND($D798=AJ$4,$D799&gt;AJ$4),$F798,AJ798))</f>
        <v/>
      </c>
      <c r="AK799" s="6" t="str">
        <f>IF($D799&lt;=AK$4,"",IF(AND($D798=AK$4,$D799&gt;AK$4),$F798,AK798))</f>
        <v/>
      </c>
      <c r="AL799" s="6" t="str">
        <f>IF($D799&lt;=AL$4,"",IF(AND($D798=AL$4,$D799&gt;AL$4),$F798,AL798))</f>
        <v/>
      </c>
      <c r="AM799" s="6" t="str">
        <f>IF($D799&lt;=AM$4,"",IF(AND($D798=AM$4,$D799&gt;AM$4),$F798,AM798))</f>
        <v/>
      </c>
      <c r="AN799" s="6" t="str">
        <f>IF($D799&lt;=AN$4,"",IF(AND($D798=AN$4,$D799&gt;AN$4),$F798,AN798))</f>
        <v/>
      </c>
      <c r="AO799" s="6" t="str">
        <f>CONCATENATE(AG799," | ",AH799," | ",AI799," | ",AJ799," | ",AK799," | ",AL799," | ",AM799," | ",AN799)</f>
        <v xml:space="preserve">90MB1BJ0-C1BAY0 | 59MB1BJB-MB0A02S |  |  |  |  |  | </v>
      </c>
      <c r="AP799" s="6">
        <f>IF(TRIM(H799)="",100,J799)</f>
        <v>0</v>
      </c>
      <c r="AQ799" s="4"/>
      <c r="AR799" s="6" t="b">
        <f>NOT(TRIM(W799)&lt;&gt;"F")</f>
        <v>1</v>
      </c>
      <c r="AS799" s="6" t="str">
        <f>$B799&amp;" | "&amp;$AO799&amp;" | "&amp;IF(TRIM(H799)="","uniq"&amp;ROW(),TRIM(H799))</f>
        <v>461E | 90MB1BJ0-C1BAY0 | 59MB1BJB-MB0A02S |  |  |  |  |  |  | P7</v>
      </c>
      <c r="AT799" s="63">
        <f>IF(NOT(AR799),IF(TRIM($H799)="","Assembly","Phantom Alt"),VLOOKUP(F799,ZPCS04!B:G,6,0))</f>
        <v>774</v>
      </c>
      <c r="AU799" s="7"/>
      <c r="AV799" s="38">
        <f ca="1">IF(TRIM($W799)="F",OFFSET($A$5,MATCH($AS799,$AS$5:$AS799,0)-1,0),$A799)</f>
        <v>799</v>
      </c>
      <c r="AW799" s="38">
        <f ca="1">IFERROR(OFFSET(ZPCS04!$A$1,MATCH(F799,ZPCS04!B:B,0)-1,0),100)</f>
        <v>1.9999999614999999</v>
      </c>
      <c r="AX799" s="7"/>
      <c r="AY799" s="6" t="b">
        <f>SUMIF(AS:AS,AS799,AP:AP)=100</f>
        <v>1</v>
      </c>
      <c r="AZ799" s="6" t="b">
        <f>SUMIF(AS:AS,AS799,AE:AE)/COUNTIF(AS:AS,AS799)=AE799</f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>C799&amp;" | "&amp;F799</f>
        <v>90MB1BJ0-C1BAY0 | 12003-00162900</v>
      </c>
      <c r="BE799" s="55" t="str">
        <f ca="1">C799&amp;" | "&amp;OFFSET($AF799,0,8-COUNTBLANK($AG799:$AN799))</f>
        <v>90MB1BJ0-C1BAY0 | 59MB1BJB-MB0A02S</v>
      </c>
      <c r="BF799" s="57">
        <f ca="1">IFERROR(VLOOKUP($BE799,$BD$5:$BF798,3,0)*$AE799,VLOOKUP($C799,Demanda!$A:$B,2,0)*$AE799)*IF(AT799="Phantom Alt",$BC799,TRUE)</f>
        <v>1000</v>
      </c>
      <c r="BG799" s="57">
        <f ca="1">BF799*(AP799/100)</f>
        <v>0</v>
      </c>
      <c r="BH799" s="57">
        <f>SUMIF(Invoice!A:A,F799,Invoice!B:B)</f>
        <v>3850</v>
      </c>
      <c r="BI799" s="57">
        <f ca="1">SUMIF(AS:AS,AS799,BG:BG)</f>
        <v>1000</v>
      </c>
      <c r="BJ799" s="57">
        <f ca="1">MIN((BI799-SUMIF($AS$5:AS798,AS799,$BJ$5:BJ798)),MAX(0,BH799-SUMIF($F$5:F798,F799,$BJ$5:BJ798)))</f>
        <v>1000</v>
      </c>
      <c r="BK799" s="57">
        <f ca="1">(-SUMIF(AS:AS,AS799,BG:BG)+SUMIF(AS:AS,AS799,BJ:BJ))*(AP799=100)*AR799</f>
        <v>0</v>
      </c>
      <c r="BL799" s="57">
        <f ca="1">MAX(0,SUMIF(Invoice!A:A,F799,Invoice!B:B)-SUMIF(F:F,F799,BJ:BJ))*(COUNTIF(F:F,F799)=COUNTIF($F$5:F799,F799))</f>
        <v>2850</v>
      </c>
    </row>
    <row r="800" spans="1:64" hidden="1">
      <c r="A800" s="43">
        <v>800</v>
      </c>
      <c r="B800" s="13" t="s">
        <v>147</v>
      </c>
      <c r="C800" s="13" t="s">
        <v>146</v>
      </c>
      <c r="D800" s="13">
        <v>2</v>
      </c>
      <c r="E800" s="13">
        <v>2570</v>
      </c>
      <c r="F800" s="71" t="s">
        <v>1844</v>
      </c>
      <c r="G800" s="71" t="s">
        <v>1845</v>
      </c>
      <c r="H800" s="13" t="s">
        <v>1843</v>
      </c>
      <c r="I800" s="13" t="s">
        <v>55</v>
      </c>
      <c r="J800" s="28">
        <v>0</v>
      </c>
      <c r="K800" s="13" t="s">
        <v>150</v>
      </c>
      <c r="L800" s="13" t="s">
        <v>53</v>
      </c>
      <c r="M800" s="13">
        <v>1</v>
      </c>
      <c r="O800" s="13">
        <v>1</v>
      </c>
      <c r="P800" s="13">
        <v>2</v>
      </c>
      <c r="Q800" s="13">
        <v>2</v>
      </c>
      <c r="R800" s="13" t="s">
        <v>73</v>
      </c>
      <c r="S800" s="13" t="s">
        <v>73</v>
      </c>
      <c r="T800" s="13">
        <v>44901</v>
      </c>
      <c r="U800" s="13">
        <v>2958465</v>
      </c>
      <c r="V800" s="13" t="s">
        <v>282</v>
      </c>
      <c r="W800" s="13" t="s">
        <v>145</v>
      </c>
      <c r="Y800" s="13" t="s">
        <v>143</v>
      </c>
      <c r="Z800" s="13">
        <v>7589154</v>
      </c>
      <c r="AA800" s="13">
        <v>1488</v>
      </c>
      <c r="AB800" s="13">
        <v>744</v>
      </c>
      <c r="AE800" s="51">
        <f>M800/O800</f>
        <v>1</v>
      </c>
      <c r="AG800" s="6" t="str">
        <f>C800</f>
        <v>90MB1BJ0-C1BAY0</v>
      </c>
      <c r="AH800" s="6" t="str">
        <f>IF($D800&lt;=AH$4,"",IF(AND($D799=AH$4,$D800&gt;AH$4),$F799,AH799))</f>
        <v>59MB1BJB-MB0A02S</v>
      </c>
      <c r="AI800" s="6" t="str">
        <f>IF($D800&lt;=AI$4,"",IF(AND($D799=AI$4,$D800&gt;AI$4),$F799,AI799))</f>
        <v/>
      </c>
      <c r="AJ800" s="6" t="str">
        <f>IF($D800&lt;=AJ$4,"",IF(AND($D799=AJ$4,$D800&gt;AJ$4),$F799,AJ799))</f>
        <v/>
      </c>
      <c r="AK800" s="6" t="str">
        <f>IF($D800&lt;=AK$4,"",IF(AND($D799=AK$4,$D800&gt;AK$4),$F799,AK799))</f>
        <v/>
      </c>
      <c r="AL800" s="6" t="str">
        <f>IF($D800&lt;=AL$4,"",IF(AND($D799=AL$4,$D800&gt;AL$4),$F799,AL799))</f>
        <v/>
      </c>
      <c r="AM800" s="6" t="str">
        <f>IF($D800&lt;=AM$4,"",IF(AND($D799=AM$4,$D800&gt;AM$4),$F799,AM799))</f>
        <v/>
      </c>
      <c r="AN800" s="6" t="str">
        <f>IF($D800&lt;=AN$4,"",IF(AND($D799=AN$4,$D800&gt;AN$4),$F799,AN799))</f>
        <v/>
      </c>
      <c r="AO800" s="6" t="str">
        <f>CONCATENATE(AG800," | ",AH800," | ",AI800," | ",AJ800," | ",AK800," | ",AL800," | ",AM800," | ",AN800)</f>
        <v xml:space="preserve">90MB1BJ0-C1BAY0 | 59MB1BJB-MB0A02S |  |  |  |  |  | </v>
      </c>
      <c r="AP800" s="6">
        <f>IF(TRIM(H800)="",100,J800)</f>
        <v>0</v>
      </c>
      <c r="AQ800" s="4"/>
      <c r="AR800" s="6" t="b">
        <f>NOT(TRIM(W800)&lt;&gt;"F")</f>
        <v>1</v>
      </c>
      <c r="AS800" s="6" t="str">
        <f>$B800&amp;" | "&amp;$AO800&amp;" | "&amp;IF(TRIM(H800)="","uniq"&amp;ROW(),TRIM(H800))</f>
        <v>461E | 90MB1BJ0-C1BAY0 | 59MB1BJB-MB0A02S |  |  |  |  |  |  | P7</v>
      </c>
      <c r="AT800" s="63">
        <f>IF(NOT(AR800),IF(TRIM($H800)="","Assembly","Phantom Alt"),VLOOKUP(F800,ZPCS04!B:G,6,0))</f>
        <v>774</v>
      </c>
      <c r="AU800" s="7"/>
      <c r="AV800" s="38">
        <f ca="1">IF(TRIM($W800)="F",OFFSET($A$5,MATCH($AS800,$AS$5:$AS800,0)-1,0),$A800)</f>
        <v>799</v>
      </c>
      <c r="AW800" s="38">
        <f ca="1">IFERROR(OFFSET(ZPCS04!$A$1,MATCH(F800,ZPCS04!B:B,0)-1,0),100)</f>
        <v>2</v>
      </c>
      <c r="AX800" s="7"/>
      <c r="AY800" s="6" t="b">
        <f>SUMIF(AS:AS,AS800,AP:AP)=100</f>
        <v>1</v>
      </c>
      <c r="AZ800" s="6" t="b">
        <f>SUMIF(AS:AS,AS800,AE:AE)/COUNTIF(AS:AS,AS800)=AE800</f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>C800&amp;" | "&amp;F800</f>
        <v>90MB1BJ0-C1BAY0 | 12003-00180400</v>
      </c>
      <c r="BE800" s="55" t="str">
        <f ca="1">C800&amp;" | "&amp;OFFSET($AF800,0,8-COUNTBLANK($AG800:$AN800))</f>
        <v>90MB1BJ0-C1BAY0 | 59MB1BJB-MB0A02S</v>
      </c>
      <c r="BF800" s="57">
        <f ca="1">IFERROR(VLOOKUP($BE800,$BD$5:$BF799,3,0)*$AE800,VLOOKUP($C800,Demanda!$A:$B,2,0)*$AE800)*IF(AT800="Phantom Alt",$BC800,TRUE)</f>
        <v>1000</v>
      </c>
      <c r="BG800" s="57">
        <f ca="1">BF800*(AP800/100)</f>
        <v>0</v>
      </c>
      <c r="BH800" s="57">
        <f>SUMIF(Invoice!A:A,F800,Invoice!B:B)</f>
        <v>0</v>
      </c>
      <c r="BI800" s="57">
        <f ca="1">SUMIF(AS:AS,AS800,BG:BG)</f>
        <v>1000</v>
      </c>
      <c r="BJ800" s="57">
        <f ca="1">MIN((BI800-SUMIF($AS$5:AS799,AS800,$BJ$5:BJ799)),MAX(0,BH800-SUMIF($F$5:F799,F800,$BJ$5:BJ799)))</f>
        <v>0</v>
      </c>
      <c r="BK800" s="57">
        <f ca="1">(-SUMIF(AS:AS,AS800,BG:BG)+SUMIF(AS:AS,AS800,BJ:BJ))*(AP800=100)*AR800</f>
        <v>0</v>
      </c>
      <c r="BL800" s="57">
        <f ca="1">MAX(0,SUMIF(Invoice!A:A,F800,Invoice!B:B)-SUMIF(F:F,F800,BJ:BJ))*(COUNTIF(F:F,F800)=COUNTIF($F$5:F800,F800))</f>
        <v>0</v>
      </c>
    </row>
    <row r="801" spans="1:64" hidden="1">
      <c r="A801" s="43">
        <v>801</v>
      </c>
      <c r="B801" s="13" t="s">
        <v>147</v>
      </c>
      <c r="C801" s="13" t="s">
        <v>146</v>
      </c>
      <c r="D801" s="13">
        <v>2</v>
      </c>
      <c r="E801" s="13">
        <v>2570</v>
      </c>
      <c r="F801" s="71" t="s">
        <v>1846</v>
      </c>
      <c r="G801" s="71" t="s">
        <v>1847</v>
      </c>
      <c r="H801" s="13" t="s">
        <v>1843</v>
      </c>
      <c r="I801" s="13" t="s">
        <v>54</v>
      </c>
      <c r="J801" s="28">
        <v>100</v>
      </c>
      <c r="K801" s="13" t="s">
        <v>150</v>
      </c>
      <c r="L801" s="13" t="s">
        <v>53</v>
      </c>
      <c r="M801" s="13">
        <v>1</v>
      </c>
      <c r="N801" s="13">
        <v>1</v>
      </c>
      <c r="O801" s="13">
        <v>1</v>
      </c>
      <c r="P801" s="13">
        <v>2</v>
      </c>
      <c r="Q801" s="13">
        <v>1</v>
      </c>
      <c r="R801" s="13" t="s">
        <v>73</v>
      </c>
      <c r="S801" s="13" t="s">
        <v>73</v>
      </c>
      <c r="T801" s="13">
        <v>44901</v>
      </c>
      <c r="U801" s="13">
        <v>2958465</v>
      </c>
      <c r="V801" s="13" t="s">
        <v>282</v>
      </c>
      <c r="W801" s="13" t="s">
        <v>145</v>
      </c>
      <c r="Y801" s="13" t="s">
        <v>143</v>
      </c>
      <c r="Z801" s="13">
        <v>7589154</v>
      </c>
      <c r="AA801" s="13">
        <v>1486</v>
      </c>
      <c r="AB801" s="13">
        <v>743</v>
      </c>
      <c r="AE801" s="51">
        <f>M801/O801</f>
        <v>1</v>
      </c>
      <c r="AG801" s="6" t="str">
        <f>C801</f>
        <v>90MB1BJ0-C1BAY0</v>
      </c>
      <c r="AH801" s="6" t="str">
        <f>IF($D801&lt;=AH$4,"",IF(AND($D800=AH$4,$D801&gt;AH$4),$F800,AH800))</f>
        <v>59MB1BJB-MB0A02S</v>
      </c>
      <c r="AI801" s="6" t="str">
        <f>IF($D801&lt;=AI$4,"",IF(AND($D800=AI$4,$D801&gt;AI$4),$F800,AI800))</f>
        <v/>
      </c>
      <c r="AJ801" s="6" t="str">
        <f>IF($D801&lt;=AJ$4,"",IF(AND($D800=AJ$4,$D801&gt;AJ$4),$F800,AJ800))</f>
        <v/>
      </c>
      <c r="AK801" s="6" t="str">
        <f>IF($D801&lt;=AK$4,"",IF(AND($D800=AK$4,$D801&gt;AK$4),$F800,AK800))</f>
        <v/>
      </c>
      <c r="AL801" s="6" t="str">
        <f>IF($D801&lt;=AL$4,"",IF(AND($D800=AL$4,$D801&gt;AL$4),$F800,AL800))</f>
        <v/>
      </c>
      <c r="AM801" s="6" t="str">
        <f>IF($D801&lt;=AM$4,"",IF(AND($D800=AM$4,$D801&gt;AM$4),$F800,AM800))</f>
        <v/>
      </c>
      <c r="AN801" s="6" t="str">
        <f>IF($D801&lt;=AN$4,"",IF(AND($D800=AN$4,$D801&gt;AN$4),$F800,AN800))</f>
        <v/>
      </c>
      <c r="AO801" s="6" t="str">
        <f>CONCATENATE(AG801," | ",AH801," | ",AI801," | ",AJ801," | ",AK801," | ",AL801," | ",AM801," | ",AN801)</f>
        <v xml:space="preserve">90MB1BJ0-C1BAY0 | 59MB1BJB-MB0A02S |  |  |  |  |  | </v>
      </c>
      <c r="AP801" s="6">
        <f>IF(TRIM(H801)="",100,J801)</f>
        <v>100</v>
      </c>
      <c r="AQ801" s="4"/>
      <c r="AR801" s="6" t="b">
        <f>NOT(TRIM(W801)&lt;&gt;"F")</f>
        <v>1</v>
      </c>
      <c r="AS801" s="6" t="str">
        <f>$B801&amp;" | "&amp;$AO801&amp;" | "&amp;IF(TRIM(H801)="","uniq"&amp;ROW(),TRIM(H801))</f>
        <v>461E | 90MB1BJ0-C1BAY0 | 59MB1BJB-MB0A02S |  |  |  |  |  |  | P7</v>
      </c>
      <c r="AT801" s="63">
        <f>IF(NOT(AR801),IF(TRIM($H801)="","Assembly","Phantom Alt"),VLOOKUP(F801,ZPCS04!B:G,6,0))</f>
        <v>774</v>
      </c>
      <c r="AU801" s="7"/>
      <c r="AV801" s="38">
        <f ca="1">IF(TRIM($W801)="F",OFFSET($A$5,MATCH($AS801,$AS$5:$AS801,0)-1,0),$A801)</f>
        <v>799</v>
      </c>
      <c r="AW801" s="38">
        <f ca="1">IFERROR(OFFSET(ZPCS04!$A$1,MATCH(F801,ZPCS04!B:B,0)-1,0),100)</f>
        <v>2</v>
      </c>
      <c r="AX801" s="7"/>
      <c r="AY801" s="6" t="b">
        <f>SUMIF(AS:AS,AS801,AP:AP)=100</f>
        <v>1</v>
      </c>
      <c r="AZ801" s="6" t="b">
        <f>SUMIF(AS:AS,AS801,AE:AE)/COUNTIF(AS:AS,AS801)=AE801</f>
        <v>1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>C801&amp;" | "&amp;F801</f>
        <v>90MB1BJ0-C1BAY0 | 12003-00182600</v>
      </c>
      <c r="BE801" s="55" t="str">
        <f ca="1">C801&amp;" | "&amp;OFFSET($AF801,0,8-COUNTBLANK($AG801:$AN801))</f>
        <v>90MB1BJ0-C1BAY0 | 59MB1BJB-MB0A02S</v>
      </c>
      <c r="BF801" s="57">
        <f ca="1">IFERROR(VLOOKUP($BE801,$BD$5:$BF800,3,0)*$AE801,VLOOKUP($C801,Demanda!$A:$B,2,0)*$AE801)*IF(AT801="Phantom Alt",$BC801,TRUE)</f>
        <v>1000</v>
      </c>
      <c r="BG801" s="57">
        <f ca="1">BF801*(AP801/100)</f>
        <v>1000</v>
      </c>
      <c r="BH801" s="57">
        <f>SUMIF(Invoice!A:A,F801,Invoice!B:B)</f>
        <v>0</v>
      </c>
      <c r="BI801" s="57">
        <f ca="1">SUMIF(AS:AS,AS801,BG:BG)</f>
        <v>1000</v>
      </c>
      <c r="BJ801" s="57">
        <f ca="1">MIN((BI801-SUMIF($AS$5:AS800,AS801,$BJ$5:BJ800)),MAX(0,BH801-SUMIF($F$5:F800,F801,$BJ$5:BJ800)))</f>
        <v>0</v>
      </c>
      <c r="BK801" s="57">
        <f ca="1">(-SUMIF(AS:AS,AS801,BG:BG)+SUMIF(AS:AS,AS801,BJ:BJ))*(AP801=100)*AR801</f>
        <v>0</v>
      </c>
      <c r="BL801" s="57">
        <f ca="1">MAX(0,SUMIF(Invoice!A:A,F801,Invoice!B:B)-SUMIF(F:F,F801,BJ:BJ))*(COUNTIF(F:F,F801)=COUNTIF($F$5:F801,F801))</f>
        <v>0</v>
      </c>
    </row>
    <row r="802" spans="1:64" hidden="1">
      <c r="A802" s="43">
        <v>802</v>
      </c>
      <c r="B802" s="13" t="s">
        <v>147</v>
      </c>
      <c r="C802" s="13" t="s">
        <v>146</v>
      </c>
      <c r="D802" s="13">
        <v>2</v>
      </c>
      <c r="E802" s="13">
        <v>2580</v>
      </c>
      <c r="F802" s="71" t="s">
        <v>1848</v>
      </c>
      <c r="G802" s="71" t="s">
        <v>1849</v>
      </c>
      <c r="H802" s="13" t="s">
        <v>1850</v>
      </c>
      <c r="I802" s="13" t="s">
        <v>54</v>
      </c>
      <c r="J802" s="28">
        <v>100</v>
      </c>
      <c r="K802" s="13" t="s">
        <v>150</v>
      </c>
      <c r="L802" s="13" t="s">
        <v>53</v>
      </c>
      <c r="M802" s="13">
        <v>1</v>
      </c>
      <c r="N802" s="13">
        <v>1</v>
      </c>
      <c r="O802" s="13">
        <v>1</v>
      </c>
      <c r="P802" s="13">
        <v>2</v>
      </c>
      <c r="Q802" s="13">
        <v>1</v>
      </c>
      <c r="R802" s="13" t="s">
        <v>73</v>
      </c>
      <c r="S802" s="13" t="s">
        <v>73</v>
      </c>
      <c r="T802" s="13">
        <v>44901</v>
      </c>
      <c r="U802" s="13">
        <v>2958465</v>
      </c>
      <c r="V802" s="13" t="s">
        <v>282</v>
      </c>
      <c r="W802" s="13" t="s">
        <v>145</v>
      </c>
      <c r="Y802" s="13" t="s">
        <v>143</v>
      </c>
      <c r="Z802" s="13">
        <v>7589154</v>
      </c>
      <c r="AA802" s="13">
        <v>1492</v>
      </c>
      <c r="AB802" s="13">
        <v>746</v>
      </c>
      <c r="AE802" s="51">
        <f>M802/O802</f>
        <v>1</v>
      </c>
      <c r="AG802" s="6" t="str">
        <f>C802</f>
        <v>90MB1BJ0-C1BAY0</v>
      </c>
      <c r="AH802" s="6" t="str">
        <f>IF($D802&lt;=AH$4,"",IF(AND($D801=AH$4,$D802&gt;AH$4),$F801,AH801))</f>
        <v>59MB1BJB-MB0A02S</v>
      </c>
      <c r="AI802" s="6" t="str">
        <f>IF($D802&lt;=AI$4,"",IF(AND($D801=AI$4,$D802&gt;AI$4),$F801,AI801))</f>
        <v/>
      </c>
      <c r="AJ802" s="6" t="str">
        <f>IF($D802&lt;=AJ$4,"",IF(AND($D801=AJ$4,$D802&gt;AJ$4),$F801,AJ801))</f>
        <v/>
      </c>
      <c r="AK802" s="6" t="str">
        <f>IF($D802&lt;=AK$4,"",IF(AND($D801=AK$4,$D802&gt;AK$4),$F801,AK801))</f>
        <v/>
      </c>
      <c r="AL802" s="6" t="str">
        <f>IF($D802&lt;=AL$4,"",IF(AND($D801=AL$4,$D802&gt;AL$4),$F801,AL801))</f>
        <v/>
      </c>
      <c r="AM802" s="6" t="str">
        <f>IF($D802&lt;=AM$4,"",IF(AND($D801=AM$4,$D802&gt;AM$4),$F801,AM801))</f>
        <v/>
      </c>
      <c r="AN802" s="6" t="str">
        <f>IF($D802&lt;=AN$4,"",IF(AND($D801=AN$4,$D802&gt;AN$4),$F801,AN801))</f>
        <v/>
      </c>
      <c r="AO802" s="6" t="str">
        <f>CONCATENATE(AG802," | ",AH802," | ",AI802," | ",AJ802," | ",AK802," | ",AL802," | ",AM802," | ",AN802)</f>
        <v xml:space="preserve">90MB1BJ0-C1BAY0 | 59MB1BJB-MB0A02S |  |  |  |  |  | </v>
      </c>
      <c r="AP802" s="6">
        <f>IF(TRIM(H802)="",100,J802)</f>
        <v>100</v>
      </c>
      <c r="AQ802" s="4"/>
      <c r="AR802" s="6" t="b">
        <f>NOT(TRIM(W802)&lt;&gt;"F")</f>
        <v>1</v>
      </c>
      <c r="AS802" s="6" t="str">
        <f>$B802&amp;" | "&amp;$AO802&amp;" | "&amp;IF(TRIM(H802)="","uniq"&amp;ROW(),TRIM(H802))</f>
        <v>461E | 90MB1BJ0-C1BAY0 | 59MB1BJB-MB0A02S |  |  |  |  |  |  | P8</v>
      </c>
      <c r="AT802" s="63">
        <f>IF(NOT(AR802),IF(TRIM($H802)="","Assembly","Phantom Alt"),VLOOKUP(F802,ZPCS04!B:G,6,0))</f>
        <v>1236</v>
      </c>
      <c r="AU802" s="7"/>
      <c r="AV802" s="38">
        <f ca="1">IF(TRIM($W802)="F",OFFSET($A$5,MATCH($AS802,$AS$5:$AS802,0)-1,0),$A802)</f>
        <v>802</v>
      </c>
      <c r="AW802" s="38">
        <f ca="1">IFERROR(OFFSET(ZPCS04!$A$1,MATCH(F802,ZPCS04!B:B,0)-1,0),100)</f>
        <v>1.9999999900000001</v>
      </c>
      <c r="AX802" s="7"/>
      <c r="AY802" s="6" t="b">
        <f>SUMIF(AS:AS,AS802,AP:AP)=100</f>
        <v>1</v>
      </c>
      <c r="AZ802" s="6" t="b">
        <f>SUMIF(AS:AS,AS802,AE:AE)/COUNTIF(AS:AS,AS802)=AE802</f>
        <v>1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>C802&amp;" | "&amp;F802</f>
        <v>90MB1BJ0-C1BAY0 | 12007-00210000</v>
      </c>
      <c r="BE802" s="55" t="str">
        <f ca="1">C802&amp;" | "&amp;OFFSET($AF802,0,8-COUNTBLANK($AG802:$AN802))</f>
        <v>90MB1BJ0-C1BAY0 | 59MB1BJB-MB0A02S</v>
      </c>
      <c r="BF802" s="57">
        <f ca="1">IFERROR(VLOOKUP($BE802,$BD$5:$BF801,3,0)*$AE802,VLOOKUP($C802,Demanda!$A:$B,2,0)*$AE802)*IF(AT802="Phantom Alt",$BC802,TRUE)</f>
        <v>1000</v>
      </c>
      <c r="BG802" s="57">
        <f ca="1">BF802*(AP802/100)</f>
        <v>1000</v>
      </c>
      <c r="BH802" s="57">
        <f>SUMIF(Invoice!A:A,F802,Invoice!B:B)</f>
        <v>1000</v>
      </c>
      <c r="BI802" s="57">
        <f ca="1">SUMIF(AS:AS,AS802,BG:BG)</f>
        <v>1000</v>
      </c>
      <c r="BJ802" s="57">
        <f ca="1">MIN((BI802-SUMIF($AS$5:AS801,AS802,$BJ$5:BJ801)),MAX(0,BH802-SUMIF($F$5:F801,F802,$BJ$5:BJ801)))</f>
        <v>1000</v>
      </c>
      <c r="BK802" s="57">
        <f ca="1">(-SUMIF(AS:AS,AS802,BG:BG)+SUMIF(AS:AS,AS802,BJ:BJ))*(AP802=100)*AR802</f>
        <v>0</v>
      </c>
      <c r="BL802" s="57">
        <f ca="1">MAX(0,SUMIF(Invoice!A:A,F802,Invoice!B:B)-SUMIF(F:F,F802,BJ:BJ))*(COUNTIF(F:F,F802)=COUNTIF($F$5:F802,F802))</f>
        <v>0</v>
      </c>
    </row>
    <row r="803" spans="1:64" hidden="1">
      <c r="A803" s="43">
        <v>803</v>
      </c>
      <c r="B803" s="13" t="s">
        <v>147</v>
      </c>
      <c r="C803" s="13" t="s">
        <v>146</v>
      </c>
      <c r="D803" s="13">
        <v>2</v>
      </c>
      <c r="E803" s="13">
        <v>2580</v>
      </c>
      <c r="F803" s="71" t="s">
        <v>1851</v>
      </c>
      <c r="G803" s="71" t="s">
        <v>1852</v>
      </c>
      <c r="H803" s="13" t="s">
        <v>1850</v>
      </c>
      <c r="I803" s="13" t="s">
        <v>55</v>
      </c>
      <c r="J803" s="28">
        <v>0</v>
      </c>
      <c r="K803" s="13" t="s">
        <v>150</v>
      </c>
      <c r="L803" s="13" t="s">
        <v>53</v>
      </c>
      <c r="M803" s="13">
        <v>1</v>
      </c>
      <c r="O803" s="13">
        <v>1</v>
      </c>
      <c r="P803" s="13">
        <v>2</v>
      </c>
      <c r="Q803" s="13">
        <v>2</v>
      </c>
      <c r="R803" s="13" t="s">
        <v>73</v>
      </c>
      <c r="S803" s="13" t="s">
        <v>73</v>
      </c>
      <c r="T803" s="13">
        <v>44901</v>
      </c>
      <c r="U803" s="13">
        <v>2958465</v>
      </c>
      <c r="V803" s="13" t="s">
        <v>282</v>
      </c>
      <c r="W803" s="13" t="s">
        <v>145</v>
      </c>
      <c r="Y803" s="13" t="s">
        <v>143</v>
      </c>
      <c r="Z803" s="13">
        <v>7589154</v>
      </c>
      <c r="AA803" s="13">
        <v>1494</v>
      </c>
      <c r="AB803" s="13">
        <v>747</v>
      </c>
      <c r="AE803" s="51">
        <f>M803/O803</f>
        <v>1</v>
      </c>
      <c r="AG803" s="6" t="str">
        <f>C803</f>
        <v>90MB1BJ0-C1BAY0</v>
      </c>
      <c r="AH803" s="6" t="str">
        <f>IF($D803&lt;=AH$4,"",IF(AND($D802=AH$4,$D803&gt;AH$4),$F802,AH802))</f>
        <v>59MB1BJB-MB0A02S</v>
      </c>
      <c r="AI803" s="6" t="str">
        <f>IF($D803&lt;=AI$4,"",IF(AND($D802=AI$4,$D803&gt;AI$4),$F802,AI802))</f>
        <v/>
      </c>
      <c r="AJ803" s="6" t="str">
        <f>IF($D803&lt;=AJ$4,"",IF(AND($D802=AJ$4,$D803&gt;AJ$4),$F802,AJ802))</f>
        <v/>
      </c>
      <c r="AK803" s="6" t="str">
        <f>IF($D803&lt;=AK$4,"",IF(AND($D802=AK$4,$D803&gt;AK$4),$F802,AK802))</f>
        <v/>
      </c>
      <c r="AL803" s="6" t="str">
        <f>IF($D803&lt;=AL$4,"",IF(AND($D802=AL$4,$D803&gt;AL$4),$F802,AL802))</f>
        <v/>
      </c>
      <c r="AM803" s="6" t="str">
        <f>IF($D803&lt;=AM$4,"",IF(AND($D802=AM$4,$D803&gt;AM$4),$F802,AM802))</f>
        <v/>
      </c>
      <c r="AN803" s="6" t="str">
        <f>IF($D803&lt;=AN$4,"",IF(AND($D802=AN$4,$D803&gt;AN$4),$F802,AN802))</f>
        <v/>
      </c>
      <c r="AO803" s="6" t="str">
        <f>CONCATENATE(AG803," | ",AH803," | ",AI803," | ",AJ803," | ",AK803," | ",AL803," | ",AM803," | ",AN803)</f>
        <v xml:space="preserve">90MB1BJ0-C1BAY0 | 59MB1BJB-MB0A02S |  |  |  |  |  | </v>
      </c>
      <c r="AP803" s="6">
        <f>IF(TRIM(H803)="",100,J803)</f>
        <v>0</v>
      </c>
      <c r="AQ803" s="4"/>
      <c r="AR803" s="6" t="b">
        <f>NOT(TRIM(W803)&lt;&gt;"F")</f>
        <v>1</v>
      </c>
      <c r="AS803" s="6" t="str">
        <f>$B803&amp;" | "&amp;$AO803&amp;" | "&amp;IF(TRIM(H803)="","uniq"&amp;ROW(),TRIM(H803))</f>
        <v>461E | 90MB1BJ0-C1BAY0 | 59MB1BJB-MB0A02S |  |  |  |  |  |  | P8</v>
      </c>
      <c r="AT803" s="63">
        <f>IF(NOT(AR803),IF(TRIM($H803)="","Assembly","Phantom Alt"),VLOOKUP(F803,ZPCS04!B:G,6,0))</f>
        <v>1236</v>
      </c>
      <c r="AU803" s="7"/>
      <c r="AV803" s="38">
        <f ca="1">IF(TRIM($W803)="F",OFFSET($A$5,MATCH($AS803,$AS$5:$AS803,0)-1,0),$A803)</f>
        <v>802</v>
      </c>
      <c r="AW803" s="38">
        <f ca="1">IFERROR(OFFSET(ZPCS04!$A$1,MATCH(F803,ZPCS04!B:B,0)-1,0),100)</f>
        <v>2</v>
      </c>
      <c r="AX803" s="7"/>
      <c r="AY803" s="6" t="b">
        <f>SUMIF(AS:AS,AS803,AP:AP)=100</f>
        <v>1</v>
      </c>
      <c r="AZ803" s="6" t="b">
        <f>SUMIF(AS:AS,AS803,AE:AE)/COUNTIF(AS:AS,AS803)=AE803</f>
        <v>1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>C803&amp;" | "&amp;F803</f>
        <v>90MB1BJ0-C1BAY0 | 12007-00210300</v>
      </c>
      <c r="BE803" s="55" t="str">
        <f ca="1">C803&amp;" | "&amp;OFFSET($AF803,0,8-COUNTBLANK($AG803:$AN803))</f>
        <v>90MB1BJ0-C1BAY0 | 59MB1BJB-MB0A02S</v>
      </c>
      <c r="BF803" s="57">
        <f ca="1">IFERROR(VLOOKUP($BE803,$BD$5:$BF802,3,0)*$AE803,VLOOKUP($C803,Demanda!$A:$B,2,0)*$AE803)*IF(AT803="Phantom Alt",$BC803,TRUE)</f>
        <v>1000</v>
      </c>
      <c r="BG803" s="57">
        <f ca="1">BF803*(AP803/100)</f>
        <v>0</v>
      </c>
      <c r="BH803" s="57">
        <f>SUMIF(Invoice!A:A,F803,Invoice!B:B)</f>
        <v>0</v>
      </c>
      <c r="BI803" s="57">
        <f ca="1">SUMIF(AS:AS,AS803,BG:BG)</f>
        <v>1000</v>
      </c>
      <c r="BJ803" s="57">
        <f ca="1">MIN((BI803-SUMIF($AS$5:AS802,AS803,$BJ$5:BJ802)),MAX(0,BH803-SUMIF($F$5:F802,F803,$BJ$5:BJ802)))</f>
        <v>0</v>
      </c>
      <c r="BK803" s="57">
        <f ca="1">(-SUMIF(AS:AS,AS803,BG:BG)+SUMIF(AS:AS,AS803,BJ:BJ))*(AP803=100)*AR803</f>
        <v>0</v>
      </c>
      <c r="BL803" s="57">
        <f ca="1">MAX(0,SUMIF(Invoice!A:A,F803,Invoice!B:B)-SUMIF(F:F,F803,BJ:BJ))*(COUNTIF(F:F,F803)=COUNTIF($F$5:F803,F803))</f>
        <v>0</v>
      </c>
    </row>
    <row r="804" spans="1:64" hidden="1">
      <c r="A804" s="43">
        <v>804</v>
      </c>
      <c r="B804" s="13" t="s">
        <v>147</v>
      </c>
      <c r="C804" s="13" t="s">
        <v>146</v>
      </c>
      <c r="D804" s="13">
        <v>2</v>
      </c>
      <c r="E804" s="13">
        <v>2590</v>
      </c>
      <c r="F804" s="71" t="s">
        <v>1853</v>
      </c>
      <c r="G804" s="71" t="s">
        <v>1854</v>
      </c>
      <c r="H804" s="13" t="s">
        <v>1855</v>
      </c>
      <c r="I804" s="13" t="s">
        <v>54</v>
      </c>
      <c r="J804" s="28">
        <v>100</v>
      </c>
      <c r="K804" s="13" t="s">
        <v>150</v>
      </c>
      <c r="L804" s="13" t="s">
        <v>53</v>
      </c>
      <c r="M804" s="13">
        <v>2</v>
      </c>
      <c r="N804" s="13">
        <v>2</v>
      </c>
      <c r="O804" s="13">
        <v>1</v>
      </c>
      <c r="P804" s="13">
        <v>2</v>
      </c>
      <c r="Q804" s="13">
        <v>1</v>
      </c>
      <c r="R804" s="13" t="s">
        <v>73</v>
      </c>
      <c r="S804" s="13" t="s">
        <v>73</v>
      </c>
      <c r="T804" s="13">
        <v>44901</v>
      </c>
      <c r="U804" s="13">
        <v>2958465</v>
      </c>
      <c r="V804" s="13" t="s">
        <v>282</v>
      </c>
      <c r="W804" s="13" t="s">
        <v>145</v>
      </c>
      <c r="Y804" s="13" t="s">
        <v>143</v>
      </c>
      <c r="Z804" s="13">
        <v>7589154</v>
      </c>
      <c r="AA804" s="13">
        <v>1496</v>
      </c>
      <c r="AB804" s="13">
        <v>748</v>
      </c>
      <c r="AE804" s="51">
        <f>M804/O804</f>
        <v>2</v>
      </c>
      <c r="AG804" s="6" t="str">
        <f>C804</f>
        <v>90MB1BJ0-C1BAY0</v>
      </c>
      <c r="AH804" s="6" t="str">
        <f>IF($D804&lt;=AH$4,"",IF(AND($D803=AH$4,$D804&gt;AH$4),$F803,AH803))</f>
        <v>59MB1BJB-MB0A02S</v>
      </c>
      <c r="AI804" s="6" t="str">
        <f>IF($D804&lt;=AI$4,"",IF(AND($D803=AI$4,$D804&gt;AI$4),$F803,AI803))</f>
        <v/>
      </c>
      <c r="AJ804" s="6" t="str">
        <f>IF($D804&lt;=AJ$4,"",IF(AND($D803=AJ$4,$D804&gt;AJ$4),$F803,AJ803))</f>
        <v/>
      </c>
      <c r="AK804" s="6" t="str">
        <f>IF($D804&lt;=AK$4,"",IF(AND($D803=AK$4,$D804&gt;AK$4),$F803,AK803))</f>
        <v/>
      </c>
      <c r="AL804" s="6" t="str">
        <f>IF($D804&lt;=AL$4,"",IF(AND($D803=AL$4,$D804&gt;AL$4),$F803,AL803))</f>
        <v/>
      </c>
      <c r="AM804" s="6" t="str">
        <f>IF($D804&lt;=AM$4,"",IF(AND($D803=AM$4,$D804&gt;AM$4),$F803,AM803))</f>
        <v/>
      </c>
      <c r="AN804" s="6" t="str">
        <f>IF($D804&lt;=AN$4,"",IF(AND($D803=AN$4,$D804&gt;AN$4),$F803,AN803))</f>
        <v/>
      </c>
      <c r="AO804" s="6" t="str">
        <f>CONCATENATE(AG804," | ",AH804," | ",AI804," | ",AJ804," | ",AK804," | ",AL804," | ",AM804," | ",AN804)</f>
        <v xml:space="preserve">90MB1BJ0-C1BAY0 | 59MB1BJB-MB0A02S |  |  |  |  |  | </v>
      </c>
      <c r="AP804" s="6">
        <f>IF(TRIM(H804)="",100,J804)</f>
        <v>100</v>
      </c>
      <c r="AQ804" s="4"/>
      <c r="AR804" s="6" t="b">
        <f>NOT(TRIM(W804)&lt;&gt;"F")</f>
        <v>1</v>
      </c>
      <c r="AS804" s="6" t="str">
        <f>$B804&amp;" | "&amp;$AO804&amp;" | "&amp;IF(TRIM(H804)="","uniq"&amp;ROW(),TRIM(H804))</f>
        <v>461E | 90MB1BJ0-C1BAY0 | 59MB1BJB-MB0A02S |  |  |  |  |  |  | P9</v>
      </c>
      <c r="AT804" s="63">
        <f>IF(NOT(AR804),IF(TRIM($H804)="","Assembly","Phantom Alt"),VLOOKUP(F804,ZPCS04!B:G,6,0))</f>
        <v>1002</v>
      </c>
      <c r="AU804" s="7"/>
      <c r="AV804" s="38">
        <f ca="1">IF(TRIM($W804)="F",OFFSET($A$5,MATCH($AS804,$AS$5:$AS804,0)-1,0),$A804)</f>
        <v>804</v>
      </c>
      <c r="AW804" s="38">
        <f ca="1">IFERROR(OFFSET(ZPCS04!$A$1,MATCH(F804,ZPCS04!B:B,0)-1,0),100)</f>
        <v>1.99999997</v>
      </c>
      <c r="AX804" s="7"/>
      <c r="AY804" s="6" t="b">
        <f>SUMIF(AS:AS,AS804,AP:AP)=100</f>
        <v>1</v>
      </c>
      <c r="AZ804" s="6" t="b">
        <f>SUMIF(AS:AS,AS804,AE:AE)/COUNTIF(AS:AS,AS804)=AE804</f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>C804&amp;" | "&amp;F804</f>
        <v>90MB1BJ0-C1BAY0 | 12013-00115200</v>
      </c>
      <c r="BE804" s="55" t="str">
        <f ca="1">C804&amp;" | "&amp;OFFSET($AF804,0,8-COUNTBLANK($AG804:$AN804))</f>
        <v>90MB1BJ0-C1BAY0 | 59MB1BJB-MB0A02S</v>
      </c>
      <c r="BF804" s="57">
        <f ca="1">IFERROR(VLOOKUP($BE804,$BD$5:$BF803,3,0)*$AE804,VLOOKUP($C804,Demanda!$A:$B,2,0)*$AE804)*IF(AT804="Phantom Alt",$BC804,TRUE)</f>
        <v>2000</v>
      </c>
      <c r="BG804" s="57">
        <f ca="1">BF804*(AP804/100)</f>
        <v>2000</v>
      </c>
      <c r="BH804" s="57">
        <f>SUMIF(Invoice!A:A,F804,Invoice!B:B)</f>
        <v>3000</v>
      </c>
      <c r="BI804" s="57">
        <f ca="1">SUMIF(AS:AS,AS804,BG:BG)</f>
        <v>2000</v>
      </c>
      <c r="BJ804" s="57">
        <f ca="1">MIN((BI804-SUMIF($AS$5:AS803,AS804,$BJ$5:BJ803)),MAX(0,BH804-SUMIF($F$5:F803,F804,$BJ$5:BJ803)))</f>
        <v>2000</v>
      </c>
      <c r="BK804" s="57">
        <f ca="1">(-SUMIF(AS:AS,AS804,BG:BG)+SUMIF(AS:AS,AS804,BJ:BJ))*(AP804=100)*AR804</f>
        <v>0</v>
      </c>
      <c r="BL804" s="57">
        <f ca="1">MAX(0,SUMIF(Invoice!A:A,F804,Invoice!B:B)-SUMIF(F:F,F804,BJ:BJ))*(COUNTIF(F:F,F804)=COUNTIF($F$5:F804,F804))</f>
        <v>1000</v>
      </c>
    </row>
    <row r="805" spans="1:64" hidden="1">
      <c r="A805" s="43">
        <v>805</v>
      </c>
      <c r="B805" s="13" t="s">
        <v>147</v>
      </c>
      <c r="C805" s="13" t="s">
        <v>146</v>
      </c>
      <c r="D805" s="13">
        <v>2</v>
      </c>
      <c r="E805" s="13">
        <v>2590</v>
      </c>
      <c r="F805" s="71" t="s">
        <v>1856</v>
      </c>
      <c r="G805" s="71" t="s">
        <v>1857</v>
      </c>
      <c r="H805" s="13" t="s">
        <v>1855</v>
      </c>
      <c r="I805" s="13" t="s">
        <v>55</v>
      </c>
      <c r="J805" s="28">
        <v>0</v>
      </c>
      <c r="K805" s="13" t="s">
        <v>150</v>
      </c>
      <c r="L805" s="13" t="s">
        <v>53</v>
      </c>
      <c r="M805" s="13">
        <v>2</v>
      </c>
      <c r="O805" s="13">
        <v>1</v>
      </c>
      <c r="P805" s="13">
        <v>2</v>
      </c>
      <c r="Q805" s="13">
        <v>2</v>
      </c>
      <c r="R805" s="13" t="s">
        <v>73</v>
      </c>
      <c r="S805" s="13" t="s">
        <v>73</v>
      </c>
      <c r="T805" s="13">
        <v>44901</v>
      </c>
      <c r="U805" s="13">
        <v>2958465</v>
      </c>
      <c r="V805" s="13" t="s">
        <v>282</v>
      </c>
      <c r="W805" s="13" t="s">
        <v>145</v>
      </c>
      <c r="Y805" s="13" t="s">
        <v>143</v>
      </c>
      <c r="Z805" s="13">
        <v>7589154</v>
      </c>
      <c r="AA805" s="13">
        <v>1498</v>
      </c>
      <c r="AB805" s="13">
        <v>749</v>
      </c>
      <c r="AE805" s="51">
        <f>M805/O805</f>
        <v>2</v>
      </c>
      <c r="AG805" s="6" t="str">
        <f>C805</f>
        <v>90MB1BJ0-C1BAY0</v>
      </c>
      <c r="AH805" s="6" t="str">
        <f>IF($D805&lt;=AH$4,"",IF(AND($D804=AH$4,$D805&gt;AH$4),$F804,AH804))</f>
        <v>59MB1BJB-MB0A02S</v>
      </c>
      <c r="AI805" s="6" t="str">
        <f>IF($D805&lt;=AI$4,"",IF(AND($D804=AI$4,$D805&gt;AI$4),$F804,AI804))</f>
        <v/>
      </c>
      <c r="AJ805" s="6" t="str">
        <f>IF($D805&lt;=AJ$4,"",IF(AND($D804=AJ$4,$D805&gt;AJ$4),$F804,AJ804))</f>
        <v/>
      </c>
      <c r="AK805" s="6" t="str">
        <f>IF($D805&lt;=AK$4,"",IF(AND($D804=AK$4,$D805&gt;AK$4),$F804,AK804))</f>
        <v/>
      </c>
      <c r="AL805" s="6" t="str">
        <f>IF($D805&lt;=AL$4,"",IF(AND($D804=AL$4,$D805&gt;AL$4),$F804,AL804))</f>
        <v/>
      </c>
      <c r="AM805" s="6" t="str">
        <f>IF($D805&lt;=AM$4,"",IF(AND($D804=AM$4,$D805&gt;AM$4),$F804,AM804))</f>
        <v/>
      </c>
      <c r="AN805" s="6" t="str">
        <f>IF($D805&lt;=AN$4,"",IF(AND($D804=AN$4,$D805&gt;AN$4),$F804,AN804))</f>
        <v/>
      </c>
      <c r="AO805" s="6" t="str">
        <f>CONCATENATE(AG805," | ",AH805," | ",AI805," | ",AJ805," | ",AK805," | ",AL805," | ",AM805," | ",AN805)</f>
        <v xml:space="preserve">90MB1BJ0-C1BAY0 | 59MB1BJB-MB0A02S |  |  |  |  |  | </v>
      </c>
      <c r="AP805" s="6">
        <f>IF(TRIM(H805)="",100,J805)</f>
        <v>0</v>
      </c>
      <c r="AQ805" s="4"/>
      <c r="AR805" s="6" t="b">
        <f>NOT(TRIM(W805)&lt;&gt;"F")</f>
        <v>1</v>
      </c>
      <c r="AS805" s="6" t="str">
        <f>$B805&amp;" | "&amp;$AO805&amp;" | "&amp;IF(TRIM(H805)="","uniq"&amp;ROW(),TRIM(H805))</f>
        <v>461E | 90MB1BJ0-C1BAY0 | 59MB1BJB-MB0A02S |  |  |  |  |  |  | P9</v>
      </c>
      <c r="AT805" s="63">
        <f>IF(NOT(AR805),IF(TRIM($H805)="","Assembly","Phantom Alt"),VLOOKUP(F805,ZPCS04!B:G,6,0))</f>
        <v>1002</v>
      </c>
      <c r="AU805" s="7"/>
      <c r="AV805" s="38">
        <f ca="1">IF(TRIM($W805)="F",OFFSET($A$5,MATCH($AS805,$AS$5:$AS805,0)-1,0),$A805)</f>
        <v>804</v>
      </c>
      <c r="AW805" s="38">
        <f ca="1">IFERROR(OFFSET(ZPCS04!$A$1,MATCH(F805,ZPCS04!B:B,0)-1,0),100)</f>
        <v>2</v>
      </c>
      <c r="AX805" s="7"/>
      <c r="AY805" s="6" t="b">
        <f>SUMIF(AS:AS,AS805,AP:AP)=100</f>
        <v>1</v>
      </c>
      <c r="AZ805" s="6" t="b">
        <f>SUMIF(AS:AS,AS805,AE:AE)/COUNTIF(AS:AS,AS805)=AE805</f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>C805&amp;" | "&amp;F805</f>
        <v>90MB1BJ0-C1BAY0 | 12013-00179800</v>
      </c>
      <c r="BE805" s="55" t="str">
        <f ca="1">C805&amp;" | "&amp;OFFSET($AF805,0,8-COUNTBLANK($AG805:$AN805))</f>
        <v>90MB1BJ0-C1BAY0 | 59MB1BJB-MB0A02S</v>
      </c>
      <c r="BF805" s="57">
        <f ca="1">IFERROR(VLOOKUP($BE805,$BD$5:$BF804,3,0)*$AE805,VLOOKUP($C805,Demanda!$A:$B,2,0)*$AE805)*IF(AT805="Phantom Alt",$BC805,TRUE)</f>
        <v>2000</v>
      </c>
      <c r="BG805" s="57">
        <f ca="1">BF805*(AP805/100)</f>
        <v>0</v>
      </c>
      <c r="BH805" s="57">
        <f>SUMIF(Invoice!A:A,F805,Invoice!B:B)</f>
        <v>0</v>
      </c>
      <c r="BI805" s="57">
        <f ca="1">SUMIF(AS:AS,AS805,BG:BG)</f>
        <v>2000</v>
      </c>
      <c r="BJ805" s="57">
        <f ca="1">MIN((BI805-SUMIF($AS$5:AS804,AS805,$BJ$5:BJ804)),MAX(0,BH805-SUMIF($F$5:F804,F805,$BJ$5:BJ804)))</f>
        <v>0</v>
      </c>
      <c r="BK805" s="57">
        <f ca="1">(-SUMIF(AS:AS,AS805,BG:BG)+SUMIF(AS:AS,AS805,BJ:BJ))*(AP805=100)*AR805</f>
        <v>0</v>
      </c>
      <c r="BL805" s="57">
        <f ca="1">MAX(0,SUMIF(Invoice!A:A,F805,Invoice!B:B)-SUMIF(F:F,F805,BJ:BJ))*(COUNTIF(F:F,F805)=COUNTIF($F$5:F805,F805))</f>
        <v>0</v>
      </c>
    </row>
    <row r="806" spans="1:64" hidden="1">
      <c r="A806" s="43">
        <v>806</v>
      </c>
      <c r="B806" s="13" t="s">
        <v>147</v>
      </c>
      <c r="C806" s="13" t="s">
        <v>146</v>
      </c>
      <c r="D806" s="13">
        <v>2</v>
      </c>
      <c r="E806" s="13">
        <v>2590</v>
      </c>
      <c r="F806" s="71" t="s">
        <v>1858</v>
      </c>
      <c r="G806" s="71" t="s">
        <v>1859</v>
      </c>
      <c r="H806" s="13" t="s">
        <v>1855</v>
      </c>
      <c r="I806" s="13" t="s">
        <v>55</v>
      </c>
      <c r="J806" s="28">
        <v>0</v>
      </c>
      <c r="K806" s="13" t="s">
        <v>150</v>
      </c>
      <c r="L806" s="13" t="s">
        <v>53</v>
      </c>
      <c r="M806" s="13">
        <v>2</v>
      </c>
      <c r="O806" s="13">
        <v>1</v>
      </c>
      <c r="P806" s="13">
        <v>2</v>
      </c>
      <c r="Q806" s="13">
        <v>3</v>
      </c>
      <c r="R806" s="13" t="s">
        <v>73</v>
      </c>
      <c r="S806" s="13" t="s">
        <v>73</v>
      </c>
      <c r="T806" s="13">
        <v>44901</v>
      </c>
      <c r="U806" s="13">
        <v>2958465</v>
      </c>
      <c r="V806" s="13" t="s">
        <v>282</v>
      </c>
      <c r="W806" s="13" t="s">
        <v>145</v>
      </c>
      <c r="Y806" s="13" t="s">
        <v>143</v>
      </c>
      <c r="Z806" s="13">
        <v>7589154</v>
      </c>
      <c r="AA806" s="13">
        <v>1500</v>
      </c>
      <c r="AB806" s="13">
        <v>750</v>
      </c>
      <c r="AE806" s="51">
        <f>M806/O806</f>
        <v>2</v>
      </c>
      <c r="AG806" s="6" t="str">
        <f>C806</f>
        <v>90MB1BJ0-C1BAY0</v>
      </c>
      <c r="AH806" s="6" t="str">
        <f>IF($D806&lt;=AH$4,"",IF(AND($D805=AH$4,$D806&gt;AH$4),$F805,AH805))</f>
        <v>59MB1BJB-MB0A02S</v>
      </c>
      <c r="AI806" s="6" t="str">
        <f>IF($D806&lt;=AI$4,"",IF(AND($D805=AI$4,$D806&gt;AI$4),$F805,AI805))</f>
        <v/>
      </c>
      <c r="AJ806" s="6" t="str">
        <f>IF($D806&lt;=AJ$4,"",IF(AND($D805=AJ$4,$D806&gt;AJ$4),$F805,AJ805))</f>
        <v/>
      </c>
      <c r="AK806" s="6" t="str">
        <f>IF($D806&lt;=AK$4,"",IF(AND($D805=AK$4,$D806&gt;AK$4),$F805,AK805))</f>
        <v/>
      </c>
      <c r="AL806" s="6" t="str">
        <f>IF($D806&lt;=AL$4,"",IF(AND($D805=AL$4,$D806&gt;AL$4),$F805,AL805))</f>
        <v/>
      </c>
      <c r="AM806" s="6" t="str">
        <f>IF($D806&lt;=AM$4,"",IF(AND($D805=AM$4,$D806&gt;AM$4),$F805,AM805))</f>
        <v/>
      </c>
      <c r="AN806" s="6" t="str">
        <f>IF($D806&lt;=AN$4,"",IF(AND($D805=AN$4,$D806&gt;AN$4),$F805,AN805))</f>
        <v/>
      </c>
      <c r="AO806" s="6" t="str">
        <f>CONCATENATE(AG806," | ",AH806," | ",AI806," | ",AJ806," | ",AK806," | ",AL806," | ",AM806," | ",AN806)</f>
        <v xml:space="preserve">90MB1BJ0-C1BAY0 | 59MB1BJB-MB0A02S |  |  |  |  |  | </v>
      </c>
      <c r="AP806" s="6">
        <f>IF(TRIM(H806)="",100,J806)</f>
        <v>0</v>
      </c>
      <c r="AQ806" s="4"/>
      <c r="AR806" s="6" t="b">
        <f>NOT(TRIM(W806)&lt;&gt;"F")</f>
        <v>1</v>
      </c>
      <c r="AS806" s="6" t="str">
        <f>$B806&amp;" | "&amp;$AO806&amp;" | "&amp;IF(TRIM(H806)="","uniq"&amp;ROW(),TRIM(H806))</f>
        <v>461E | 90MB1BJ0-C1BAY0 | 59MB1BJB-MB0A02S |  |  |  |  |  |  | P9</v>
      </c>
      <c r="AT806" s="63">
        <f>IF(NOT(AR806),IF(TRIM($H806)="","Assembly","Phantom Alt"),VLOOKUP(F806,ZPCS04!B:G,6,0))</f>
        <v>1002</v>
      </c>
      <c r="AU806" s="7"/>
      <c r="AV806" s="38">
        <f ca="1">IF(TRIM($W806)="F",OFFSET($A$5,MATCH($AS806,$AS$5:$AS806,0)-1,0),$A806)</f>
        <v>804</v>
      </c>
      <c r="AW806" s="38">
        <f ca="1">IFERROR(OFFSET(ZPCS04!$A$1,MATCH(F806,ZPCS04!B:B,0)-1,0),100)</f>
        <v>2</v>
      </c>
      <c r="AX806" s="7"/>
      <c r="AY806" s="6" t="b">
        <f>SUMIF(AS:AS,AS806,AP:AP)=100</f>
        <v>1</v>
      </c>
      <c r="AZ806" s="6" t="b">
        <f>SUMIF(AS:AS,AS806,AE:AE)/COUNTIF(AS:AS,AS806)=AE806</f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>C806&amp;" | "&amp;F806</f>
        <v>90MB1BJ0-C1BAY0 | 12013-00272700</v>
      </c>
      <c r="BE806" s="55" t="str">
        <f ca="1">C806&amp;" | "&amp;OFFSET($AF806,0,8-COUNTBLANK($AG806:$AN806))</f>
        <v>90MB1BJ0-C1BAY0 | 59MB1BJB-MB0A02S</v>
      </c>
      <c r="BF806" s="57">
        <f ca="1">IFERROR(VLOOKUP($BE806,$BD$5:$BF805,3,0)*$AE806,VLOOKUP($C806,Demanda!$A:$B,2,0)*$AE806)*IF(AT806="Phantom Alt",$BC806,TRUE)</f>
        <v>2000</v>
      </c>
      <c r="BG806" s="57">
        <f ca="1">BF806*(AP806/100)</f>
        <v>0</v>
      </c>
      <c r="BH806" s="57">
        <f>SUMIF(Invoice!A:A,F806,Invoice!B:B)</f>
        <v>0</v>
      </c>
      <c r="BI806" s="57">
        <f ca="1">SUMIF(AS:AS,AS806,BG:BG)</f>
        <v>2000</v>
      </c>
      <c r="BJ806" s="57">
        <f ca="1">MIN((BI806-SUMIF($AS$5:AS805,AS806,$BJ$5:BJ805)),MAX(0,BH806-SUMIF($F$5:F805,F806,$BJ$5:BJ805)))</f>
        <v>0</v>
      </c>
      <c r="BK806" s="57">
        <f ca="1">(-SUMIF(AS:AS,AS806,BG:BG)+SUMIF(AS:AS,AS806,BJ:BJ))*(AP806=100)*AR806</f>
        <v>0</v>
      </c>
      <c r="BL806" s="57">
        <f ca="1">MAX(0,SUMIF(Invoice!A:A,F806,Invoice!B:B)-SUMIF(F:F,F806,BJ:BJ))*(COUNTIF(F:F,F806)=COUNTIF($F$5:F806,F806))</f>
        <v>0</v>
      </c>
    </row>
    <row r="807" spans="1:64" hidden="1">
      <c r="A807" s="43">
        <v>807</v>
      </c>
      <c r="B807" s="13" t="s">
        <v>147</v>
      </c>
      <c r="C807" s="13" t="s">
        <v>146</v>
      </c>
      <c r="D807" s="13">
        <v>2</v>
      </c>
      <c r="E807" s="13">
        <v>2600</v>
      </c>
      <c r="F807" s="71" t="s">
        <v>1860</v>
      </c>
      <c r="G807" s="71" t="s">
        <v>1861</v>
      </c>
      <c r="H807" s="13" t="s">
        <v>1862</v>
      </c>
      <c r="I807" s="13" t="s">
        <v>54</v>
      </c>
      <c r="J807" s="28">
        <v>100</v>
      </c>
      <c r="K807" s="13" t="s">
        <v>150</v>
      </c>
      <c r="L807" s="13" t="s">
        <v>53</v>
      </c>
      <c r="M807" s="13">
        <v>1</v>
      </c>
      <c r="N807" s="13">
        <v>1</v>
      </c>
      <c r="O807" s="13">
        <v>1</v>
      </c>
      <c r="P807" s="13">
        <v>2</v>
      </c>
      <c r="Q807" s="13">
        <v>1</v>
      </c>
      <c r="R807" s="13" t="s">
        <v>73</v>
      </c>
      <c r="S807" s="13" t="s">
        <v>73</v>
      </c>
      <c r="T807" s="13">
        <v>44901</v>
      </c>
      <c r="U807" s="13">
        <v>2958465</v>
      </c>
      <c r="V807" s="13" t="s">
        <v>282</v>
      </c>
      <c r="W807" s="13" t="s">
        <v>145</v>
      </c>
      <c r="Y807" s="13" t="s">
        <v>143</v>
      </c>
      <c r="Z807" s="13">
        <v>7589154</v>
      </c>
      <c r="AA807" s="13">
        <v>1502</v>
      </c>
      <c r="AB807" s="13">
        <v>751</v>
      </c>
      <c r="AE807" s="51">
        <f>M807/O807</f>
        <v>1</v>
      </c>
      <c r="AG807" s="6" t="str">
        <f>C807</f>
        <v>90MB1BJ0-C1BAY0</v>
      </c>
      <c r="AH807" s="6" t="str">
        <f>IF($D807&lt;=AH$4,"",IF(AND($D806=AH$4,$D807&gt;AH$4),$F806,AH806))</f>
        <v>59MB1BJB-MB0A02S</v>
      </c>
      <c r="AI807" s="6" t="str">
        <f>IF($D807&lt;=AI$4,"",IF(AND($D806=AI$4,$D807&gt;AI$4),$F806,AI806))</f>
        <v/>
      </c>
      <c r="AJ807" s="6" t="str">
        <f>IF($D807&lt;=AJ$4,"",IF(AND($D806=AJ$4,$D807&gt;AJ$4),$F806,AJ806))</f>
        <v/>
      </c>
      <c r="AK807" s="6" t="str">
        <f>IF($D807&lt;=AK$4,"",IF(AND($D806=AK$4,$D807&gt;AK$4),$F806,AK806))</f>
        <v/>
      </c>
      <c r="AL807" s="6" t="str">
        <f>IF($D807&lt;=AL$4,"",IF(AND($D806=AL$4,$D807&gt;AL$4),$F806,AL806))</f>
        <v/>
      </c>
      <c r="AM807" s="6" t="str">
        <f>IF($D807&lt;=AM$4,"",IF(AND($D806=AM$4,$D807&gt;AM$4),$F806,AM806))</f>
        <v/>
      </c>
      <c r="AN807" s="6" t="str">
        <f>IF($D807&lt;=AN$4,"",IF(AND($D806=AN$4,$D807&gt;AN$4),$F806,AN806))</f>
        <v/>
      </c>
      <c r="AO807" s="6" t="str">
        <f>CONCATENATE(AG807," | ",AH807," | ",AI807," | ",AJ807," | ",AK807," | ",AL807," | ",AM807," | ",AN807)</f>
        <v xml:space="preserve">90MB1BJ0-C1BAY0 | 59MB1BJB-MB0A02S |  |  |  |  |  | </v>
      </c>
      <c r="AP807" s="6">
        <f>IF(TRIM(H807)="",100,J807)</f>
        <v>100</v>
      </c>
      <c r="AQ807" s="4"/>
      <c r="AR807" s="6" t="b">
        <f>NOT(TRIM(W807)&lt;&gt;"F")</f>
        <v>1</v>
      </c>
      <c r="AS807" s="6" t="str">
        <f>$B807&amp;" | "&amp;$AO807&amp;" | "&amp;IF(TRIM(H807)="","uniq"&amp;ROW(),TRIM(H807))</f>
        <v>461E | 90MB1BJ0-C1BAY0 | 59MB1BJB-MB0A02S |  |  |  |  |  |  | Q0</v>
      </c>
      <c r="AT807" s="63">
        <f>IF(NOT(AR807),IF(TRIM($H807)="","Assembly","Phantom Alt"),VLOOKUP(F807,ZPCS04!B:G,6,0))</f>
        <v>1004</v>
      </c>
      <c r="AU807" s="7"/>
      <c r="AV807" s="38">
        <f ca="1">IF(TRIM($W807)="F",OFFSET($A$5,MATCH($AS807,$AS$5:$AS807,0)-1,0),$A807)</f>
        <v>807</v>
      </c>
      <c r="AW807" s="38">
        <f ca="1">IFERROR(OFFSET(ZPCS04!$A$1,MATCH(F807,ZPCS04!B:B,0)-1,0),100)</f>
        <v>1.9999999900000001</v>
      </c>
      <c r="AX807" s="7"/>
      <c r="AY807" s="6" t="b">
        <f>SUMIF(AS:AS,AS807,AP:AP)=100</f>
        <v>1</v>
      </c>
      <c r="AZ807" s="6" t="b">
        <f>SUMIF(AS:AS,AS807,AE:AE)/COUNTIF(AS:AS,AS807)=AE807</f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>C807&amp;" | "&amp;F807</f>
        <v>90MB1BJ0-C1BAY0 | 13020-01377600</v>
      </c>
      <c r="BE807" s="55" t="str">
        <f ca="1">C807&amp;" | "&amp;OFFSET($AF807,0,8-COUNTBLANK($AG807:$AN807))</f>
        <v>90MB1BJ0-C1BAY0 | 59MB1BJB-MB0A02S</v>
      </c>
      <c r="BF807" s="57">
        <f ca="1">IFERROR(VLOOKUP($BE807,$BD$5:$BF806,3,0)*$AE807,VLOOKUP($C807,Demanda!$A:$B,2,0)*$AE807)*IF(AT807="Phantom Alt",$BC807,TRUE)</f>
        <v>1000</v>
      </c>
      <c r="BG807" s="57">
        <f ca="1">BF807*(AP807/100)</f>
        <v>1000</v>
      </c>
      <c r="BH807" s="57">
        <f>SUMIF(Invoice!A:A,F807,Invoice!B:B)</f>
        <v>1000</v>
      </c>
      <c r="BI807" s="57">
        <f ca="1">SUMIF(AS:AS,AS807,BG:BG)</f>
        <v>1000</v>
      </c>
      <c r="BJ807" s="57">
        <f ca="1">MIN((BI807-SUMIF($AS$5:AS806,AS807,$BJ$5:BJ806)),MAX(0,BH807-SUMIF($F$5:F806,F807,$BJ$5:BJ806)))</f>
        <v>1000</v>
      </c>
      <c r="BK807" s="57">
        <f ca="1">(-SUMIF(AS:AS,AS807,BG:BG)+SUMIF(AS:AS,AS807,BJ:BJ))*(AP807=100)*AR807</f>
        <v>0</v>
      </c>
      <c r="BL807" s="57">
        <f ca="1">MAX(0,SUMIF(Invoice!A:A,F807,Invoice!B:B)-SUMIF(F:F,F807,BJ:BJ))*(COUNTIF(F:F,F807)=COUNTIF($F$5:F807,F807))</f>
        <v>0</v>
      </c>
    </row>
    <row r="808" spans="1:64" hidden="1">
      <c r="A808" s="43">
        <v>808</v>
      </c>
      <c r="B808" s="13" t="s">
        <v>147</v>
      </c>
      <c r="C808" s="13" t="s">
        <v>146</v>
      </c>
      <c r="D808" s="13">
        <v>2</v>
      </c>
      <c r="E808" s="13">
        <v>2600</v>
      </c>
      <c r="F808" s="71" t="s">
        <v>1863</v>
      </c>
      <c r="G808" s="71" t="s">
        <v>1864</v>
      </c>
      <c r="H808" s="13" t="s">
        <v>1862</v>
      </c>
      <c r="I808" s="13" t="s">
        <v>55</v>
      </c>
      <c r="J808" s="28">
        <v>0</v>
      </c>
      <c r="K808" s="13" t="s">
        <v>150</v>
      </c>
      <c r="L808" s="13" t="s">
        <v>53</v>
      </c>
      <c r="M808" s="13">
        <v>1</v>
      </c>
      <c r="O808" s="13">
        <v>1</v>
      </c>
      <c r="P808" s="13">
        <v>2</v>
      </c>
      <c r="Q808" s="13">
        <v>3</v>
      </c>
      <c r="R808" s="13" t="s">
        <v>73</v>
      </c>
      <c r="S808" s="13" t="s">
        <v>73</v>
      </c>
      <c r="T808" s="13">
        <v>44901</v>
      </c>
      <c r="U808" s="13">
        <v>2958465</v>
      </c>
      <c r="V808" s="13" t="s">
        <v>282</v>
      </c>
      <c r="W808" s="13" t="s">
        <v>145</v>
      </c>
      <c r="Y808" s="13" t="s">
        <v>143</v>
      </c>
      <c r="Z808" s="13">
        <v>7589154</v>
      </c>
      <c r="AA808" s="13">
        <v>1506</v>
      </c>
      <c r="AB808" s="13">
        <v>753</v>
      </c>
      <c r="AE808" s="51">
        <f>M808/O808</f>
        <v>1</v>
      </c>
      <c r="AG808" s="6" t="str">
        <f>C808</f>
        <v>90MB1BJ0-C1BAY0</v>
      </c>
      <c r="AH808" s="6" t="str">
        <f>IF($D808&lt;=AH$4,"",IF(AND($D807=AH$4,$D808&gt;AH$4),$F807,AH807))</f>
        <v>59MB1BJB-MB0A02S</v>
      </c>
      <c r="AI808" s="6" t="str">
        <f>IF($D808&lt;=AI$4,"",IF(AND($D807=AI$4,$D808&gt;AI$4),$F807,AI807))</f>
        <v/>
      </c>
      <c r="AJ808" s="6" t="str">
        <f>IF($D808&lt;=AJ$4,"",IF(AND($D807=AJ$4,$D808&gt;AJ$4),$F807,AJ807))</f>
        <v/>
      </c>
      <c r="AK808" s="6" t="str">
        <f>IF($D808&lt;=AK$4,"",IF(AND($D807=AK$4,$D808&gt;AK$4),$F807,AK807))</f>
        <v/>
      </c>
      <c r="AL808" s="6" t="str">
        <f>IF($D808&lt;=AL$4,"",IF(AND($D807=AL$4,$D808&gt;AL$4),$F807,AL807))</f>
        <v/>
      </c>
      <c r="AM808" s="6" t="str">
        <f>IF($D808&lt;=AM$4,"",IF(AND($D807=AM$4,$D808&gt;AM$4),$F807,AM807))</f>
        <v/>
      </c>
      <c r="AN808" s="6" t="str">
        <f>IF($D808&lt;=AN$4,"",IF(AND($D807=AN$4,$D808&gt;AN$4),$F807,AN807))</f>
        <v/>
      </c>
      <c r="AO808" s="6" t="str">
        <f>CONCATENATE(AG808," | ",AH808," | ",AI808," | ",AJ808," | ",AK808," | ",AL808," | ",AM808," | ",AN808)</f>
        <v xml:space="preserve">90MB1BJ0-C1BAY0 | 59MB1BJB-MB0A02S |  |  |  |  |  | </v>
      </c>
      <c r="AP808" s="6">
        <f>IF(TRIM(H808)="",100,J808)</f>
        <v>0</v>
      </c>
      <c r="AQ808" s="4"/>
      <c r="AR808" s="6" t="b">
        <f>NOT(TRIM(W808)&lt;&gt;"F")</f>
        <v>1</v>
      </c>
      <c r="AS808" s="6" t="str">
        <f>$B808&amp;" | "&amp;$AO808&amp;" | "&amp;IF(TRIM(H808)="","uniq"&amp;ROW(),TRIM(H808))</f>
        <v>461E | 90MB1BJ0-C1BAY0 | 59MB1BJB-MB0A02S |  |  |  |  |  |  | Q0</v>
      </c>
      <c r="AT808" s="63">
        <f>IF(NOT(AR808),IF(TRIM($H808)="","Assembly","Phantom Alt"),VLOOKUP(F808,ZPCS04!B:G,6,0))</f>
        <v>1004</v>
      </c>
      <c r="AU808" s="7"/>
      <c r="AV808" s="38">
        <f ca="1">IF(TRIM($W808)="F",OFFSET($A$5,MATCH($AS808,$AS$5:$AS808,0)-1,0),$A808)</f>
        <v>807</v>
      </c>
      <c r="AW808" s="38">
        <f ca="1">IFERROR(OFFSET(ZPCS04!$A$1,MATCH(F808,ZPCS04!B:B,0)-1,0),100)</f>
        <v>2</v>
      </c>
      <c r="AX808" s="7"/>
      <c r="AY808" s="6" t="b">
        <f>SUMIF(AS:AS,AS808,AP:AP)=100</f>
        <v>1</v>
      </c>
      <c r="AZ808" s="6" t="b">
        <f>SUMIF(AS:AS,AS808,AE:AE)/COUNTIF(AS:AS,AS808)=AE808</f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>C808&amp;" | "&amp;F808</f>
        <v>90MB1BJ0-C1BAY0 | 13020-01378000</v>
      </c>
      <c r="BE808" s="55" t="str">
        <f ca="1">C808&amp;" | "&amp;OFFSET($AF808,0,8-COUNTBLANK($AG808:$AN808))</f>
        <v>90MB1BJ0-C1BAY0 | 59MB1BJB-MB0A02S</v>
      </c>
      <c r="BF808" s="57">
        <f ca="1">IFERROR(VLOOKUP($BE808,$BD$5:$BF807,3,0)*$AE808,VLOOKUP($C808,Demanda!$A:$B,2,0)*$AE808)*IF(AT808="Phantom Alt",$BC808,TRUE)</f>
        <v>1000</v>
      </c>
      <c r="BG808" s="57">
        <f ca="1">BF808*(AP808/100)</f>
        <v>0</v>
      </c>
      <c r="BH808" s="57">
        <f>SUMIF(Invoice!A:A,F808,Invoice!B:B)</f>
        <v>0</v>
      </c>
      <c r="BI808" s="57">
        <f ca="1">SUMIF(AS:AS,AS808,BG:BG)</f>
        <v>1000</v>
      </c>
      <c r="BJ808" s="57">
        <f ca="1">MIN((BI808-SUMIF($AS$5:AS807,AS808,$BJ$5:BJ807)),MAX(0,BH808-SUMIF($F$5:F807,F808,$BJ$5:BJ807)))</f>
        <v>0</v>
      </c>
      <c r="BK808" s="57">
        <f ca="1">(-SUMIF(AS:AS,AS808,BG:BG)+SUMIF(AS:AS,AS808,BJ:BJ))*(AP808=100)*AR808</f>
        <v>0</v>
      </c>
      <c r="BL808" s="57">
        <f ca="1">MAX(0,SUMIF(Invoice!A:A,F808,Invoice!B:B)-SUMIF(F:F,F808,BJ:BJ))*(COUNTIF(F:F,F808)=COUNTIF($F$5:F808,F808))</f>
        <v>0</v>
      </c>
    </row>
    <row r="809" spans="1:64" hidden="1">
      <c r="A809" s="43">
        <v>809</v>
      </c>
      <c r="B809" s="13" t="s">
        <v>147</v>
      </c>
      <c r="C809" s="13" t="s">
        <v>146</v>
      </c>
      <c r="D809" s="13">
        <v>2</v>
      </c>
      <c r="E809" s="13">
        <v>2600</v>
      </c>
      <c r="F809" s="71" t="s">
        <v>1865</v>
      </c>
      <c r="G809" s="71" t="s">
        <v>1866</v>
      </c>
      <c r="H809" s="13" t="s">
        <v>1862</v>
      </c>
      <c r="I809" s="13" t="s">
        <v>55</v>
      </c>
      <c r="J809" s="28">
        <v>0</v>
      </c>
      <c r="K809" s="13" t="s">
        <v>150</v>
      </c>
      <c r="L809" s="13" t="s">
        <v>53</v>
      </c>
      <c r="M809" s="13">
        <v>1</v>
      </c>
      <c r="O809" s="13">
        <v>1</v>
      </c>
      <c r="P809" s="13">
        <v>2</v>
      </c>
      <c r="Q809" s="13">
        <v>2</v>
      </c>
      <c r="R809" s="13" t="s">
        <v>73</v>
      </c>
      <c r="S809" s="13" t="s">
        <v>73</v>
      </c>
      <c r="T809" s="13">
        <v>44901</v>
      </c>
      <c r="U809" s="13">
        <v>2958465</v>
      </c>
      <c r="V809" s="13" t="s">
        <v>282</v>
      </c>
      <c r="W809" s="13" t="s">
        <v>145</v>
      </c>
      <c r="Y809" s="13" t="s">
        <v>143</v>
      </c>
      <c r="Z809" s="13">
        <v>7589154</v>
      </c>
      <c r="AA809" s="13">
        <v>1504</v>
      </c>
      <c r="AB809" s="13">
        <v>752</v>
      </c>
      <c r="AE809" s="51">
        <f>M809/O809</f>
        <v>1</v>
      </c>
      <c r="AG809" s="6" t="str">
        <f>C809</f>
        <v>90MB1BJ0-C1BAY0</v>
      </c>
      <c r="AH809" s="6" t="str">
        <f>IF($D809&lt;=AH$4,"",IF(AND($D808=AH$4,$D809&gt;AH$4),$F808,AH808))</f>
        <v>59MB1BJB-MB0A02S</v>
      </c>
      <c r="AI809" s="6" t="str">
        <f>IF($D809&lt;=AI$4,"",IF(AND($D808=AI$4,$D809&gt;AI$4),$F808,AI808))</f>
        <v/>
      </c>
      <c r="AJ809" s="6" t="str">
        <f>IF($D809&lt;=AJ$4,"",IF(AND($D808=AJ$4,$D809&gt;AJ$4),$F808,AJ808))</f>
        <v/>
      </c>
      <c r="AK809" s="6" t="str">
        <f>IF($D809&lt;=AK$4,"",IF(AND($D808=AK$4,$D809&gt;AK$4),$F808,AK808))</f>
        <v/>
      </c>
      <c r="AL809" s="6" t="str">
        <f>IF($D809&lt;=AL$4,"",IF(AND($D808=AL$4,$D809&gt;AL$4),$F808,AL808))</f>
        <v/>
      </c>
      <c r="AM809" s="6" t="str">
        <f>IF($D809&lt;=AM$4,"",IF(AND($D808=AM$4,$D809&gt;AM$4),$F808,AM808))</f>
        <v/>
      </c>
      <c r="AN809" s="6" t="str">
        <f>IF($D809&lt;=AN$4,"",IF(AND($D808=AN$4,$D809&gt;AN$4),$F808,AN808))</f>
        <v/>
      </c>
      <c r="AO809" s="6" t="str">
        <f>CONCATENATE(AG809," | ",AH809," | ",AI809," | ",AJ809," | ",AK809," | ",AL809," | ",AM809," | ",AN809)</f>
        <v xml:space="preserve">90MB1BJ0-C1BAY0 | 59MB1BJB-MB0A02S |  |  |  |  |  | </v>
      </c>
      <c r="AP809" s="6">
        <f>IF(TRIM(H809)="",100,J809)</f>
        <v>0</v>
      </c>
      <c r="AQ809" s="4"/>
      <c r="AR809" s="6" t="b">
        <f>NOT(TRIM(W809)&lt;&gt;"F")</f>
        <v>1</v>
      </c>
      <c r="AS809" s="6" t="str">
        <f>$B809&amp;" | "&amp;$AO809&amp;" | "&amp;IF(TRIM(H809)="","uniq"&amp;ROW(),TRIM(H809))</f>
        <v>461E | 90MB1BJ0-C1BAY0 | 59MB1BJB-MB0A02S |  |  |  |  |  |  | Q0</v>
      </c>
      <c r="AT809" s="63">
        <f>IF(NOT(AR809),IF(TRIM($H809)="","Assembly","Phantom Alt"),VLOOKUP(F809,ZPCS04!B:G,6,0))</f>
        <v>1004</v>
      </c>
      <c r="AU809" s="7"/>
      <c r="AV809" s="38">
        <f ca="1">IF(TRIM($W809)="F",OFFSET($A$5,MATCH($AS809,$AS$5:$AS809,0)-1,0),$A809)</f>
        <v>807</v>
      </c>
      <c r="AW809" s="38">
        <f ca="1">IFERROR(OFFSET(ZPCS04!$A$1,MATCH(F809,ZPCS04!B:B,0)-1,0),100)</f>
        <v>2</v>
      </c>
      <c r="AX809" s="7"/>
      <c r="AY809" s="6" t="b">
        <f>SUMIF(AS:AS,AS809,AP:AP)=100</f>
        <v>1</v>
      </c>
      <c r="AZ809" s="6" t="b">
        <f>SUMIF(AS:AS,AS809,AE:AE)/COUNTIF(AS:AS,AS809)=AE809</f>
        <v>1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>C809&amp;" | "&amp;F809</f>
        <v>90MB1BJ0-C1BAY0 | 13020-01572900</v>
      </c>
      <c r="BE809" s="55" t="str">
        <f ca="1">C809&amp;" | "&amp;OFFSET($AF809,0,8-COUNTBLANK($AG809:$AN809))</f>
        <v>90MB1BJ0-C1BAY0 | 59MB1BJB-MB0A02S</v>
      </c>
      <c r="BF809" s="57">
        <f ca="1">IFERROR(VLOOKUP($BE809,$BD$5:$BF808,3,0)*$AE809,VLOOKUP($C809,Demanda!$A:$B,2,0)*$AE809)*IF(AT809="Phantom Alt",$BC809,TRUE)</f>
        <v>1000</v>
      </c>
      <c r="BG809" s="57">
        <f ca="1">BF809*(AP809/100)</f>
        <v>0</v>
      </c>
      <c r="BH809" s="57">
        <f>SUMIF(Invoice!A:A,F809,Invoice!B:B)</f>
        <v>0</v>
      </c>
      <c r="BI809" s="57">
        <f ca="1">SUMIF(AS:AS,AS809,BG:BG)</f>
        <v>1000</v>
      </c>
      <c r="BJ809" s="57">
        <f ca="1">MIN((BI809-SUMIF($AS$5:AS808,AS809,$BJ$5:BJ808)),MAX(0,BH809-SUMIF($F$5:F808,F809,$BJ$5:BJ808)))</f>
        <v>0</v>
      </c>
      <c r="BK809" s="57">
        <f ca="1">(-SUMIF(AS:AS,AS809,BG:BG)+SUMIF(AS:AS,AS809,BJ:BJ))*(AP809=100)*AR809</f>
        <v>0</v>
      </c>
      <c r="BL809" s="57">
        <f ca="1">MAX(0,SUMIF(Invoice!A:A,F809,Invoice!B:B)-SUMIF(F:F,F809,BJ:BJ))*(COUNTIF(F:F,F809)=COUNTIF($F$5:F809,F809))</f>
        <v>0</v>
      </c>
    </row>
    <row r="810" spans="1:64" hidden="1">
      <c r="A810" s="43">
        <v>810</v>
      </c>
      <c r="B810" s="13" t="s">
        <v>147</v>
      </c>
      <c r="C810" s="13" t="s">
        <v>146</v>
      </c>
      <c r="D810" s="13">
        <v>2</v>
      </c>
      <c r="E810" s="13">
        <v>2610</v>
      </c>
      <c r="F810" s="71" t="s">
        <v>1867</v>
      </c>
      <c r="G810" s="71" t="s">
        <v>1868</v>
      </c>
      <c r="H810" s="13" t="s">
        <v>1869</v>
      </c>
      <c r="I810" s="13" t="s">
        <v>54</v>
      </c>
      <c r="J810" s="28">
        <v>100</v>
      </c>
      <c r="K810" s="13" t="s">
        <v>150</v>
      </c>
      <c r="L810" s="13" t="s">
        <v>53</v>
      </c>
      <c r="M810" s="13">
        <v>3</v>
      </c>
      <c r="N810" s="13">
        <v>3</v>
      </c>
      <c r="O810" s="13">
        <v>1</v>
      </c>
      <c r="P810" s="13">
        <v>2</v>
      </c>
      <c r="Q810" s="13">
        <v>1</v>
      </c>
      <c r="R810" s="13" t="s">
        <v>73</v>
      </c>
      <c r="S810" s="13" t="s">
        <v>73</v>
      </c>
      <c r="T810" s="13">
        <v>44901</v>
      </c>
      <c r="U810" s="13">
        <v>2958465</v>
      </c>
      <c r="V810" s="13" t="s">
        <v>282</v>
      </c>
      <c r="W810" s="13" t="s">
        <v>145</v>
      </c>
      <c r="Y810" s="13" t="s">
        <v>143</v>
      </c>
      <c r="Z810" s="13">
        <v>7589154</v>
      </c>
      <c r="AA810" s="13">
        <v>1508</v>
      </c>
      <c r="AB810" s="13">
        <v>754</v>
      </c>
      <c r="AE810" s="51">
        <f>M810/O810</f>
        <v>3</v>
      </c>
      <c r="AG810" s="6" t="str">
        <f>C810</f>
        <v>90MB1BJ0-C1BAY0</v>
      </c>
      <c r="AH810" s="6" t="str">
        <f>IF($D810&lt;=AH$4,"",IF(AND($D809=AH$4,$D810&gt;AH$4),$F809,AH809))</f>
        <v>59MB1BJB-MB0A02S</v>
      </c>
      <c r="AI810" s="6" t="str">
        <f>IF($D810&lt;=AI$4,"",IF(AND($D809=AI$4,$D810&gt;AI$4),$F809,AI809))</f>
        <v/>
      </c>
      <c r="AJ810" s="6" t="str">
        <f>IF($D810&lt;=AJ$4,"",IF(AND($D809=AJ$4,$D810&gt;AJ$4),$F809,AJ809))</f>
        <v/>
      </c>
      <c r="AK810" s="6" t="str">
        <f>IF($D810&lt;=AK$4,"",IF(AND($D809=AK$4,$D810&gt;AK$4),$F809,AK809))</f>
        <v/>
      </c>
      <c r="AL810" s="6" t="str">
        <f>IF($D810&lt;=AL$4,"",IF(AND($D809=AL$4,$D810&gt;AL$4),$F809,AL809))</f>
        <v/>
      </c>
      <c r="AM810" s="6" t="str">
        <f>IF($D810&lt;=AM$4,"",IF(AND($D809=AM$4,$D810&gt;AM$4),$F809,AM809))</f>
        <v/>
      </c>
      <c r="AN810" s="6" t="str">
        <f>IF($D810&lt;=AN$4,"",IF(AND($D809=AN$4,$D810&gt;AN$4),$F809,AN809))</f>
        <v/>
      </c>
      <c r="AO810" s="6" t="str">
        <f>CONCATENATE(AG810," | ",AH810," | ",AI810," | ",AJ810," | ",AK810," | ",AL810," | ",AM810," | ",AN810)</f>
        <v xml:space="preserve">90MB1BJ0-C1BAY0 | 59MB1BJB-MB0A02S |  |  |  |  |  | </v>
      </c>
      <c r="AP810" s="6">
        <f>IF(TRIM(H810)="",100,J810)</f>
        <v>100</v>
      </c>
      <c r="AQ810" s="4"/>
      <c r="AR810" s="6" t="b">
        <f>NOT(TRIM(W810)&lt;&gt;"F")</f>
        <v>1</v>
      </c>
      <c r="AS810" s="6" t="str">
        <f>$B810&amp;" | "&amp;$AO810&amp;" | "&amp;IF(TRIM(H810)="","uniq"&amp;ROW(),TRIM(H810))</f>
        <v>461E | 90MB1BJ0-C1BAY0 | 59MB1BJB-MB0A02S |  |  |  |  |  |  | Q1</v>
      </c>
      <c r="AT810" s="63">
        <f>IF(NOT(AR810),IF(TRIM($H810)="","Assembly","Phantom Alt"),VLOOKUP(F810,ZPCS04!B:G,6,0))</f>
        <v>1237</v>
      </c>
      <c r="AU810" s="7"/>
      <c r="AV810" s="38">
        <f ca="1">IF(TRIM($W810)="F",OFFSET($A$5,MATCH($AS810,$AS$5:$AS810,0)-1,0),$A810)</f>
        <v>810</v>
      </c>
      <c r="AW810" s="38">
        <f ca="1">IFERROR(OFFSET(ZPCS04!$A$1,MATCH(F810,ZPCS04!B:B,0)-1,0),100)</f>
        <v>1.999999968</v>
      </c>
      <c r="AX810" s="7"/>
      <c r="AY810" s="6" t="b">
        <f>SUMIF(AS:AS,AS810,AP:AP)=100</f>
        <v>1</v>
      </c>
      <c r="AZ810" s="6" t="b">
        <f>SUMIF(AS:AS,AS810,AE:AE)/COUNTIF(AS:AS,AS810)=AE810</f>
        <v>1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>C810&amp;" | "&amp;F810</f>
        <v>90MB1BJ0-C1BAY0 | 13020-01571600</v>
      </c>
      <c r="BE810" s="55" t="str">
        <f ca="1">C810&amp;" | "&amp;OFFSET($AF810,0,8-COUNTBLANK($AG810:$AN810))</f>
        <v>90MB1BJ0-C1BAY0 | 59MB1BJB-MB0A02S</v>
      </c>
      <c r="BF810" s="57">
        <f ca="1">IFERROR(VLOOKUP($BE810,$BD$5:$BF809,3,0)*$AE810,VLOOKUP($C810,Demanda!$A:$B,2,0)*$AE810)*IF(AT810="Phantom Alt",$BC810,TRUE)</f>
        <v>3000</v>
      </c>
      <c r="BG810" s="57">
        <f ca="1">BF810*(AP810/100)</f>
        <v>3000</v>
      </c>
      <c r="BH810" s="57">
        <f>SUMIF(Invoice!A:A,F810,Invoice!B:B)</f>
        <v>3200</v>
      </c>
      <c r="BI810" s="57">
        <f ca="1">SUMIF(AS:AS,AS810,BG:BG)</f>
        <v>3000</v>
      </c>
      <c r="BJ810" s="57">
        <f ca="1">MIN((BI810-SUMIF($AS$5:AS809,AS810,$BJ$5:BJ809)),MAX(0,BH810-SUMIF($F$5:F809,F810,$BJ$5:BJ809)))</f>
        <v>3000</v>
      </c>
      <c r="BK810" s="57">
        <f ca="1">(-SUMIF(AS:AS,AS810,BG:BG)+SUMIF(AS:AS,AS810,BJ:BJ))*(AP810=100)*AR810</f>
        <v>0</v>
      </c>
      <c r="BL810" s="57">
        <f ca="1">MAX(0,SUMIF(Invoice!A:A,F810,Invoice!B:B)-SUMIF(F:F,F810,BJ:BJ))*(COUNTIF(F:F,F810)=COUNTIF($F$5:F810,F810))</f>
        <v>200</v>
      </c>
    </row>
    <row r="811" spans="1:64" hidden="1">
      <c r="A811" s="43">
        <v>811</v>
      </c>
      <c r="B811" s="13" t="s">
        <v>147</v>
      </c>
      <c r="C811" s="13" t="s">
        <v>146</v>
      </c>
      <c r="D811" s="13">
        <v>2</v>
      </c>
      <c r="E811" s="13">
        <v>2610</v>
      </c>
      <c r="F811" s="71" t="s">
        <v>1870</v>
      </c>
      <c r="G811" s="71" t="s">
        <v>1871</v>
      </c>
      <c r="H811" s="13" t="s">
        <v>1869</v>
      </c>
      <c r="I811" s="13" t="s">
        <v>55</v>
      </c>
      <c r="J811" s="28">
        <v>0</v>
      </c>
      <c r="K811" s="13" t="s">
        <v>150</v>
      </c>
      <c r="L811" s="13" t="s">
        <v>53</v>
      </c>
      <c r="M811" s="13">
        <v>3</v>
      </c>
      <c r="O811" s="13">
        <v>1</v>
      </c>
      <c r="P811" s="13">
        <v>2</v>
      </c>
      <c r="Q811" s="13">
        <v>2</v>
      </c>
      <c r="R811" s="13" t="s">
        <v>73</v>
      </c>
      <c r="S811" s="13" t="s">
        <v>73</v>
      </c>
      <c r="T811" s="13">
        <v>44901</v>
      </c>
      <c r="U811" s="13">
        <v>2958465</v>
      </c>
      <c r="V811" s="13" t="s">
        <v>282</v>
      </c>
      <c r="W811" s="13" t="s">
        <v>145</v>
      </c>
      <c r="Y811" s="13" t="s">
        <v>143</v>
      </c>
      <c r="Z811" s="13">
        <v>7589154</v>
      </c>
      <c r="AA811" s="13">
        <v>1510</v>
      </c>
      <c r="AB811" s="13">
        <v>755</v>
      </c>
      <c r="AE811" s="51">
        <f>M811/O811</f>
        <v>3</v>
      </c>
      <c r="AG811" s="6" t="str">
        <f>C811</f>
        <v>90MB1BJ0-C1BAY0</v>
      </c>
      <c r="AH811" s="6" t="str">
        <f>IF($D811&lt;=AH$4,"",IF(AND($D810=AH$4,$D811&gt;AH$4),$F810,AH810))</f>
        <v>59MB1BJB-MB0A02S</v>
      </c>
      <c r="AI811" s="6" t="str">
        <f>IF($D811&lt;=AI$4,"",IF(AND($D810=AI$4,$D811&gt;AI$4),$F810,AI810))</f>
        <v/>
      </c>
      <c r="AJ811" s="6" t="str">
        <f>IF($D811&lt;=AJ$4,"",IF(AND($D810=AJ$4,$D811&gt;AJ$4),$F810,AJ810))</f>
        <v/>
      </c>
      <c r="AK811" s="6" t="str">
        <f>IF($D811&lt;=AK$4,"",IF(AND($D810=AK$4,$D811&gt;AK$4),$F810,AK810))</f>
        <v/>
      </c>
      <c r="AL811" s="6" t="str">
        <f>IF($D811&lt;=AL$4,"",IF(AND($D810=AL$4,$D811&gt;AL$4),$F810,AL810))</f>
        <v/>
      </c>
      <c r="AM811" s="6" t="str">
        <f>IF($D811&lt;=AM$4,"",IF(AND($D810=AM$4,$D811&gt;AM$4),$F810,AM810))</f>
        <v/>
      </c>
      <c r="AN811" s="6" t="str">
        <f>IF($D811&lt;=AN$4,"",IF(AND($D810=AN$4,$D811&gt;AN$4),$F810,AN810))</f>
        <v/>
      </c>
      <c r="AO811" s="6" t="str">
        <f>CONCATENATE(AG811," | ",AH811," | ",AI811," | ",AJ811," | ",AK811," | ",AL811," | ",AM811," | ",AN811)</f>
        <v xml:space="preserve">90MB1BJ0-C1BAY0 | 59MB1BJB-MB0A02S |  |  |  |  |  | </v>
      </c>
      <c r="AP811" s="6">
        <f>IF(TRIM(H811)="",100,J811)</f>
        <v>0</v>
      </c>
      <c r="AQ811" s="4"/>
      <c r="AR811" s="6" t="b">
        <f>NOT(TRIM(W811)&lt;&gt;"F")</f>
        <v>1</v>
      </c>
      <c r="AS811" s="6" t="str">
        <f>$B811&amp;" | "&amp;$AO811&amp;" | "&amp;IF(TRIM(H811)="","uniq"&amp;ROW(),TRIM(H811))</f>
        <v>461E | 90MB1BJ0-C1BAY0 | 59MB1BJB-MB0A02S |  |  |  |  |  |  | Q1</v>
      </c>
      <c r="AT811" s="63">
        <f>IF(NOT(AR811),IF(TRIM($H811)="","Assembly","Phantom Alt"),VLOOKUP(F811,ZPCS04!B:G,6,0))</f>
        <v>1237</v>
      </c>
      <c r="AU811" s="7"/>
      <c r="AV811" s="38">
        <f ca="1">IF(TRIM($W811)="F",OFFSET($A$5,MATCH($AS811,$AS$5:$AS811,0)-1,0),$A811)</f>
        <v>810</v>
      </c>
      <c r="AW811" s="38">
        <f ca="1">IFERROR(OFFSET(ZPCS04!$A$1,MATCH(F811,ZPCS04!B:B,0)-1,0),100)</f>
        <v>2</v>
      </c>
      <c r="AX811" s="7"/>
      <c r="AY811" s="6" t="b">
        <f>SUMIF(AS:AS,AS811,AP:AP)=100</f>
        <v>1</v>
      </c>
      <c r="AZ811" s="6" t="b">
        <f>SUMIF(AS:AS,AS811,AE:AE)/COUNTIF(AS:AS,AS811)=AE811</f>
        <v>1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>C811&amp;" | "&amp;F811</f>
        <v>90MB1BJ0-C1BAY0 | 13020-01572200</v>
      </c>
      <c r="BE811" s="55" t="str">
        <f ca="1">C811&amp;" | "&amp;OFFSET($AF811,0,8-COUNTBLANK($AG811:$AN811))</f>
        <v>90MB1BJ0-C1BAY0 | 59MB1BJB-MB0A02S</v>
      </c>
      <c r="BF811" s="57">
        <f ca="1">IFERROR(VLOOKUP($BE811,$BD$5:$BF810,3,0)*$AE811,VLOOKUP($C811,Demanda!$A:$B,2,0)*$AE811)*IF(AT811="Phantom Alt",$BC811,TRUE)</f>
        <v>3000</v>
      </c>
      <c r="BG811" s="57">
        <f ca="1">BF811*(AP811/100)</f>
        <v>0</v>
      </c>
      <c r="BH811" s="57">
        <f>SUMIF(Invoice!A:A,F811,Invoice!B:B)</f>
        <v>0</v>
      </c>
      <c r="BI811" s="57">
        <f ca="1">SUMIF(AS:AS,AS811,BG:BG)</f>
        <v>3000</v>
      </c>
      <c r="BJ811" s="57">
        <f ca="1">MIN((BI811-SUMIF($AS$5:AS810,AS811,$BJ$5:BJ810)),MAX(0,BH811-SUMIF($F$5:F810,F811,$BJ$5:BJ810)))</f>
        <v>0</v>
      </c>
      <c r="BK811" s="57">
        <f ca="1">(-SUMIF(AS:AS,AS811,BG:BG)+SUMIF(AS:AS,AS811,BJ:BJ))*(AP811=100)*AR811</f>
        <v>0</v>
      </c>
      <c r="BL811" s="57">
        <f ca="1">MAX(0,SUMIF(Invoice!A:A,F811,Invoice!B:B)-SUMIF(F:F,F811,BJ:BJ))*(COUNTIF(F:F,F811)=COUNTIF($F$5:F811,F811))</f>
        <v>0</v>
      </c>
    </row>
    <row r="812" spans="1:64" hidden="1">
      <c r="A812" s="43">
        <v>815</v>
      </c>
      <c r="B812" s="13" t="s">
        <v>147</v>
      </c>
      <c r="C812" s="13" t="s">
        <v>146</v>
      </c>
      <c r="D812" s="13">
        <v>2</v>
      </c>
      <c r="E812" s="13">
        <v>2620</v>
      </c>
      <c r="F812" s="71" t="s">
        <v>1877</v>
      </c>
      <c r="G812" s="71" t="s">
        <v>1873</v>
      </c>
      <c r="H812" s="13" t="s">
        <v>1874</v>
      </c>
      <c r="I812" s="13" t="s">
        <v>54</v>
      </c>
      <c r="J812" s="28">
        <v>100</v>
      </c>
      <c r="K812" s="13" t="s">
        <v>150</v>
      </c>
      <c r="L812" s="13" t="s">
        <v>53</v>
      </c>
      <c r="M812" s="13">
        <v>10</v>
      </c>
      <c r="N812" s="13">
        <v>10</v>
      </c>
      <c r="O812" s="13">
        <v>1</v>
      </c>
      <c r="P812" s="13">
        <v>2</v>
      </c>
      <c r="Q812" s="13">
        <v>1</v>
      </c>
      <c r="R812" s="13" t="s">
        <v>73</v>
      </c>
      <c r="S812" s="13" t="s">
        <v>73</v>
      </c>
      <c r="T812" s="13">
        <v>44901</v>
      </c>
      <c r="U812" s="13">
        <v>2958465</v>
      </c>
      <c r="V812" s="13" t="s">
        <v>282</v>
      </c>
      <c r="W812" s="13" t="s">
        <v>145</v>
      </c>
      <c r="Y812" s="13" t="s">
        <v>143</v>
      </c>
      <c r="Z812" s="13">
        <v>7589154</v>
      </c>
      <c r="AA812" s="13">
        <v>1512</v>
      </c>
      <c r="AB812" s="13">
        <v>756</v>
      </c>
      <c r="AE812" s="51">
        <f>M812/O812</f>
        <v>10</v>
      </c>
      <c r="AG812" s="6" t="str">
        <f>C812</f>
        <v>90MB1BJ0-C1BAY0</v>
      </c>
      <c r="AH812" s="6" t="str">
        <f>IF($D812&lt;=AH$4,"",IF(AND($D811=AH$4,$D812&gt;AH$4),$F811,AH811))</f>
        <v>59MB1BJB-MB0A02S</v>
      </c>
      <c r="AI812" s="6" t="str">
        <f>IF($D812&lt;=AI$4,"",IF(AND($D811=AI$4,$D812&gt;AI$4),$F811,AI811))</f>
        <v/>
      </c>
      <c r="AJ812" s="6" t="str">
        <f>IF($D812&lt;=AJ$4,"",IF(AND($D811=AJ$4,$D812&gt;AJ$4),$F811,AJ811))</f>
        <v/>
      </c>
      <c r="AK812" s="6" t="str">
        <f>IF($D812&lt;=AK$4,"",IF(AND($D811=AK$4,$D812&gt;AK$4),$F811,AK811))</f>
        <v/>
      </c>
      <c r="AL812" s="6" t="str">
        <f>IF($D812&lt;=AL$4,"",IF(AND($D811=AL$4,$D812&gt;AL$4),$F811,AL811))</f>
        <v/>
      </c>
      <c r="AM812" s="6" t="str">
        <f>IF($D812&lt;=AM$4,"",IF(AND($D811=AM$4,$D812&gt;AM$4),$F811,AM811))</f>
        <v/>
      </c>
      <c r="AN812" s="6" t="str">
        <f>IF($D812&lt;=AN$4,"",IF(AND($D811=AN$4,$D812&gt;AN$4),$F811,AN811))</f>
        <v/>
      </c>
      <c r="AO812" s="6" t="str">
        <f>CONCATENATE(AG812," | ",AH812," | ",AI812," | ",AJ812," | ",AK812," | ",AL812," | ",AM812," | ",AN812)</f>
        <v xml:space="preserve">90MB1BJ0-C1BAY0 | 59MB1BJB-MB0A02S |  |  |  |  |  | </v>
      </c>
      <c r="AP812" s="6">
        <f>IF(TRIM(H812)="",100,J812)</f>
        <v>100</v>
      </c>
      <c r="AQ812" s="4"/>
      <c r="AR812" s="6" t="b">
        <f>NOT(TRIM(W812)&lt;&gt;"F")</f>
        <v>1</v>
      </c>
      <c r="AS812" s="6" t="str">
        <f>$B812&amp;" | "&amp;$AO812&amp;" | "&amp;IF(TRIM(H812)="","uniq"&amp;ROW(),TRIM(H812))</f>
        <v>461E | 90MB1BJ0-C1BAY0 | 59MB1BJB-MB0A02S |  |  |  |  |  |  | Q2</v>
      </c>
      <c r="AT812" s="63">
        <f>IF(NOT(AR812),IF(TRIM($H812)="","Assembly","Phantom Alt"),VLOOKUP(F812,ZPCS04!B:G,6,0))</f>
        <v>776</v>
      </c>
      <c r="AU812" s="7"/>
      <c r="AV812" s="38">
        <f ca="1">IF(TRIM($W812)="F",OFFSET($A$5,MATCH($AS812,$AS$5:$AS812,0)-1,0),$A812)</f>
        <v>815</v>
      </c>
      <c r="AW812" s="38">
        <f ca="1">IFERROR(OFFSET(ZPCS04!$A$1,MATCH(F812,ZPCS04!B:B,0)-1,0),100)</f>
        <v>1.999999895</v>
      </c>
      <c r="AX812" s="7"/>
      <c r="AY812" s="6" t="b">
        <f>SUMIF(AS:AS,AS812,AP:AP)=100</f>
        <v>1</v>
      </c>
      <c r="AZ812" s="6" t="b">
        <f>SUMIF(AS:AS,AS812,AE:AE)/COUNTIF(AS:AS,AS812)=AE812</f>
        <v>1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>C812&amp;" | "&amp;F812</f>
        <v>90MB1BJ0-C1BAY0 | 13020-01575800</v>
      </c>
      <c r="BE812" s="55" t="str">
        <f ca="1">C812&amp;" | "&amp;OFFSET($AF812,0,8-COUNTBLANK($AG812:$AN812))</f>
        <v>90MB1BJ0-C1BAY0 | 59MB1BJB-MB0A02S</v>
      </c>
      <c r="BF812" s="57">
        <f ca="1">IFERROR(VLOOKUP($BE812,$BD$5:$BF811,3,0)*$AE812,VLOOKUP($C812,Demanda!$A:$B,2,0)*$AE812)*IF(AT812="Phantom Alt",$BC812,TRUE)</f>
        <v>10000</v>
      </c>
      <c r="BG812" s="57">
        <f ca="1">BF812*(AP812/100)</f>
        <v>10000</v>
      </c>
      <c r="BH812" s="57">
        <f>SUMIF(Invoice!A:A,F812,Invoice!B:B)</f>
        <v>10500</v>
      </c>
      <c r="BI812" s="57">
        <f ca="1">SUMIF(AS:AS,AS812,BG:BG)</f>
        <v>10000</v>
      </c>
      <c r="BJ812" s="57">
        <f ca="1">MIN((BI812-SUMIF($AS$5:AS811,AS812,$BJ$5:BJ811)),MAX(0,BH812-SUMIF($F$5:F811,F812,$BJ$5:BJ811)))</f>
        <v>10000</v>
      </c>
      <c r="BK812" s="57">
        <f ca="1">(-SUMIF(AS:AS,AS812,BG:BG)+SUMIF(AS:AS,AS812,BJ:BJ))*(AP812=100)*AR812</f>
        <v>0</v>
      </c>
      <c r="BL812" s="57">
        <f ca="1">MAX(0,SUMIF(Invoice!A:A,F812,Invoice!B:B)-SUMIF(F:F,F812,BJ:BJ))*(COUNTIF(F:F,F812)=COUNTIF($F$5:F812,F812))</f>
        <v>500</v>
      </c>
    </row>
    <row r="813" spans="1:64" hidden="1">
      <c r="A813" s="43">
        <v>812</v>
      </c>
      <c r="B813" s="13" t="s">
        <v>147</v>
      </c>
      <c r="C813" s="13" t="s">
        <v>146</v>
      </c>
      <c r="D813" s="13">
        <v>2</v>
      </c>
      <c r="E813" s="13">
        <v>2620</v>
      </c>
      <c r="F813" s="71" t="s">
        <v>1872</v>
      </c>
      <c r="G813" s="71" t="s">
        <v>1873</v>
      </c>
      <c r="H813" s="13" t="s">
        <v>1874</v>
      </c>
      <c r="I813" s="13" t="s">
        <v>55</v>
      </c>
      <c r="J813" s="28">
        <v>0</v>
      </c>
      <c r="K813" s="13" t="s">
        <v>150</v>
      </c>
      <c r="L813" s="13" t="s">
        <v>53</v>
      </c>
      <c r="M813" s="13">
        <v>10</v>
      </c>
      <c r="O813" s="13">
        <v>1</v>
      </c>
      <c r="P813" s="13">
        <v>2</v>
      </c>
      <c r="Q813" s="13">
        <v>2</v>
      </c>
      <c r="R813" s="13" t="s">
        <v>73</v>
      </c>
      <c r="S813" s="13" t="s">
        <v>73</v>
      </c>
      <c r="T813" s="13">
        <v>44901</v>
      </c>
      <c r="U813" s="13">
        <v>2958465</v>
      </c>
      <c r="V813" s="13" t="s">
        <v>282</v>
      </c>
      <c r="W813" s="13" t="s">
        <v>145</v>
      </c>
      <c r="Y813" s="13" t="s">
        <v>143</v>
      </c>
      <c r="Z813" s="13">
        <v>7589154</v>
      </c>
      <c r="AA813" s="13">
        <v>1514</v>
      </c>
      <c r="AB813" s="13">
        <v>757</v>
      </c>
      <c r="AE813" s="51">
        <f>M813/O813</f>
        <v>10</v>
      </c>
      <c r="AG813" s="6" t="str">
        <f>C813</f>
        <v>90MB1BJ0-C1BAY0</v>
      </c>
      <c r="AH813" s="6" t="str">
        <f>IF($D813&lt;=AH$4,"",IF(AND($D812=AH$4,$D813&gt;AH$4),$F812,AH812))</f>
        <v>59MB1BJB-MB0A02S</v>
      </c>
      <c r="AI813" s="6" t="str">
        <f>IF($D813&lt;=AI$4,"",IF(AND($D812=AI$4,$D813&gt;AI$4),$F812,AI812))</f>
        <v/>
      </c>
      <c r="AJ813" s="6" t="str">
        <f>IF($D813&lt;=AJ$4,"",IF(AND($D812=AJ$4,$D813&gt;AJ$4),$F812,AJ812))</f>
        <v/>
      </c>
      <c r="AK813" s="6" t="str">
        <f>IF($D813&lt;=AK$4,"",IF(AND($D812=AK$4,$D813&gt;AK$4),$F812,AK812))</f>
        <v/>
      </c>
      <c r="AL813" s="6" t="str">
        <f>IF($D813&lt;=AL$4,"",IF(AND($D812=AL$4,$D813&gt;AL$4),$F812,AL812))</f>
        <v/>
      </c>
      <c r="AM813" s="6" t="str">
        <f>IF($D813&lt;=AM$4,"",IF(AND($D812=AM$4,$D813&gt;AM$4),$F812,AM812))</f>
        <v/>
      </c>
      <c r="AN813" s="6" t="str">
        <f>IF($D813&lt;=AN$4,"",IF(AND($D812=AN$4,$D813&gt;AN$4),$F812,AN812))</f>
        <v/>
      </c>
      <c r="AO813" s="6" t="str">
        <f>CONCATENATE(AG813," | ",AH813," | ",AI813," | ",AJ813," | ",AK813," | ",AL813," | ",AM813," | ",AN813)</f>
        <v xml:space="preserve">90MB1BJ0-C1BAY0 | 59MB1BJB-MB0A02S |  |  |  |  |  | </v>
      </c>
      <c r="AP813" s="6">
        <f>IF(TRIM(H813)="",100,J813)</f>
        <v>0</v>
      </c>
      <c r="AQ813" s="4"/>
      <c r="AR813" s="6" t="b">
        <f>NOT(TRIM(W813)&lt;&gt;"F")</f>
        <v>1</v>
      </c>
      <c r="AS813" s="6" t="str">
        <f>$B813&amp;" | "&amp;$AO813&amp;" | "&amp;IF(TRIM(H813)="","uniq"&amp;ROW(),TRIM(H813))</f>
        <v>461E | 90MB1BJ0-C1BAY0 | 59MB1BJB-MB0A02S |  |  |  |  |  |  | Q2</v>
      </c>
      <c r="AT813" s="63">
        <f>IF(NOT(AR813),IF(TRIM($H813)="","Assembly","Phantom Alt"),VLOOKUP(F813,ZPCS04!B:G,6,0))</f>
        <v>776</v>
      </c>
      <c r="AU813" s="7"/>
      <c r="AV813" s="38">
        <f ca="1">IF(TRIM($W813)="F",OFFSET($A$5,MATCH($AS813,$AS$5:$AS813,0)-1,0),$A813)</f>
        <v>815</v>
      </c>
      <c r="AW813" s="38">
        <f ca="1">IFERROR(OFFSET(ZPCS04!$A$1,MATCH(F813,ZPCS04!B:B,0)-1,0),100)</f>
        <v>2</v>
      </c>
      <c r="AX813" s="7"/>
      <c r="AY813" s="6" t="b">
        <f>SUMIF(AS:AS,AS813,AP:AP)=100</f>
        <v>1</v>
      </c>
      <c r="AZ813" s="6" t="b">
        <f>SUMIF(AS:AS,AS813,AE:AE)/COUNTIF(AS:AS,AS813)=AE813</f>
        <v>1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>C813&amp;" | "&amp;F813</f>
        <v>90MB1BJ0-C1BAY0 | 13020-01575500</v>
      </c>
      <c r="BE813" s="55" t="str">
        <f ca="1">C813&amp;" | "&amp;OFFSET($AF813,0,8-COUNTBLANK($AG813:$AN813))</f>
        <v>90MB1BJ0-C1BAY0 | 59MB1BJB-MB0A02S</v>
      </c>
      <c r="BF813" s="57">
        <f ca="1">IFERROR(VLOOKUP($BE813,$BD$5:$BF812,3,0)*$AE813,VLOOKUP($C813,Demanda!$A:$B,2,0)*$AE813)*IF(AT813="Phantom Alt",$BC813,TRUE)</f>
        <v>10000</v>
      </c>
      <c r="BG813" s="57">
        <f ca="1">BF813*(AP813/100)</f>
        <v>0</v>
      </c>
      <c r="BH813" s="57">
        <f>SUMIF(Invoice!A:A,F813,Invoice!B:B)</f>
        <v>0</v>
      </c>
      <c r="BI813" s="57">
        <f ca="1">SUMIF(AS:AS,AS813,BG:BG)</f>
        <v>10000</v>
      </c>
      <c r="BJ813" s="57">
        <f ca="1">MIN((BI813-SUMIF($AS$5:AS812,AS813,$BJ$5:BJ812)),MAX(0,BH813-SUMIF($F$5:F812,F813,$BJ$5:BJ812)))</f>
        <v>0</v>
      </c>
      <c r="BK813" s="57">
        <f ca="1">(-SUMIF(AS:AS,AS813,BG:BG)+SUMIF(AS:AS,AS813,BJ:BJ))*(AP813=100)*AR813</f>
        <v>0</v>
      </c>
      <c r="BL813" s="57">
        <f ca="1">MAX(0,SUMIF(Invoice!A:A,F813,Invoice!B:B)-SUMIF(F:F,F813,BJ:BJ))*(COUNTIF(F:F,F813)=COUNTIF($F$5:F813,F813))</f>
        <v>0</v>
      </c>
    </row>
    <row r="814" spans="1:64" hidden="1">
      <c r="A814" s="43">
        <v>813</v>
      </c>
      <c r="B814" s="13" t="s">
        <v>147</v>
      </c>
      <c r="C814" s="13" t="s">
        <v>146</v>
      </c>
      <c r="D814" s="13">
        <v>2</v>
      </c>
      <c r="E814" s="13">
        <v>2620</v>
      </c>
      <c r="F814" s="71" t="s">
        <v>1875</v>
      </c>
      <c r="G814" s="71" t="s">
        <v>1873</v>
      </c>
      <c r="H814" s="13" t="s">
        <v>1874</v>
      </c>
      <c r="I814" s="13" t="s">
        <v>55</v>
      </c>
      <c r="J814" s="28">
        <v>0</v>
      </c>
      <c r="K814" s="13" t="s">
        <v>150</v>
      </c>
      <c r="L814" s="13" t="s">
        <v>53</v>
      </c>
      <c r="M814" s="13">
        <v>10</v>
      </c>
      <c r="O814" s="13">
        <v>1</v>
      </c>
      <c r="P814" s="13">
        <v>2</v>
      </c>
      <c r="Q814" s="13">
        <v>4</v>
      </c>
      <c r="R814" s="13" t="s">
        <v>73</v>
      </c>
      <c r="S814" s="13" t="s">
        <v>73</v>
      </c>
      <c r="T814" s="13">
        <v>44901</v>
      </c>
      <c r="U814" s="13">
        <v>2958465</v>
      </c>
      <c r="V814" s="13" t="s">
        <v>282</v>
      </c>
      <c r="W814" s="13" t="s">
        <v>145</v>
      </c>
      <c r="Y814" s="13" t="s">
        <v>143</v>
      </c>
      <c r="Z814" s="13">
        <v>7589154</v>
      </c>
      <c r="AA814" s="13">
        <v>1518</v>
      </c>
      <c r="AB814" s="13">
        <v>759</v>
      </c>
      <c r="AE814" s="51">
        <f>M814/O814</f>
        <v>10</v>
      </c>
      <c r="AG814" s="6" t="str">
        <f>C814</f>
        <v>90MB1BJ0-C1BAY0</v>
      </c>
      <c r="AH814" s="6" t="str">
        <f>IF($D814&lt;=AH$4,"",IF(AND($D813=AH$4,$D814&gt;AH$4),$F813,AH813))</f>
        <v>59MB1BJB-MB0A02S</v>
      </c>
      <c r="AI814" s="6" t="str">
        <f>IF($D814&lt;=AI$4,"",IF(AND($D813=AI$4,$D814&gt;AI$4),$F813,AI813))</f>
        <v/>
      </c>
      <c r="AJ814" s="6" t="str">
        <f>IF($D814&lt;=AJ$4,"",IF(AND($D813=AJ$4,$D814&gt;AJ$4),$F813,AJ813))</f>
        <v/>
      </c>
      <c r="AK814" s="6" t="str">
        <f>IF($D814&lt;=AK$4,"",IF(AND($D813=AK$4,$D814&gt;AK$4),$F813,AK813))</f>
        <v/>
      </c>
      <c r="AL814" s="6" t="str">
        <f>IF($D814&lt;=AL$4,"",IF(AND($D813=AL$4,$D814&gt;AL$4),$F813,AL813))</f>
        <v/>
      </c>
      <c r="AM814" s="6" t="str">
        <f>IF($D814&lt;=AM$4,"",IF(AND($D813=AM$4,$D814&gt;AM$4),$F813,AM813))</f>
        <v/>
      </c>
      <c r="AN814" s="6" t="str">
        <f>IF($D814&lt;=AN$4,"",IF(AND($D813=AN$4,$D814&gt;AN$4),$F813,AN813))</f>
        <v/>
      </c>
      <c r="AO814" s="6" t="str">
        <f>CONCATENATE(AG814," | ",AH814," | ",AI814," | ",AJ814," | ",AK814," | ",AL814," | ",AM814," | ",AN814)</f>
        <v xml:space="preserve">90MB1BJ0-C1BAY0 | 59MB1BJB-MB0A02S |  |  |  |  |  | </v>
      </c>
      <c r="AP814" s="6">
        <f>IF(TRIM(H814)="",100,J814)</f>
        <v>0</v>
      </c>
      <c r="AQ814" s="4"/>
      <c r="AR814" s="6" t="b">
        <f>NOT(TRIM(W814)&lt;&gt;"F")</f>
        <v>1</v>
      </c>
      <c r="AS814" s="6" t="str">
        <f>$B814&amp;" | "&amp;$AO814&amp;" | "&amp;IF(TRIM(H814)="","uniq"&amp;ROW(),TRIM(H814))</f>
        <v>461E | 90MB1BJ0-C1BAY0 | 59MB1BJB-MB0A02S |  |  |  |  |  |  | Q2</v>
      </c>
      <c r="AT814" s="63">
        <f>IF(NOT(AR814),IF(TRIM($H814)="","Assembly","Phantom Alt"),VLOOKUP(F814,ZPCS04!B:G,6,0))</f>
        <v>776</v>
      </c>
      <c r="AU814" s="7"/>
      <c r="AV814" s="38">
        <f ca="1">IF(TRIM($W814)="F",OFFSET($A$5,MATCH($AS814,$AS$5:$AS814,0)-1,0),$A814)</f>
        <v>815</v>
      </c>
      <c r="AW814" s="38">
        <f ca="1">IFERROR(OFFSET(ZPCS04!$A$1,MATCH(F814,ZPCS04!B:B,0)-1,0),100)</f>
        <v>2</v>
      </c>
      <c r="AX814" s="7"/>
      <c r="AY814" s="6" t="b">
        <f>SUMIF(AS:AS,AS814,AP:AP)=100</f>
        <v>1</v>
      </c>
      <c r="AZ814" s="6" t="b">
        <f>SUMIF(AS:AS,AS814,AE:AE)/COUNTIF(AS:AS,AS814)=AE814</f>
        <v>1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>C814&amp;" | "&amp;F814</f>
        <v>90MB1BJ0-C1BAY0 | 13020-01575600</v>
      </c>
      <c r="BE814" s="55" t="str">
        <f ca="1">C814&amp;" | "&amp;OFFSET($AF814,0,8-COUNTBLANK($AG814:$AN814))</f>
        <v>90MB1BJ0-C1BAY0 | 59MB1BJB-MB0A02S</v>
      </c>
      <c r="BF814" s="57">
        <f ca="1">IFERROR(VLOOKUP($BE814,$BD$5:$BF813,3,0)*$AE814,VLOOKUP($C814,Demanda!$A:$B,2,0)*$AE814)*IF(AT814="Phantom Alt",$BC814,TRUE)</f>
        <v>10000</v>
      </c>
      <c r="BG814" s="57">
        <f ca="1">BF814*(AP814/100)</f>
        <v>0</v>
      </c>
      <c r="BH814" s="57">
        <f>SUMIF(Invoice!A:A,F814,Invoice!B:B)</f>
        <v>0</v>
      </c>
      <c r="BI814" s="57">
        <f ca="1">SUMIF(AS:AS,AS814,BG:BG)</f>
        <v>10000</v>
      </c>
      <c r="BJ814" s="57">
        <f ca="1">MIN((BI814-SUMIF($AS$5:AS813,AS814,$BJ$5:BJ813)),MAX(0,BH814-SUMIF($F$5:F813,F814,$BJ$5:BJ813)))</f>
        <v>0</v>
      </c>
      <c r="BK814" s="57">
        <f ca="1">(-SUMIF(AS:AS,AS814,BG:BG)+SUMIF(AS:AS,AS814,BJ:BJ))*(AP814=100)*AR814</f>
        <v>0</v>
      </c>
      <c r="BL814" s="57">
        <f ca="1">MAX(0,SUMIF(Invoice!A:A,F814,Invoice!B:B)-SUMIF(F:F,F814,BJ:BJ))*(COUNTIF(F:F,F814)=COUNTIF($F$5:F814,F814))</f>
        <v>0</v>
      </c>
    </row>
    <row r="815" spans="1:64" hidden="1">
      <c r="A815" s="43">
        <v>814</v>
      </c>
      <c r="B815" s="13" t="s">
        <v>147</v>
      </c>
      <c r="C815" s="13" t="s">
        <v>146</v>
      </c>
      <c r="D815" s="13">
        <v>2</v>
      </c>
      <c r="E815" s="13">
        <v>2620</v>
      </c>
      <c r="F815" s="71" t="s">
        <v>1876</v>
      </c>
      <c r="G815" s="71" t="s">
        <v>1873</v>
      </c>
      <c r="H815" s="13" t="s">
        <v>1874</v>
      </c>
      <c r="I815" s="13" t="s">
        <v>55</v>
      </c>
      <c r="J815" s="28">
        <v>0</v>
      </c>
      <c r="K815" s="13" t="s">
        <v>150</v>
      </c>
      <c r="L815" s="13" t="s">
        <v>53</v>
      </c>
      <c r="M815" s="13">
        <v>10</v>
      </c>
      <c r="O815" s="13">
        <v>1</v>
      </c>
      <c r="P815" s="13">
        <v>2</v>
      </c>
      <c r="Q815" s="13">
        <v>3</v>
      </c>
      <c r="R815" s="13" t="s">
        <v>73</v>
      </c>
      <c r="S815" s="13" t="s">
        <v>73</v>
      </c>
      <c r="T815" s="13">
        <v>44901</v>
      </c>
      <c r="U815" s="13">
        <v>2958465</v>
      </c>
      <c r="V815" s="13" t="s">
        <v>282</v>
      </c>
      <c r="W815" s="13" t="s">
        <v>145</v>
      </c>
      <c r="Y815" s="13" t="s">
        <v>143</v>
      </c>
      <c r="Z815" s="13">
        <v>7589154</v>
      </c>
      <c r="AA815" s="13">
        <v>1516</v>
      </c>
      <c r="AB815" s="13">
        <v>758</v>
      </c>
      <c r="AE815" s="51">
        <f>M815/O815</f>
        <v>10</v>
      </c>
      <c r="AG815" s="6" t="str">
        <f>C815</f>
        <v>90MB1BJ0-C1BAY0</v>
      </c>
      <c r="AH815" s="6" t="str">
        <f>IF($D815&lt;=AH$4,"",IF(AND($D814=AH$4,$D815&gt;AH$4),$F814,AH814))</f>
        <v>59MB1BJB-MB0A02S</v>
      </c>
      <c r="AI815" s="6" t="str">
        <f>IF($D815&lt;=AI$4,"",IF(AND($D814=AI$4,$D815&gt;AI$4),$F814,AI814))</f>
        <v/>
      </c>
      <c r="AJ815" s="6" t="str">
        <f>IF($D815&lt;=AJ$4,"",IF(AND($D814=AJ$4,$D815&gt;AJ$4),$F814,AJ814))</f>
        <v/>
      </c>
      <c r="AK815" s="6" t="str">
        <f>IF($D815&lt;=AK$4,"",IF(AND($D814=AK$4,$D815&gt;AK$4),$F814,AK814))</f>
        <v/>
      </c>
      <c r="AL815" s="6" t="str">
        <f>IF($D815&lt;=AL$4,"",IF(AND($D814=AL$4,$D815&gt;AL$4),$F814,AL814))</f>
        <v/>
      </c>
      <c r="AM815" s="6" t="str">
        <f>IF($D815&lt;=AM$4,"",IF(AND($D814=AM$4,$D815&gt;AM$4),$F814,AM814))</f>
        <v/>
      </c>
      <c r="AN815" s="6" t="str">
        <f>IF($D815&lt;=AN$4,"",IF(AND($D814=AN$4,$D815&gt;AN$4),$F814,AN814))</f>
        <v/>
      </c>
      <c r="AO815" s="6" t="str">
        <f>CONCATENATE(AG815," | ",AH815," | ",AI815," | ",AJ815," | ",AK815," | ",AL815," | ",AM815," | ",AN815)</f>
        <v xml:space="preserve">90MB1BJ0-C1BAY0 | 59MB1BJB-MB0A02S |  |  |  |  |  | </v>
      </c>
      <c r="AP815" s="6">
        <f>IF(TRIM(H815)="",100,J815)</f>
        <v>0</v>
      </c>
      <c r="AQ815" s="4"/>
      <c r="AR815" s="6" t="b">
        <f>NOT(TRIM(W815)&lt;&gt;"F")</f>
        <v>1</v>
      </c>
      <c r="AS815" s="6" t="str">
        <f>$B815&amp;" | "&amp;$AO815&amp;" | "&amp;IF(TRIM(H815)="","uniq"&amp;ROW(),TRIM(H815))</f>
        <v>461E | 90MB1BJ0-C1BAY0 | 59MB1BJB-MB0A02S |  |  |  |  |  |  | Q2</v>
      </c>
      <c r="AT815" s="63">
        <f>IF(NOT(AR815),IF(TRIM($H815)="","Assembly","Phantom Alt"),VLOOKUP(F815,ZPCS04!B:G,6,0))</f>
        <v>776</v>
      </c>
      <c r="AU815" s="7"/>
      <c r="AV815" s="38">
        <f ca="1">IF(TRIM($W815)="F",OFFSET($A$5,MATCH($AS815,$AS$5:$AS815,0)-1,0),$A815)</f>
        <v>815</v>
      </c>
      <c r="AW815" s="38">
        <f ca="1">IFERROR(OFFSET(ZPCS04!$A$1,MATCH(F815,ZPCS04!B:B,0)-1,0),100)</f>
        <v>2</v>
      </c>
      <c r="AX815" s="7"/>
      <c r="AY815" s="6" t="b">
        <f>SUMIF(AS:AS,AS815,AP:AP)=100</f>
        <v>1</v>
      </c>
      <c r="AZ815" s="6" t="b">
        <f>SUMIF(AS:AS,AS815,AE:AE)/COUNTIF(AS:AS,AS815)=AE815</f>
        <v>1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>C815&amp;" | "&amp;F815</f>
        <v>90MB1BJ0-C1BAY0 | 13020-01575700</v>
      </c>
      <c r="BE815" s="55" t="str">
        <f ca="1">C815&amp;" | "&amp;OFFSET($AF815,0,8-COUNTBLANK($AG815:$AN815))</f>
        <v>90MB1BJ0-C1BAY0 | 59MB1BJB-MB0A02S</v>
      </c>
      <c r="BF815" s="57">
        <f ca="1">IFERROR(VLOOKUP($BE815,$BD$5:$BF814,3,0)*$AE815,VLOOKUP($C815,Demanda!$A:$B,2,0)*$AE815)*IF(AT815="Phantom Alt",$BC815,TRUE)</f>
        <v>10000</v>
      </c>
      <c r="BG815" s="57">
        <f ca="1">BF815*(AP815/100)</f>
        <v>0</v>
      </c>
      <c r="BH815" s="57">
        <f>SUMIF(Invoice!A:A,F815,Invoice!B:B)</f>
        <v>0</v>
      </c>
      <c r="BI815" s="57">
        <f ca="1">SUMIF(AS:AS,AS815,BG:BG)</f>
        <v>10000</v>
      </c>
      <c r="BJ815" s="57">
        <f ca="1">MIN((BI815-SUMIF($AS$5:AS814,AS815,$BJ$5:BJ814)),MAX(0,BH815-SUMIF($F$5:F814,F815,$BJ$5:BJ814)))</f>
        <v>0</v>
      </c>
      <c r="BK815" s="57">
        <f ca="1">(-SUMIF(AS:AS,AS815,BG:BG)+SUMIF(AS:AS,AS815,BJ:BJ))*(AP815=100)*AR815</f>
        <v>0</v>
      </c>
      <c r="BL815" s="57">
        <f ca="1">MAX(0,SUMIF(Invoice!A:A,F815,Invoice!B:B)-SUMIF(F:F,F815,BJ:BJ))*(COUNTIF(F:F,F815)=COUNTIF($F$5:F815,F815))</f>
        <v>0</v>
      </c>
    </row>
    <row r="816" spans="1:64" hidden="1">
      <c r="A816" s="43">
        <v>819</v>
      </c>
      <c r="B816" s="13" t="s">
        <v>147</v>
      </c>
      <c r="C816" s="13" t="s">
        <v>146</v>
      </c>
      <c r="D816" s="13">
        <v>2</v>
      </c>
      <c r="E816" s="13">
        <v>2630</v>
      </c>
      <c r="F816" s="71" t="s">
        <v>1885</v>
      </c>
      <c r="G816" s="71" t="s">
        <v>1886</v>
      </c>
      <c r="H816" s="13" t="s">
        <v>1880</v>
      </c>
      <c r="I816" s="13" t="s">
        <v>54</v>
      </c>
      <c r="J816" s="28">
        <v>100</v>
      </c>
      <c r="K816" s="13" t="s">
        <v>150</v>
      </c>
      <c r="L816" s="13" t="s">
        <v>53</v>
      </c>
      <c r="M816" s="13">
        <v>1</v>
      </c>
      <c r="N816" s="13">
        <v>1</v>
      </c>
      <c r="O816" s="13">
        <v>1</v>
      </c>
      <c r="P816" s="13">
        <v>2</v>
      </c>
      <c r="Q816" s="13">
        <v>1</v>
      </c>
      <c r="R816" s="13" t="s">
        <v>73</v>
      </c>
      <c r="S816" s="13" t="s">
        <v>73</v>
      </c>
      <c r="T816" s="13">
        <v>44901</v>
      </c>
      <c r="U816" s="13">
        <v>2958465</v>
      </c>
      <c r="V816" s="13" t="s">
        <v>282</v>
      </c>
      <c r="W816" s="13" t="s">
        <v>145</v>
      </c>
      <c r="Y816" s="13" t="s">
        <v>143</v>
      </c>
      <c r="Z816" s="13">
        <v>7589154</v>
      </c>
      <c r="AA816" s="13">
        <v>1520</v>
      </c>
      <c r="AB816" s="13">
        <v>760</v>
      </c>
      <c r="AE816" s="51">
        <f>M816/O816</f>
        <v>1</v>
      </c>
      <c r="AG816" s="6" t="str">
        <f>C816</f>
        <v>90MB1BJ0-C1BAY0</v>
      </c>
      <c r="AH816" s="6" t="str">
        <f>IF($D816&lt;=AH$4,"",IF(AND($D815=AH$4,$D816&gt;AH$4),$F815,AH815))</f>
        <v>59MB1BJB-MB0A02S</v>
      </c>
      <c r="AI816" s="6" t="str">
        <f>IF($D816&lt;=AI$4,"",IF(AND($D815=AI$4,$D816&gt;AI$4),$F815,AI815))</f>
        <v/>
      </c>
      <c r="AJ816" s="6" t="str">
        <f>IF($D816&lt;=AJ$4,"",IF(AND($D815=AJ$4,$D816&gt;AJ$4),$F815,AJ815))</f>
        <v/>
      </c>
      <c r="AK816" s="6" t="str">
        <f>IF($D816&lt;=AK$4,"",IF(AND($D815=AK$4,$D816&gt;AK$4),$F815,AK815))</f>
        <v/>
      </c>
      <c r="AL816" s="6" t="str">
        <f>IF($D816&lt;=AL$4,"",IF(AND($D815=AL$4,$D816&gt;AL$4),$F815,AL815))</f>
        <v/>
      </c>
      <c r="AM816" s="6" t="str">
        <f>IF($D816&lt;=AM$4,"",IF(AND($D815=AM$4,$D816&gt;AM$4),$F815,AM815))</f>
        <v/>
      </c>
      <c r="AN816" s="6" t="str">
        <f>IF($D816&lt;=AN$4,"",IF(AND($D815=AN$4,$D816&gt;AN$4),$F815,AN815))</f>
        <v/>
      </c>
      <c r="AO816" s="6" t="str">
        <f>CONCATENATE(AG816," | ",AH816," | ",AI816," | ",AJ816," | ",AK816," | ",AL816," | ",AM816," | ",AN816)</f>
        <v xml:space="preserve">90MB1BJ0-C1BAY0 | 59MB1BJB-MB0A02S |  |  |  |  |  | </v>
      </c>
      <c r="AP816" s="6">
        <f>IF(TRIM(H816)="",100,J816)</f>
        <v>100</v>
      </c>
      <c r="AQ816" s="4"/>
      <c r="AR816" s="6" t="b">
        <f>NOT(TRIM(W816)&lt;&gt;"F")</f>
        <v>1</v>
      </c>
      <c r="AS816" s="6" t="str">
        <f>$B816&amp;" | "&amp;$AO816&amp;" | "&amp;IF(TRIM(H816)="","uniq"&amp;ROW(),TRIM(H816))</f>
        <v>461E | 90MB1BJ0-C1BAY0 | 59MB1BJB-MB0A02S |  |  |  |  |  |  | Q3</v>
      </c>
      <c r="AT816" s="63">
        <f>IF(NOT(AR816),IF(TRIM($H816)="","Assembly","Phantom Alt"),VLOOKUP(F816,ZPCS04!B:G,6,0))</f>
        <v>1290</v>
      </c>
      <c r="AU816" s="7"/>
      <c r="AV816" s="38">
        <f ca="1">IF(TRIM($W816)="F",OFFSET($A$5,MATCH($AS816,$AS$5:$AS816,0)-1,0),$A816)</f>
        <v>819</v>
      </c>
      <c r="AW816" s="38">
        <f ca="1">IFERROR(OFFSET(ZPCS04!$A$1,MATCH(F816,ZPCS04!B:B,0)-1,0),100)</f>
        <v>1.9999999900000001</v>
      </c>
      <c r="AX816" s="7"/>
      <c r="AY816" s="6" t="b">
        <f>SUMIF(AS:AS,AS816,AP:AP)=100</f>
        <v>1</v>
      </c>
      <c r="AZ816" s="6" t="b">
        <f>SUMIF(AS:AS,AS816,AE:AE)/COUNTIF(AS:AS,AS816)=AE816</f>
        <v>1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>C816&amp;" | "&amp;F816</f>
        <v>90MB1BJ0-C1BAY0 | 08001-19593300</v>
      </c>
      <c r="BE816" s="55" t="str">
        <f ca="1">C816&amp;" | "&amp;OFFSET($AF816,0,8-COUNTBLANK($AG816:$AN816))</f>
        <v>90MB1BJ0-C1BAY0 | 59MB1BJB-MB0A02S</v>
      </c>
      <c r="BF816" s="57">
        <f ca="1">IFERROR(VLOOKUP($BE816,$BD$5:$BF815,3,0)*$AE816,VLOOKUP($C816,Demanda!$A:$B,2,0)*$AE816)*IF(AT816="Phantom Alt",$BC816,TRUE)</f>
        <v>1000</v>
      </c>
      <c r="BG816" s="57">
        <f ca="1">BF816*(AP816/100)</f>
        <v>1000</v>
      </c>
      <c r="BH816" s="57">
        <f>SUMIF(Invoice!A:A,F816,Invoice!B:B)</f>
        <v>1000</v>
      </c>
      <c r="BI816" s="57">
        <f ca="1">SUMIF(AS:AS,AS816,BG:BG)</f>
        <v>1000</v>
      </c>
      <c r="BJ816" s="57">
        <f ca="1">MIN((BI816-SUMIF($AS$5:AS815,AS816,$BJ$5:BJ815)),MAX(0,BH816-SUMIF($F$5:F815,F816,$BJ$5:BJ815)))</f>
        <v>1000</v>
      </c>
      <c r="BK816" s="57">
        <f ca="1">(-SUMIF(AS:AS,AS816,BG:BG)+SUMIF(AS:AS,AS816,BJ:BJ))*(AP816=100)*AR816</f>
        <v>0</v>
      </c>
      <c r="BL816" s="57">
        <f ca="1">MAX(0,SUMIF(Invoice!A:A,F816,Invoice!B:B)-SUMIF(F:F,F816,BJ:BJ))*(COUNTIF(F:F,F816)=COUNTIF($F$5:F816,F816))</f>
        <v>0</v>
      </c>
    </row>
    <row r="817" spans="1:64" hidden="1">
      <c r="A817" s="43">
        <v>816</v>
      </c>
      <c r="B817" s="13" t="s">
        <v>147</v>
      </c>
      <c r="C817" s="13" t="s">
        <v>146</v>
      </c>
      <c r="D817" s="13">
        <v>2</v>
      </c>
      <c r="E817" s="13">
        <v>2630</v>
      </c>
      <c r="F817" s="71" t="s">
        <v>1878</v>
      </c>
      <c r="G817" s="71" t="s">
        <v>1879</v>
      </c>
      <c r="H817" s="13" t="s">
        <v>1880</v>
      </c>
      <c r="I817" s="13" t="s">
        <v>55</v>
      </c>
      <c r="J817" s="28">
        <v>0</v>
      </c>
      <c r="K817" s="13" t="s">
        <v>150</v>
      </c>
      <c r="L817" s="13" t="s">
        <v>53</v>
      </c>
      <c r="M817" s="13">
        <v>1</v>
      </c>
      <c r="O817" s="13">
        <v>1</v>
      </c>
      <c r="P817" s="13">
        <v>2</v>
      </c>
      <c r="Q817" s="13">
        <v>3</v>
      </c>
      <c r="R817" s="13" t="s">
        <v>73</v>
      </c>
      <c r="S817" s="13" t="s">
        <v>73</v>
      </c>
      <c r="T817" s="13">
        <v>44901</v>
      </c>
      <c r="U817" s="13">
        <v>2958465</v>
      </c>
      <c r="V817" s="13" t="s">
        <v>282</v>
      </c>
      <c r="W817" s="13" t="s">
        <v>145</v>
      </c>
      <c r="Y817" s="13" t="s">
        <v>143</v>
      </c>
      <c r="Z817" s="13">
        <v>7589154</v>
      </c>
      <c r="AA817" s="13">
        <v>1524</v>
      </c>
      <c r="AB817" s="13">
        <v>762</v>
      </c>
      <c r="AE817" s="51">
        <f>M817/O817</f>
        <v>1</v>
      </c>
      <c r="AG817" s="6" t="str">
        <f>C817</f>
        <v>90MB1BJ0-C1BAY0</v>
      </c>
      <c r="AH817" s="6" t="str">
        <f>IF($D817&lt;=AH$4,"",IF(AND($D816=AH$4,$D817&gt;AH$4),$F816,AH816))</f>
        <v>59MB1BJB-MB0A02S</v>
      </c>
      <c r="AI817" s="6" t="str">
        <f>IF($D817&lt;=AI$4,"",IF(AND($D816=AI$4,$D817&gt;AI$4),$F816,AI816))</f>
        <v/>
      </c>
      <c r="AJ817" s="6" t="str">
        <f>IF($D817&lt;=AJ$4,"",IF(AND($D816=AJ$4,$D817&gt;AJ$4),$F816,AJ816))</f>
        <v/>
      </c>
      <c r="AK817" s="6" t="str">
        <f>IF($D817&lt;=AK$4,"",IF(AND($D816=AK$4,$D817&gt;AK$4),$F816,AK816))</f>
        <v/>
      </c>
      <c r="AL817" s="6" t="str">
        <f>IF($D817&lt;=AL$4,"",IF(AND($D816=AL$4,$D817&gt;AL$4),$F816,AL816))</f>
        <v/>
      </c>
      <c r="AM817" s="6" t="str">
        <f>IF($D817&lt;=AM$4,"",IF(AND($D816=AM$4,$D817&gt;AM$4),$F816,AM816))</f>
        <v/>
      </c>
      <c r="AN817" s="6" t="str">
        <f>IF($D817&lt;=AN$4,"",IF(AND($D816=AN$4,$D817&gt;AN$4),$F816,AN816))</f>
        <v/>
      </c>
      <c r="AO817" s="6" t="str">
        <f>CONCATENATE(AG817," | ",AH817," | ",AI817," | ",AJ817," | ",AK817," | ",AL817," | ",AM817," | ",AN817)</f>
        <v xml:space="preserve">90MB1BJ0-C1BAY0 | 59MB1BJB-MB0A02S |  |  |  |  |  | </v>
      </c>
      <c r="AP817" s="6">
        <f>IF(TRIM(H817)="",100,J817)</f>
        <v>0</v>
      </c>
      <c r="AQ817" s="4"/>
      <c r="AR817" s="6" t="b">
        <f>NOT(TRIM(W817)&lt;&gt;"F")</f>
        <v>1</v>
      </c>
      <c r="AS817" s="6" t="str">
        <f>$B817&amp;" | "&amp;$AO817&amp;" | "&amp;IF(TRIM(H817)="","uniq"&amp;ROW(),TRIM(H817))</f>
        <v>461E | 90MB1BJ0-C1BAY0 | 59MB1BJB-MB0A02S |  |  |  |  |  |  | Q3</v>
      </c>
      <c r="AT817" s="63">
        <f>IF(NOT(AR817),IF(TRIM($H817)="","Assembly","Phantom Alt"),VLOOKUP(F817,ZPCS04!B:G,6,0))</f>
        <v>1290</v>
      </c>
      <c r="AU817" s="7"/>
      <c r="AV817" s="38">
        <f ca="1">IF(TRIM($W817)="F",OFFSET($A$5,MATCH($AS817,$AS$5:$AS817,0)-1,0),$A817)</f>
        <v>819</v>
      </c>
      <c r="AW817" s="38">
        <f ca="1">IFERROR(OFFSET(ZPCS04!$A$1,MATCH(F817,ZPCS04!B:B,0)-1,0),100)</f>
        <v>2</v>
      </c>
      <c r="AX817" s="7"/>
      <c r="AY817" s="6" t="b">
        <f>SUMIF(AS:AS,AS817,AP:AP)=100</f>
        <v>1</v>
      </c>
      <c r="AZ817" s="6" t="b">
        <f>SUMIF(AS:AS,AS817,AE:AE)/COUNTIF(AS:AS,AS817)=AE817</f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>C817&amp;" | "&amp;F817</f>
        <v>90MB1BJ0-C1BAY0 | 08001-19593000</v>
      </c>
      <c r="BE817" s="55" t="str">
        <f ca="1">C817&amp;" | "&amp;OFFSET($AF817,0,8-COUNTBLANK($AG817:$AN817))</f>
        <v>90MB1BJ0-C1BAY0 | 59MB1BJB-MB0A02S</v>
      </c>
      <c r="BF817" s="57">
        <f ca="1">IFERROR(VLOOKUP($BE817,$BD$5:$BF816,3,0)*$AE817,VLOOKUP($C817,Demanda!$A:$B,2,0)*$AE817)*IF(AT817="Phantom Alt",$BC817,TRUE)</f>
        <v>1000</v>
      </c>
      <c r="BG817" s="57">
        <f ca="1">BF817*(AP817/100)</f>
        <v>0</v>
      </c>
      <c r="BH817" s="57">
        <f>SUMIF(Invoice!A:A,F817,Invoice!B:B)</f>
        <v>0</v>
      </c>
      <c r="BI817" s="57">
        <f ca="1">SUMIF(AS:AS,AS817,BG:BG)</f>
        <v>1000</v>
      </c>
      <c r="BJ817" s="57">
        <f ca="1">MIN((BI817-SUMIF($AS$5:AS816,AS817,$BJ$5:BJ816)),MAX(0,BH817-SUMIF($F$5:F816,F817,$BJ$5:BJ816)))</f>
        <v>0</v>
      </c>
      <c r="BK817" s="57">
        <f ca="1">(-SUMIF(AS:AS,AS817,BG:BG)+SUMIF(AS:AS,AS817,BJ:BJ))*(AP817=100)*AR817</f>
        <v>0</v>
      </c>
      <c r="BL817" s="57">
        <f ca="1">MAX(0,SUMIF(Invoice!A:A,F817,Invoice!B:B)-SUMIF(F:F,F817,BJ:BJ))*(COUNTIF(F:F,F817)=COUNTIF($F$5:F817,F817))</f>
        <v>0</v>
      </c>
    </row>
    <row r="818" spans="1:64" hidden="1">
      <c r="A818" s="43">
        <v>817</v>
      </c>
      <c r="B818" s="13" t="s">
        <v>147</v>
      </c>
      <c r="C818" s="13" t="s">
        <v>146</v>
      </c>
      <c r="D818" s="13">
        <v>2</v>
      </c>
      <c r="E818" s="13">
        <v>2630</v>
      </c>
      <c r="F818" s="71" t="s">
        <v>1881</v>
      </c>
      <c r="G818" s="71" t="s">
        <v>1882</v>
      </c>
      <c r="H818" s="13" t="s">
        <v>1880</v>
      </c>
      <c r="I818" s="13" t="s">
        <v>55</v>
      </c>
      <c r="J818" s="28">
        <v>0</v>
      </c>
      <c r="K818" s="13" t="s">
        <v>150</v>
      </c>
      <c r="L818" s="13" t="s">
        <v>53</v>
      </c>
      <c r="M818" s="13">
        <v>1</v>
      </c>
      <c r="O818" s="13">
        <v>1</v>
      </c>
      <c r="P818" s="13">
        <v>2</v>
      </c>
      <c r="Q818" s="13">
        <v>4</v>
      </c>
      <c r="R818" s="13" t="s">
        <v>73</v>
      </c>
      <c r="S818" s="13" t="s">
        <v>73</v>
      </c>
      <c r="T818" s="13">
        <v>44901</v>
      </c>
      <c r="U818" s="13">
        <v>2958465</v>
      </c>
      <c r="V818" s="13" t="s">
        <v>282</v>
      </c>
      <c r="W818" s="13" t="s">
        <v>145</v>
      </c>
      <c r="Y818" s="13" t="s">
        <v>143</v>
      </c>
      <c r="Z818" s="13">
        <v>7589154</v>
      </c>
      <c r="AA818" s="13">
        <v>1526</v>
      </c>
      <c r="AB818" s="13">
        <v>763</v>
      </c>
      <c r="AE818" s="51">
        <f>M818/O818</f>
        <v>1</v>
      </c>
      <c r="AG818" s="6" t="str">
        <f>C818</f>
        <v>90MB1BJ0-C1BAY0</v>
      </c>
      <c r="AH818" s="6" t="str">
        <f>IF($D818&lt;=AH$4,"",IF(AND($D817=AH$4,$D818&gt;AH$4),$F817,AH817))</f>
        <v>59MB1BJB-MB0A02S</v>
      </c>
      <c r="AI818" s="6" t="str">
        <f>IF($D818&lt;=AI$4,"",IF(AND($D817=AI$4,$D818&gt;AI$4),$F817,AI817))</f>
        <v/>
      </c>
      <c r="AJ818" s="6" t="str">
        <f>IF($D818&lt;=AJ$4,"",IF(AND($D817=AJ$4,$D818&gt;AJ$4),$F817,AJ817))</f>
        <v/>
      </c>
      <c r="AK818" s="6" t="str">
        <f>IF($D818&lt;=AK$4,"",IF(AND($D817=AK$4,$D818&gt;AK$4),$F817,AK817))</f>
        <v/>
      </c>
      <c r="AL818" s="6" t="str">
        <f>IF($D818&lt;=AL$4,"",IF(AND($D817=AL$4,$D818&gt;AL$4),$F817,AL817))</f>
        <v/>
      </c>
      <c r="AM818" s="6" t="str">
        <f>IF($D818&lt;=AM$4,"",IF(AND($D817=AM$4,$D818&gt;AM$4),$F817,AM817))</f>
        <v/>
      </c>
      <c r="AN818" s="6" t="str">
        <f>IF($D818&lt;=AN$4,"",IF(AND($D817=AN$4,$D818&gt;AN$4),$F817,AN817))</f>
        <v/>
      </c>
      <c r="AO818" s="6" t="str">
        <f>CONCATENATE(AG818," | ",AH818," | ",AI818," | ",AJ818," | ",AK818," | ",AL818," | ",AM818," | ",AN818)</f>
        <v xml:space="preserve">90MB1BJ0-C1BAY0 | 59MB1BJB-MB0A02S |  |  |  |  |  | </v>
      </c>
      <c r="AP818" s="6">
        <f>IF(TRIM(H818)="",100,J818)</f>
        <v>0</v>
      </c>
      <c r="AQ818" s="4"/>
      <c r="AR818" s="6" t="b">
        <f>NOT(TRIM(W818)&lt;&gt;"F")</f>
        <v>1</v>
      </c>
      <c r="AS818" s="6" t="str">
        <f>$B818&amp;" | "&amp;$AO818&amp;" | "&amp;IF(TRIM(H818)="","uniq"&amp;ROW(),TRIM(H818))</f>
        <v>461E | 90MB1BJ0-C1BAY0 | 59MB1BJB-MB0A02S |  |  |  |  |  |  | Q3</v>
      </c>
      <c r="AT818" s="63">
        <f>IF(NOT(AR818),IF(TRIM($H818)="","Assembly","Phantom Alt"),VLOOKUP(F818,ZPCS04!B:G,6,0))</f>
        <v>1290</v>
      </c>
      <c r="AU818" s="7"/>
      <c r="AV818" s="38">
        <f ca="1">IF(TRIM($W818)="F",OFFSET($A$5,MATCH($AS818,$AS$5:$AS818,0)-1,0),$A818)</f>
        <v>819</v>
      </c>
      <c r="AW818" s="38">
        <f ca="1">IFERROR(OFFSET(ZPCS04!$A$1,MATCH(F818,ZPCS04!B:B,0)-1,0),100)</f>
        <v>2</v>
      </c>
      <c r="AX818" s="7"/>
      <c r="AY818" s="6" t="b">
        <f>SUMIF(AS:AS,AS818,AP:AP)=100</f>
        <v>1</v>
      </c>
      <c r="AZ818" s="6" t="b">
        <f>SUMIF(AS:AS,AS818,AE:AE)/COUNTIF(AS:AS,AS818)=AE818</f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>C818&amp;" | "&amp;F818</f>
        <v>90MB1BJ0-C1BAY0 | 08001-19593100</v>
      </c>
      <c r="BE818" s="55" t="str">
        <f ca="1">C818&amp;" | "&amp;OFFSET($AF818,0,8-COUNTBLANK($AG818:$AN818))</f>
        <v>90MB1BJ0-C1BAY0 | 59MB1BJB-MB0A02S</v>
      </c>
      <c r="BF818" s="57">
        <f ca="1">IFERROR(VLOOKUP($BE818,$BD$5:$BF817,3,0)*$AE818,VLOOKUP($C818,Demanda!$A:$B,2,0)*$AE818)*IF(AT818="Phantom Alt",$BC818,TRUE)</f>
        <v>1000</v>
      </c>
      <c r="BG818" s="57">
        <f ca="1">BF818*(AP818/100)</f>
        <v>0</v>
      </c>
      <c r="BH818" s="57">
        <f>SUMIF(Invoice!A:A,F818,Invoice!B:B)</f>
        <v>0</v>
      </c>
      <c r="BI818" s="57">
        <f ca="1">SUMIF(AS:AS,AS818,BG:BG)</f>
        <v>1000</v>
      </c>
      <c r="BJ818" s="57">
        <f ca="1">MIN((BI818-SUMIF($AS$5:AS817,AS818,$BJ$5:BJ817)),MAX(0,BH818-SUMIF($F$5:F817,F818,$BJ$5:BJ817)))</f>
        <v>0</v>
      </c>
      <c r="BK818" s="57">
        <f ca="1">(-SUMIF(AS:AS,AS818,BG:BG)+SUMIF(AS:AS,AS818,BJ:BJ))*(AP818=100)*AR818</f>
        <v>0</v>
      </c>
      <c r="BL818" s="57">
        <f ca="1">MAX(0,SUMIF(Invoice!A:A,F818,Invoice!B:B)-SUMIF(F:F,F818,BJ:BJ))*(COUNTIF(F:F,F818)=COUNTIF($F$5:F818,F818))</f>
        <v>0</v>
      </c>
    </row>
    <row r="819" spans="1:64" hidden="1">
      <c r="A819" s="43">
        <v>818</v>
      </c>
      <c r="B819" s="13" t="s">
        <v>147</v>
      </c>
      <c r="C819" s="13" t="s">
        <v>146</v>
      </c>
      <c r="D819" s="13">
        <v>2</v>
      </c>
      <c r="E819" s="13">
        <v>2630</v>
      </c>
      <c r="F819" s="71" t="s">
        <v>1883</v>
      </c>
      <c r="G819" s="71" t="s">
        <v>1884</v>
      </c>
      <c r="H819" s="13" t="s">
        <v>1880</v>
      </c>
      <c r="I819" s="13" t="s">
        <v>55</v>
      </c>
      <c r="J819" s="28">
        <v>0</v>
      </c>
      <c r="K819" s="13" t="s">
        <v>150</v>
      </c>
      <c r="L819" s="13" t="s">
        <v>53</v>
      </c>
      <c r="M819" s="13">
        <v>1</v>
      </c>
      <c r="O819" s="13">
        <v>1</v>
      </c>
      <c r="P819" s="13">
        <v>2</v>
      </c>
      <c r="Q819" s="13">
        <v>2</v>
      </c>
      <c r="R819" s="13" t="s">
        <v>73</v>
      </c>
      <c r="S819" s="13" t="s">
        <v>73</v>
      </c>
      <c r="T819" s="13">
        <v>44901</v>
      </c>
      <c r="U819" s="13">
        <v>2958465</v>
      </c>
      <c r="V819" s="13" t="s">
        <v>282</v>
      </c>
      <c r="W819" s="13" t="s">
        <v>145</v>
      </c>
      <c r="Y819" s="13" t="s">
        <v>143</v>
      </c>
      <c r="Z819" s="13">
        <v>7589154</v>
      </c>
      <c r="AA819" s="13">
        <v>1522</v>
      </c>
      <c r="AB819" s="13">
        <v>761</v>
      </c>
      <c r="AE819" s="51">
        <f>M819/O819</f>
        <v>1</v>
      </c>
      <c r="AG819" s="6" t="str">
        <f>C819</f>
        <v>90MB1BJ0-C1BAY0</v>
      </c>
      <c r="AH819" s="6" t="str">
        <f>IF($D819&lt;=AH$4,"",IF(AND($D818=AH$4,$D819&gt;AH$4),$F818,AH818))</f>
        <v>59MB1BJB-MB0A02S</v>
      </c>
      <c r="AI819" s="6" t="str">
        <f>IF($D819&lt;=AI$4,"",IF(AND($D818=AI$4,$D819&gt;AI$4),$F818,AI818))</f>
        <v/>
      </c>
      <c r="AJ819" s="6" t="str">
        <f>IF($D819&lt;=AJ$4,"",IF(AND($D818=AJ$4,$D819&gt;AJ$4),$F818,AJ818))</f>
        <v/>
      </c>
      <c r="AK819" s="6" t="str">
        <f>IF($D819&lt;=AK$4,"",IF(AND($D818=AK$4,$D819&gt;AK$4),$F818,AK818))</f>
        <v/>
      </c>
      <c r="AL819" s="6" t="str">
        <f>IF($D819&lt;=AL$4,"",IF(AND($D818=AL$4,$D819&gt;AL$4),$F818,AL818))</f>
        <v/>
      </c>
      <c r="AM819" s="6" t="str">
        <f>IF($D819&lt;=AM$4,"",IF(AND($D818=AM$4,$D819&gt;AM$4),$F818,AM818))</f>
        <v/>
      </c>
      <c r="AN819" s="6" t="str">
        <f>IF($D819&lt;=AN$4,"",IF(AND($D818=AN$4,$D819&gt;AN$4),$F818,AN818))</f>
        <v/>
      </c>
      <c r="AO819" s="6" t="str">
        <f>CONCATENATE(AG819," | ",AH819," | ",AI819," | ",AJ819," | ",AK819," | ",AL819," | ",AM819," | ",AN819)</f>
        <v xml:space="preserve">90MB1BJ0-C1BAY0 | 59MB1BJB-MB0A02S |  |  |  |  |  | </v>
      </c>
      <c r="AP819" s="6">
        <f>IF(TRIM(H819)="",100,J819)</f>
        <v>0</v>
      </c>
      <c r="AQ819" s="4"/>
      <c r="AR819" s="6" t="b">
        <f>NOT(TRIM(W819)&lt;&gt;"F")</f>
        <v>1</v>
      </c>
      <c r="AS819" s="6" t="str">
        <f>$B819&amp;" | "&amp;$AO819&amp;" | "&amp;IF(TRIM(H819)="","uniq"&amp;ROW(),TRIM(H819))</f>
        <v>461E | 90MB1BJ0-C1BAY0 | 59MB1BJB-MB0A02S |  |  |  |  |  |  | Q3</v>
      </c>
      <c r="AT819" s="63">
        <f>IF(NOT(AR819),IF(TRIM($H819)="","Assembly","Phantom Alt"),VLOOKUP(F819,ZPCS04!B:G,6,0))</f>
        <v>1290</v>
      </c>
      <c r="AU819" s="7"/>
      <c r="AV819" s="38">
        <f ca="1">IF(TRIM($W819)="F",OFFSET($A$5,MATCH($AS819,$AS$5:$AS819,0)-1,0),$A819)</f>
        <v>819</v>
      </c>
      <c r="AW819" s="38">
        <f ca="1">IFERROR(OFFSET(ZPCS04!$A$1,MATCH(F819,ZPCS04!B:B,0)-1,0),100)</f>
        <v>2</v>
      </c>
      <c r="AX819" s="7"/>
      <c r="AY819" s="6" t="b">
        <f>SUMIF(AS:AS,AS819,AP:AP)=100</f>
        <v>1</v>
      </c>
      <c r="AZ819" s="6" t="b">
        <f>SUMIF(AS:AS,AS819,AE:AE)/COUNTIF(AS:AS,AS819)=AE819</f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>C819&amp;" | "&amp;F819</f>
        <v>90MB1BJ0-C1BAY0 | 08001-19593200</v>
      </c>
      <c r="BE819" s="55" t="str">
        <f ca="1">C819&amp;" | "&amp;OFFSET($AF819,0,8-COUNTBLANK($AG819:$AN819))</f>
        <v>90MB1BJ0-C1BAY0 | 59MB1BJB-MB0A02S</v>
      </c>
      <c r="BF819" s="57">
        <f ca="1">IFERROR(VLOOKUP($BE819,$BD$5:$BF818,3,0)*$AE819,VLOOKUP($C819,Demanda!$A:$B,2,0)*$AE819)*IF(AT819="Phantom Alt",$BC819,TRUE)</f>
        <v>1000</v>
      </c>
      <c r="BG819" s="57">
        <f ca="1">BF819*(AP819/100)</f>
        <v>0</v>
      </c>
      <c r="BH819" s="57">
        <f>SUMIF(Invoice!A:A,F819,Invoice!B:B)</f>
        <v>0</v>
      </c>
      <c r="BI819" s="57">
        <f ca="1">SUMIF(AS:AS,AS819,BG:BG)</f>
        <v>1000</v>
      </c>
      <c r="BJ819" s="57">
        <f ca="1">MIN((BI819-SUMIF($AS$5:AS818,AS819,$BJ$5:BJ818)),MAX(0,BH819-SUMIF($F$5:F818,F819,$BJ$5:BJ818)))</f>
        <v>0</v>
      </c>
      <c r="BK819" s="57">
        <f ca="1">(-SUMIF(AS:AS,AS819,BG:BG)+SUMIF(AS:AS,AS819,BJ:BJ))*(AP819=100)*AR819</f>
        <v>0</v>
      </c>
      <c r="BL819" s="57">
        <f ca="1">MAX(0,SUMIF(Invoice!A:A,F819,Invoice!B:B)-SUMIF(F:F,F819,BJ:BJ))*(COUNTIF(F:F,F819)=COUNTIF($F$5:F819,F819))</f>
        <v>0</v>
      </c>
    </row>
    <row r="820" spans="1:64" hidden="1">
      <c r="A820" s="43">
        <v>822</v>
      </c>
      <c r="B820" s="13" t="s">
        <v>147</v>
      </c>
      <c r="C820" s="13" t="s">
        <v>146</v>
      </c>
      <c r="D820" s="13">
        <v>2</v>
      </c>
      <c r="E820" s="13">
        <v>2640</v>
      </c>
      <c r="F820" s="71" t="s">
        <v>1891</v>
      </c>
      <c r="G820" s="71" t="s">
        <v>1888</v>
      </c>
      <c r="H820" s="13" t="s">
        <v>1889</v>
      </c>
      <c r="I820" s="13" t="s">
        <v>55</v>
      </c>
      <c r="J820" s="28">
        <v>0</v>
      </c>
      <c r="K820" s="13" t="s">
        <v>150</v>
      </c>
      <c r="L820" s="13" t="s">
        <v>53</v>
      </c>
      <c r="M820" s="13">
        <v>2</v>
      </c>
      <c r="O820" s="13">
        <v>1</v>
      </c>
      <c r="P820" s="13">
        <v>2</v>
      </c>
      <c r="Q820" s="13">
        <v>3</v>
      </c>
      <c r="R820" s="13" t="s">
        <v>73</v>
      </c>
      <c r="S820" s="13" t="s">
        <v>73</v>
      </c>
      <c r="T820" s="13">
        <v>44901</v>
      </c>
      <c r="U820" s="13">
        <v>2958465</v>
      </c>
      <c r="V820" s="13" t="s">
        <v>282</v>
      </c>
      <c r="W820" s="13" t="s">
        <v>145</v>
      </c>
      <c r="Y820" s="13" t="s">
        <v>143</v>
      </c>
      <c r="Z820" s="13">
        <v>7589154</v>
      </c>
      <c r="AA820" s="13">
        <v>1532</v>
      </c>
      <c r="AB820" s="13">
        <v>766</v>
      </c>
      <c r="AE820" s="51">
        <f>M820/O820</f>
        <v>2</v>
      </c>
      <c r="AG820" s="6" t="str">
        <f>C820</f>
        <v>90MB1BJ0-C1BAY0</v>
      </c>
      <c r="AH820" s="6" t="str">
        <f>IF($D820&lt;=AH$4,"",IF(AND($D819=AH$4,$D820&gt;AH$4),$F819,AH819))</f>
        <v>59MB1BJB-MB0A02S</v>
      </c>
      <c r="AI820" s="6" t="str">
        <f>IF($D820&lt;=AI$4,"",IF(AND($D819=AI$4,$D820&gt;AI$4),$F819,AI819))</f>
        <v/>
      </c>
      <c r="AJ820" s="6" t="str">
        <f>IF($D820&lt;=AJ$4,"",IF(AND($D819=AJ$4,$D820&gt;AJ$4),$F819,AJ819))</f>
        <v/>
      </c>
      <c r="AK820" s="6" t="str">
        <f>IF($D820&lt;=AK$4,"",IF(AND($D819=AK$4,$D820&gt;AK$4),$F819,AK819))</f>
        <v/>
      </c>
      <c r="AL820" s="6" t="str">
        <f>IF($D820&lt;=AL$4,"",IF(AND($D819=AL$4,$D820&gt;AL$4),$F819,AL819))</f>
        <v/>
      </c>
      <c r="AM820" s="6" t="str">
        <f>IF($D820&lt;=AM$4,"",IF(AND($D819=AM$4,$D820&gt;AM$4),$F819,AM819))</f>
        <v/>
      </c>
      <c r="AN820" s="6" t="str">
        <f>IF($D820&lt;=AN$4,"",IF(AND($D819=AN$4,$D820&gt;AN$4),$F819,AN819))</f>
        <v/>
      </c>
      <c r="AO820" s="6" t="str">
        <f>CONCATENATE(AG820," | ",AH820," | ",AI820," | ",AJ820," | ",AK820," | ",AL820," | ",AM820," | ",AN820)</f>
        <v xml:space="preserve">90MB1BJ0-C1BAY0 | 59MB1BJB-MB0A02S |  |  |  |  |  | </v>
      </c>
      <c r="AP820" s="6">
        <f>IF(TRIM(H820)="",100,J820)</f>
        <v>0</v>
      </c>
      <c r="AQ820" s="4"/>
      <c r="AR820" s="6" t="b">
        <f>NOT(TRIM(W820)&lt;&gt;"F")</f>
        <v>1</v>
      </c>
      <c r="AS820" s="6" t="str">
        <f>$B820&amp;" | "&amp;$AO820&amp;" | "&amp;IF(TRIM(H820)="","uniq"&amp;ROW(),TRIM(H820))</f>
        <v>461E | 90MB1BJ0-C1BAY0 | 59MB1BJB-MB0A02S |  |  |  |  |  |  | Q4</v>
      </c>
      <c r="AT820" s="63">
        <f>IF(NOT(AR820),IF(TRIM($H820)="","Assembly","Phantom Alt"),VLOOKUP(F820,ZPCS04!B:G,6,0))</f>
        <v>1291</v>
      </c>
      <c r="AU820" s="7"/>
      <c r="AV820" s="38">
        <f ca="1">IF(TRIM($W820)="F",OFFSET($A$5,MATCH($AS820,$AS$5:$AS820,0)-1,0),$A820)</f>
        <v>822</v>
      </c>
      <c r="AW820" s="38">
        <f ca="1">IFERROR(OFFSET(ZPCS04!$A$1,MATCH(F820,ZPCS04!B:B,0)-1,0),100)</f>
        <v>1.9999999769599999</v>
      </c>
      <c r="AX820" s="7"/>
      <c r="AY820" s="6" t="b">
        <f>SUMIF(AS:AS,AS820,AP:AP)=100</f>
        <v>1</v>
      </c>
      <c r="AZ820" s="6" t="b">
        <f>SUMIF(AS:AS,AS820,AE:AE)/COUNTIF(AS:AS,AS820)=AE820</f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>C820&amp;" | "&amp;F820</f>
        <v>90MB1BJ0-C1BAY0 | 12002-00146800</v>
      </c>
      <c r="BE820" s="55" t="str">
        <f ca="1">C820&amp;" | "&amp;OFFSET($AF820,0,8-COUNTBLANK($AG820:$AN820))</f>
        <v>90MB1BJ0-C1BAY0 | 59MB1BJB-MB0A02S</v>
      </c>
      <c r="BF820" s="57">
        <f ca="1">IFERROR(VLOOKUP($BE820,$BD$5:$BF819,3,0)*$AE820,VLOOKUP($C820,Demanda!$A:$B,2,0)*$AE820)*IF(AT820="Phantom Alt",$BC820,TRUE)</f>
        <v>2000</v>
      </c>
      <c r="BG820" s="57">
        <f ca="1">BF820*(AP820/100)</f>
        <v>0</v>
      </c>
      <c r="BH820" s="57">
        <f>SUMIF(Invoice!A:A,F820,Invoice!B:B)</f>
        <v>2304</v>
      </c>
      <c r="BI820" s="57">
        <f ca="1">SUMIF(AS:AS,AS820,BG:BG)</f>
        <v>2000</v>
      </c>
      <c r="BJ820" s="57">
        <f ca="1">MIN((BI820-SUMIF($AS$5:AS819,AS820,$BJ$5:BJ819)),MAX(0,BH820-SUMIF($F$5:F819,F820,$BJ$5:BJ819)))</f>
        <v>2000</v>
      </c>
      <c r="BK820" s="57">
        <f ca="1">(-SUMIF(AS:AS,AS820,BG:BG)+SUMIF(AS:AS,AS820,BJ:BJ))*(AP820=100)*AR820</f>
        <v>0</v>
      </c>
      <c r="BL820" s="57">
        <f ca="1">MAX(0,SUMIF(Invoice!A:A,F820,Invoice!B:B)-SUMIF(F:F,F820,BJ:BJ))*(COUNTIF(F:F,F820)=COUNTIF($F$5:F820,F820))</f>
        <v>304</v>
      </c>
    </row>
    <row r="821" spans="1:64" hidden="1">
      <c r="A821" s="43">
        <v>820</v>
      </c>
      <c r="B821" s="13" t="s">
        <v>147</v>
      </c>
      <c r="C821" s="13" t="s">
        <v>146</v>
      </c>
      <c r="D821" s="13">
        <v>2</v>
      </c>
      <c r="E821" s="13">
        <v>2640</v>
      </c>
      <c r="F821" s="71" t="s">
        <v>1887</v>
      </c>
      <c r="G821" s="71" t="s">
        <v>1888</v>
      </c>
      <c r="H821" s="13" t="s">
        <v>1889</v>
      </c>
      <c r="I821" s="13" t="s">
        <v>55</v>
      </c>
      <c r="J821" s="28">
        <v>0</v>
      </c>
      <c r="K821" s="13" t="s">
        <v>150</v>
      </c>
      <c r="L821" s="13" t="s">
        <v>53</v>
      </c>
      <c r="M821" s="13">
        <v>2</v>
      </c>
      <c r="O821" s="13">
        <v>1</v>
      </c>
      <c r="P821" s="13">
        <v>2</v>
      </c>
      <c r="Q821" s="13">
        <v>2</v>
      </c>
      <c r="R821" s="13" t="s">
        <v>73</v>
      </c>
      <c r="S821" s="13" t="s">
        <v>73</v>
      </c>
      <c r="T821" s="13">
        <v>44901</v>
      </c>
      <c r="U821" s="13">
        <v>2958465</v>
      </c>
      <c r="V821" s="13" t="s">
        <v>282</v>
      </c>
      <c r="W821" s="13" t="s">
        <v>145</v>
      </c>
      <c r="Y821" s="13" t="s">
        <v>143</v>
      </c>
      <c r="Z821" s="13">
        <v>7589154</v>
      </c>
      <c r="AA821" s="13">
        <v>1530</v>
      </c>
      <c r="AB821" s="13">
        <v>765</v>
      </c>
      <c r="AE821" s="51">
        <f>M821/O821</f>
        <v>2</v>
      </c>
      <c r="AG821" s="6" t="str">
        <f>C821</f>
        <v>90MB1BJ0-C1BAY0</v>
      </c>
      <c r="AH821" s="6" t="str">
        <f>IF($D821&lt;=AH$4,"",IF(AND($D820=AH$4,$D821&gt;AH$4),$F820,AH820))</f>
        <v>59MB1BJB-MB0A02S</v>
      </c>
      <c r="AI821" s="6" t="str">
        <f>IF($D821&lt;=AI$4,"",IF(AND($D820=AI$4,$D821&gt;AI$4),$F820,AI820))</f>
        <v/>
      </c>
      <c r="AJ821" s="6" t="str">
        <f>IF($D821&lt;=AJ$4,"",IF(AND($D820=AJ$4,$D821&gt;AJ$4),$F820,AJ820))</f>
        <v/>
      </c>
      <c r="AK821" s="6" t="str">
        <f>IF($D821&lt;=AK$4,"",IF(AND($D820=AK$4,$D821&gt;AK$4),$F820,AK820))</f>
        <v/>
      </c>
      <c r="AL821" s="6" t="str">
        <f>IF($D821&lt;=AL$4,"",IF(AND($D820=AL$4,$D821&gt;AL$4),$F820,AL820))</f>
        <v/>
      </c>
      <c r="AM821" s="6" t="str">
        <f>IF($D821&lt;=AM$4,"",IF(AND($D820=AM$4,$D821&gt;AM$4),$F820,AM820))</f>
        <v/>
      </c>
      <c r="AN821" s="6" t="str">
        <f>IF($D821&lt;=AN$4,"",IF(AND($D820=AN$4,$D821&gt;AN$4),$F820,AN820))</f>
        <v/>
      </c>
      <c r="AO821" s="6" t="str">
        <f>CONCATENATE(AG821," | ",AH821," | ",AI821," | ",AJ821," | ",AK821," | ",AL821," | ",AM821," | ",AN821)</f>
        <v xml:space="preserve">90MB1BJ0-C1BAY0 | 59MB1BJB-MB0A02S |  |  |  |  |  | </v>
      </c>
      <c r="AP821" s="6">
        <f>IF(TRIM(H821)="",100,J821)</f>
        <v>0</v>
      </c>
      <c r="AQ821" s="4"/>
      <c r="AR821" s="6" t="b">
        <f>NOT(TRIM(W821)&lt;&gt;"F")</f>
        <v>1</v>
      </c>
      <c r="AS821" s="6" t="str">
        <f>$B821&amp;" | "&amp;$AO821&amp;" | "&amp;IF(TRIM(H821)="","uniq"&amp;ROW(),TRIM(H821))</f>
        <v>461E | 90MB1BJ0-C1BAY0 | 59MB1BJB-MB0A02S |  |  |  |  |  |  | Q4</v>
      </c>
      <c r="AT821" s="63">
        <f>IF(NOT(AR821),IF(TRIM($H821)="","Assembly","Phantom Alt"),VLOOKUP(F821,ZPCS04!B:G,6,0))</f>
        <v>1291</v>
      </c>
      <c r="AU821" s="7"/>
      <c r="AV821" s="38">
        <f ca="1">IF(TRIM($W821)="F",OFFSET($A$5,MATCH($AS821,$AS$5:$AS821,0)-1,0),$A821)</f>
        <v>822</v>
      </c>
      <c r="AW821" s="38">
        <f ca="1">IFERROR(OFFSET(ZPCS04!$A$1,MATCH(F821,ZPCS04!B:B,0)-1,0),100)</f>
        <v>2</v>
      </c>
      <c r="AX821" s="7"/>
      <c r="AY821" s="6" t="b">
        <f>SUMIF(AS:AS,AS821,AP:AP)=100</f>
        <v>1</v>
      </c>
      <c r="AZ821" s="6" t="b">
        <f>SUMIF(AS:AS,AS821,AE:AE)/COUNTIF(AS:AS,AS821)=AE821</f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>C821&amp;" | "&amp;F821</f>
        <v>90MB1BJ0-C1BAY0 | 12002-00142600</v>
      </c>
      <c r="BE821" s="55" t="str">
        <f ca="1">C821&amp;" | "&amp;OFFSET($AF821,0,8-COUNTBLANK($AG821:$AN821))</f>
        <v>90MB1BJ0-C1BAY0 | 59MB1BJB-MB0A02S</v>
      </c>
      <c r="BF821" s="57">
        <f ca="1">IFERROR(VLOOKUP($BE821,$BD$5:$BF820,3,0)*$AE821,VLOOKUP($C821,Demanda!$A:$B,2,0)*$AE821)*IF(AT821="Phantom Alt",$BC821,TRUE)</f>
        <v>2000</v>
      </c>
      <c r="BG821" s="57">
        <f ca="1">BF821*(AP821/100)</f>
        <v>0</v>
      </c>
      <c r="BH821" s="57">
        <f>SUMIF(Invoice!A:A,F821,Invoice!B:B)</f>
        <v>0</v>
      </c>
      <c r="BI821" s="57">
        <f ca="1">SUMIF(AS:AS,AS821,BG:BG)</f>
        <v>2000</v>
      </c>
      <c r="BJ821" s="57">
        <f ca="1">MIN((BI821-SUMIF($AS$5:AS820,AS821,$BJ$5:BJ820)),MAX(0,BH821-SUMIF($F$5:F820,F821,$BJ$5:BJ820)))</f>
        <v>0</v>
      </c>
      <c r="BK821" s="57">
        <f ca="1">(-SUMIF(AS:AS,AS821,BG:BG)+SUMIF(AS:AS,AS821,BJ:BJ))*(AP821=100)*AR821</f>
        <v>0</v>
      </c>
      <c r="BL821" s="57">
        <f ca="1">MAX(0,SUMIF(Invoice!A:A,F821,Invoice!B:B)-SUMIF(F:F,F821,BJ:BJ))*(COUNTIF(F:F,F821)=COUNTIF($F$5:F821,F821))</f>
        <v>0</v>
      </c>
    </row>
    <row r="822" spans="1:64" hidden="1">
      <c r="A822" s="43">
        <v>821</v>
      </c>
      <c r="B822" s="13" t="s">
        <v>147</v>
      </c>
      <c r="C822" s="13" t="s">
        <v>146</v>
      </c>
      <c r="D822" s="13">
        <v>2</v>
      </c>
      <c r="E822" s="13">
        <v>2640</v>
      </c>
      <c r="F822" s="71" t="s">
        <v>1890</v>
      </c>
      <c r="G822" s="71" t="s">
        <v>1888</v>
      </c>
      <c r="H822" s="13" t="s">
        <v>1889</v>
      </c>
      <c r="I822" s="13" t="s">
        <v>54</v>
      </c>
      <c r="J822" s="28">
        <v>100</v>
      </c>
      <c r="K822" s="13" t="s">
        <v>150</v>
      </c>
      <c r="L822" s="13" t="s">
        <v>53</v>
      </c>
      <c r="M822" s="13">
        <v>2</v>
      </c>
      <c r="N822" s="13">
        <v>2</v>
      </c>
      <c r="O822" s="13">
        <v>1</v>
      </c>
      <c r="P822" s="13">
        <v>2</v>
      </c>
      <c r="Q822" s="13">
        <v>1</v>
      </c>
      <c r="R822" s="13" t="s">
        <v>73</v>
      </c>
      <c r="S822" s="13" t="s">
        <v>73</v>
      </c>
      <c r="T822" s="13">
        <v>44901</v>
      </c>
      <c r="U822" s="13">
        <v>2958465</v>
      </c>
      <c r="V822" s="13" t="s">
        <v>282</v>
      </c>
      <c r="W822" s="13" t="s">
        <v>145</v>
      </c>
      <c r="Y822" s="13" t="s">
        <v>143</v>
      </c>
      <c r="Z822" s="13">
        <v>7589154</v>
      </c>
      <c r="AA822" s="13">
        <v>1528</v>
      </c>
      <c r="AB822" s="13">
        <v>764</v>
      </c>
      <c r="AE822" s="51">
        <f>M822/O822</f>
        <v>2</v>
      </c>
      <c r="AG822" s="6" t="str">
        <f>C822</f>
        <v>90MB1BJ0-C1BAY0</v>
      </c>
      <c r="AH822" s="6" t="str">
        <f>IF($D822&lt;=AH$4,"",IF(AND($D821=AH$4,$D822&gt;AH$4),$F821,AH821))</f>
        <v>59MB1BJB-MB0A02S</v>
      </c>
      <c r="AI822" s="6" t="str">
        <f>IF($D822&lt;=AI$4,"",IF(AND($D821=AI$4,$D822&gt;AI$4),$F821,AI821))</f>
        <v/>
      </c>
      <c r="AJ822" s="6" t="str">
        <f>IF($D822&lt;=AJ$4,"",IF(AND($D821=AJ$4,$D822&gt;AJ$4),$F821,AJ821))</f>
        <v/>
      </c>
      <c r="AK822" s="6" t="str">
        <f>IF($D822&lt;=AK$4,"",IF(AND($D821=AK$4,$D822&gt;AK$4),$F821,AK821))</f>
        <v/>
      </c>
      <c r="AL822" s="6" t="str">
        <f>IF($D822&lt;=AL$4,"",IF(AND($D821=AL$4,$D822&gt;AL$4),$F821,AL821))</f>
        <v/>
      </c>
      <c r="AM822" s="6" t="str">
        <f>IF($D822&lt;=AM$4,"",IF(AND($D821=AM$4,$D822&gt;AM$4),$F821,AM821))</f>
        <v/>
      </c>
      <c r="AN822" s="6" t="str">
        <f>IF($D822&lt;=AN$4,"",IF(AND($D821=AN$4,$D822&gt;AN$4),$F821,AN821))</f>
        <v/>
      </c>
      <c r="AO822" s="6" t="str">
        <f>CONCATENATE(AG822," | ",AH822," | ",AI822," | ",AJ822," | ",AK822," | ",AL822," | ",AM822," | ",AN822)</f>
        <v xml:space="preserve">90MB1BJ0-C1BAY0 | 59MB1BJB-MB0A02S |  |  |  |  |  | </v>
      </c>
      <c r="AP822" s="6">
        <f>IF(TRIM(H822)="",100,J822)</f>
        <v>100</v>
      </c>
      <c r="AQ822" s="4"/>
      <c r="AR822" s="6" t="b">
        <f>NOT(TRIM(W822)&lt;&gt;"F")</f>
        <v>1</v>
      </c>
      <c r="AS822" s="6" t="str">
        <f>$B822&amp;" | "&amp;$AO822&amp;" | "&amp;IF(TRIM(H822)="","uniq"&amp;ROW(),TRIM(H822))</f>
        <v>461E | 90MB1BJ0-C1BAY0 | 59MB1BJB-MB0A02S |  |  |  |  |  |  | Q4</v>
      </c>
      <c r="AT822" s="63">
        <f>IF(NOT(AR822),IF(TRIM($H822)="","Assembly","Phantom Alt"),VLOOKUP(F822,ZPCS04!B:G,6,0))</f>
        <v>1291</v>
      </c>
      <c r="AU822" s="7"/>
      <c r="AV822" s="38">
        <f ca="1">IF(TRIM($W822)="F",OFFSET($A$5,MATCH($AS822,$AS$5:$AS822,0)-1,0),$A822)</f>
        <v>822</v>
      </c>
      <c r="AW822" s="38">
        <f ca="1">IFERROR(OFFSET(ZPCS04!$A$1,MATCH(F822,ZPCS04!B:B,0)-1,0),100)</f>
        <v>2</v>
      </c>
      <c r="AX822" s="7"/>
      <c r="AY822" s="6" t="b">
        <f>SUMIF(AS:AS,AS822,AP:AP)=100</f>
        <v>1</v>
      </c>
      <c r="AZ822" s="6" t="b">
        <f>SUMIF(AS:AS,AS822,AE:AE)/COUNTIF(AS:AS,AS822)=AE822</f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>C822&amp;" | "&amp;F822</f>
        <v>90MB1BJ0-C1BAY0 | 12002-00143300</v>
      </c>
      <c r="BE822" s="55" t="str">
        <f ca="1">C822&amp;" | "&amp;OFFSET($AF822,0,8-COUNTBLANK($AG822:$AN822))</f>
        <v>90MB1BJ0-C1BAY0 | 59MB1BJB-MB0A02S</v>
      </c>
      <c r="BF822" s="57">
        <f ca="1">IFERROR(VLOOKUP($BE822,$BD$5:$BF821,3,0)*$AE822,VLOOKUP($C822,Demanda!$A:$B,2,0)*$AE822)*IF(AT822="Phantom Alt",$BC822,TRUE)</f>
        <v>2000</v>
      </c>
      <c r="BG822" s="57">
        <f ca="1">BF822*(AP822/100)</f>
        <v>2000</v>
      </c>
      <c r="BH822" s="57">
        <f>SUMIF(Invoice!A:A,F822,Invoice!B:B)</f>
        <v>0</v>
      </c>
      <c r="BI822" s="57">
        <f ca="1">SUMIF(AS:AS,AS822,BG:BG)</f>
        <v>2000</v>
      </c>
      <c r="BJ822" s="57">
        <f ca="1">MIN((BI822-SUMIF($AS$5:AS821,AS822,$BJ$5:BJ821)),MAX(0,BH822-SUMIF($F$5:F821,F822,$BJ$5:BJ821)))</f>
        <v>0</v>
      </c>
      <c r="BK822" s="57">
        <f ca="1">(-SUMIF(AS:AS,AS822,BG:BG)+SUMIF(AS:AS,AS822,BJ:BJ))*(AP822=100)*AR822</f>
        <v>0</v>
      </c>
      <c r="BL822" s="57">
        <f ca="1">MAX(0,SUMIF(Invoice!A:A,F822,Invoice!B:B)-SUMIF(F:F,F822,BJ:BJ))*(COUNTIF(F:F,F822)=COUNTIF($F$5:F822,F822))</f>
        <v>0</v>
      </c>
    </row>
    <row r="823" spans="1:64" hidden="1">
      <c r="A823" s="43">
        <v>823</v>
      </c>
      <c r="B823" s="13" t="s">
        <v>147</v>
      </c>
      <c r="C823" s="13" t="s">
        <v>146</v>
      </c>
      <c r="D823" s="13">
        <v>2</v>
      </c>
      <c r="E823" s="13">
        <v>2650</v>
      </c>
      <c r="F823" s="71" t="s">
        <v>1892</v>
      </c>
      <c r="G823" s="71" t="s">
        <v>1893</v>
      </c>
      <c r="I823" s="13" t="s">
        <v>54</v>
      </c>
      <c r="J823" s="28">
        <v>0</v>
      </c>
      <c r="K823" s="13" t="s">
        <v>150</v>
      </c>
      <c r="L823" s="13" t="s">
        <v>53</v>
      </c>
      <c r="M823" s="13">
        <v>2</v>
      </c>
      <c r="N823" s="13">
        <v>2</v>
      </c>
      <c r="O823" s="13">
        <v>1</v>
      </c>
      <c r="R823" s="13" t="s">
        <v>73</v>
      </c>
      <c r="S823" s="13" t="s">
        <v>73</v>
      </c>
      <c r="T823" s="13">
        <v>44901</v>
      </c>
      <c r="U823" s="13">
        <v>2958465</v>
      </c>
      <c r="V823" s="13" t="s">
        <v>282</v>
      </c>
      <c r="W823" s="13" t="s">
        <v>145</v>
      </c>
      <c r="Y823" s="13" t="s">
        <v>143</v>
      </c>
      <c r="Z823" s="13">
        <v>7589154</v>
      </c>
      <c r="AA823" s="13">
        <v>1534</v>
      </c>
      <c r="AB823" s="13">
        <v>767</v>
      </c>
      <c r="AE823" s="51">
        <f>M823/O823</f>
        <v>2</v>
      </c>
      <c r="AG823" s="6" t="str">
        <f>C823</f>
        <v>90MB1BJ0-C1BAY0</v>
      </c>
      <c r="AH823" s="6" t="str">
        <f>IF($D823&lt;=AH$4,"",IF(AND($D822=AH$4,$D823&gt;AH$4),$F822,AH822))</f>
        <v>59MB1BJB-MB0A02S</v>
      </c>
      <c r="AI823" s="6" t="str">
        <f>IF($D823&lt;=AI$4,"",IF(AND($D822=AI$4,$D823&gt;AI$4),$F822,AI822))</f>
        <v/>
      </c>
      <c r="AJ823" s="6" t="str">
        <f>IF($D823&lt;=AJ$4,"",IF(AND($D822=AJ$4,$D823&gt;AJ$4),$F822,AJ822))</f>
        <v/>
      </c>
      <c r="AK823" s="6" t="str">
        <f>IF($D823&lt;=AK$4,"",IF(AND($D822=AK$4,$D823&gt;AK$4),$F822,AK822))</f>
        <v/>
      </c>
      <c r="AL823" s="6" t="str">
        <f>IF($D823&lt;=AL$4,"",IF(AND($D822=AL$4,$D823&gt;AL$4),$F822,AL822))</f>
        <v/>
      </c>
      <c r="AM823" s="6" t="str">
        <f>IF($D823&lt;=AM$4,"",IF(AND($D822=AM$4,$D823&gt;AM$4),$F822,AM822))</f>
        <v/>
      </c>
      <c r="AN823" s="6" t="str">
        <f>IF($D823&lt;=AN$4,"",IF(AND($D822=AN$4,$D823&gt;AN$4),$F822,AN822))</f>
        <v/>
      </c>
      <c r="AO823" s="6" t="str">
        <f>CONCATENATE(AG823," | ",AH823," | ",AI823," | ",AJ823," | ",AK823," | ",AL823," | ",AM823," | ",AN823)</f>
        <v xml:space="preserve">90MB1BJ0-C1BAY0 | 59MB1BJB-MB0A02S |  |  |  |  |  | </v>
      </c>
      <c r="AP823" s="6">
        <f>IF(TRIM(H823)="",100,J823)</f>
        <v>100</v>
      </c>
      <c r="AQ823" s="4"/>
      <c r="AR823" s="6" t="b">
        <f>NOT(TRIM(W823)&lt;&gt;"F")</f>
        <v>1</v>
      </c>
      <c r="AS823" s="6" t="str">
        <f>$B823&amp;" | "&amp;$AO823&amp;" | "&amp;IF(TRIM(H823)="","uniq"&amp;ROW(),TRIM(H823))</f>
        <v>461E | 90MB1BJ0-C1BAY0 | 59MB1BJB-MB0A02S |  |  |  |  |  |  | uniq823</v>
      </c>
      <c r="AT823" s="63">
        <f>IF(NOT(AR823),IF(TRIM($H823)="","Assembly","Phantom Alt"),VLOOKUP(F823,ZPCS04!B:G,6,0))</f>
        <v>9</v>
      </c>
      <c r="AU823" s="7"/>
      <c r="AV823" s="38">
        <f ca="1">IF(TRIM($W823)="F",OFFSET($A$5,MATCH($AS823,$AS$5:$AS823,0)-1,0),$A823)</f>
        <v>823</v>
      </c>
      <c r="AW823" s="38">
        <f ca="1">IFERROR(OFFSET(ZPCS04!$A$1,MATCH(F823,ZPCS04!B:B,0)-1,0),100)</f>
        <v>1.9999999800000001</v>
      </c>
      <c r="AX823" s="7"/>
      <c r="AY823" s="6" t="b">
        <f>SUMIF(AS:AS,AS823,AP:AP)=100</f>
        <v>1</v>
      </c>
      <c r="AZ823" s="6" t="b">
        <f>SUMIF(AS:AS,AS823,AE:AE)/COUNTIF(AS:AS,AS823)=AE823</f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>C823&amp;" | "&amp;F823</f>
        <v>90MB1BJ0-C1BAY0 | 02002-00550100</v>
      </c>
      <c r="BE823" s="55" t="str">
        <f ca="1">C823&amp;" | "&amp;OFFSET($AF823,0,8-COUNTBLANK($AG823:$AN823))</f>
        <v>90MB1BJ0-C1BAY0 | 59MB1BJB-MB0A02S</v>
      </c>
      <c r="BF823" s="57">
        <f ca="1">IFERROR(VLOOKUP($BE823,$BD$5:$BF822,3,0)*$AE823,VLOOKUP($C823,Demanda!$A:$B,2,0)*$AE823)*IF(AT823="Phantom Alt",$BC823,TRUE)</f>
        <v>2000</v>
      </c>
      <c r="BG823" s="57">
        <f ca="1">BF823*(AP823/100)</f>
        <v>2000</v>
      </c>
      <c r="BH823" s="57">
        <f>SUMIF(Invoice!A:A,F823,Invoice!B:B)</f>
        <v>2000</v>
      </c>
      <c r="BI823" s="57">
        <f ca="1">SUMIF(AS:AS,AS823,BG:BG)</f>
        <v>2000</v>
      </c>
      <c r="BJ823" s="57">
        <f ca="1">MIN((BI823-SUMIF($AS$5:AS822,AS823,$BJ$5:BJ822)),MAX(0,BH823-SUMIF($F$5:F822,F823,$BJ$5:BJ822)))</f>
        <v>2000</v>
      </c>
      <c r="BK823" s="57">
        <f ca="1">(-SUMIF(AS:AS,AS823,BG:BG)+SUMIF(AS:AS,AS823,BJ:BJ))*(AP823=100)*AR823</f>
        <v>0</v>
      </c>
      <c r="BL823" s="57">
        <f ca="1">MAX(0,SUMIF(Invoice!A:A,F823,Invoice!B:B)-SUMIF(F:F,F823,BJ:BJ))*(COUNTIF(F:F,F823)=COUNTIF($F$5:F823,F823))</f>
        <v>0</v>
      </c>
    </row>
    <row r="824" spans="1:64" hidden="1">
      <c r="A824" s="43">
        <v>826</v>
      </c>
      <c r="B824" s="13" t="s">
        <v>147</v>
      </c>
      <c r="C824" s="13" t="s">
        <v>146</v>
      </c>
      <c r="D824" s="13">
        <v>2</v>
      </c>
      <c r="E824" s="13">
        <v>2660</v>
      </c>
      <c r="F824" s="71" t="s">
        <v>1899</v>
      </c>
      <c r="G824" s="71" t="s">
        <v>1900</v>
      </c>
      <c r="H824" s="13" t="s">
        <v>1896</v>
      </c>
      <c r="I824" s="13" t="s">
        <v>54</v>
      </c>
      <c r="J824" s="28">
        <v>100</v>
      </c>
      <c r="K824" s="13" t="s">
        <v>150</v>
      </c>
      <c r="L824" s="13" t="s">
        <v>53</v>
      </c>
      <c r="M824" s="13">
        <v>2</v>
      </c>
      <c r="N824" s="13">
        <v>2</v>
      </c>
      <c r="O824" s="13">
        <v>1</v>
      </c>
      <c r="P824" s="13">
        <v>2</v>
      </c>
      <c r="Q824" s="13">
        <v>1</v>
      </c>
      <c r="R824" s="13" t="s">
        <v>73</v>
      </c>
      <c r="S824" s="13" t="s">
        <v>73</v>
      </c>
      <c r="T824" s="13">
        <v>44901</v>
      </c>
      <c r="U824" s="13">
        <v>2958465</v>
      </c>
      <c r="V824" s="13" t="s">
        <v>282</v>
      </c>
      <c r="W824" s="13" t="s">
        <v>145</v>
      </c>
      <c r="Y824" s="13" t="s">
        <v>143</v>
      </c>
      <c r="Z824" s="13">
        <v>7589154</v>
      </c>
      <c r="AA824" s="13">
        <v>1536</v>
      </c>
      <c r="AB824" s="13">
        <v>768</v>
      </c>
      <c r="AE824" s="51">
        <f>M824/O824</f>
        <v>2</v>
      </c>
      <c r="AG824" s="6" t="str">
        <f>C824</f>
        <v>90MB1BJ0-C1BAY0</v>
      </c>
      <c r="AH824" s="6" t="str">
        <f>IF($D824&lt;=AH$4,"",IF(AND($D823=AH$4,$D824&gt;AH$4),$F823,AH823))</f>
        <v>59MB1BJB-MB0A02S</v>
      </c>
      <c r="AI824" s="6" t="str">
        <f>IF($D824&lt;=AI$4,"",IF(AND($D823=AI$4,$D824&gt;AI$4),$F823,AI823))</f>
        <v/>
      </c>
      <c r="AJ824" s="6" t="str">
        <f>IF($D824&lt;=AJ$4,"",IF(AND($D823=AJ$4,$D824&gt;AJ$4),$F823,AJ823))</f>
        <v/>
      </c>
      <c r="AK824" s="6" t="str">
        <f>IF($D824&lt;=AK$4,"",IF(AND($D823=AK$4,$D824&gt;AK$4),$F823,AK823))</f>
        <v/>
      </c>
      <c r="AL824" s="6" t="str">
        <f>IF($D824&lt;=AL$4,"",IF(AND($D823=AL$4,$D824&gt;AL$4),$F823,AL823))</f>
        <v/>
      </c>
      <c r="AM824" s="6" t="str">
        <f>IF($D824&lt;=AM$4,"",IF(AND($D823=AM$4,$D824&gt;AM$4),$F823,AM823))</f>
        <v/>
      </c>
      <c r="AN824" s="6" t="str">
        <f>IF($D824&lt;=AN$4,"",IF(AND($D823=AN$4,$D824&gt;AN$4),$F823,AN823))</f>
        <v/>
      </c>
      <c r="AO824" s="6" t="str">
        <f>CONCATENATE(AG824," | ",AH824," | ",AI824," | ",AJ824," | ",AK824," | ",AL824," | ",AM824," | ",AN824)</f>
        <v xml:space="preserve">90MB1BJ0-C1BAY0 | 59MB1BJB-MB0A02S |  |  |  |  |  | </v>
      </c>
      <c r="AP824" s="6">
        <f>IF(TRIM(H824)="",100,J824)</f>
        <v>100</v>
      </c>
      <c r="AQ824" s="4"/>
      <c r="AR824" s="6" t="b">
        <f>NOT(TRIM(W824)&lt;&gt;"F")</f>
        <v>1</v>
      </c>
      <c r="AS824" s="6" t="str">
        <f>$B824&amp;" | "&amp;$AO824&amp;" | "&amp;IF(TRIM(H824)="","uniq"&amp;ROW(),TRIM(H824))</f>
        <v>461E | 90MB1BJ0-C1BAY0 | 59MB1BJB-MB0A02S |  |  |  |  |  |  | Q6</v>
      </c>
      <c r="AT824" s="63">
        <f>IF(NOT(AR824),IF(TRIM($H824)="","Assembly","Phantom Alt"),VLOOKUP(F824,ZPCS04!B:G,6,0))</f>
        <v>1292</v>
      </c>
      <c r="AU824" s="7"/>
      <c r="AV824" s="38">
        <f ca="1">IF(TRIM($W824)="F",OFFSET($A$5,MATCH($AS824,$AS$5:$AS824,0)-1,0),$A824)</f>
        <v>826</v>
      </c>
      <c r="AW824" s="38">
        <f ca="1">IFERROR(OFFSET(ZPCS04!$A$1,MATCH(F824,ZPCS04!B:B,0)-1,0),100)</f>
        <v>1.99999996</v>
      </c>
      <c r="AX824" s="7"/>
      <c r="AY824" s="6" t="b">
        <f>SUMIF(AS:AS,AS824,AP:AP)=100</f>
        <v>1</v>
      </c>
      <c r="AZ824" s="6" t="b">
        <f>SUMIF(AS:AS,AS824,AE:AE)/COUNTIF(AS:AS,AS824)=AE824</f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>C824&amp;" | "&amp;F824</f>
        <v>90MB1BJ0-C1BAY0 | 11G233115214390</v>
      </c>
      <c r="BE824" s="55" t="str">
        <f ca="1">C824&amp;" | "&amp;OFFSET($AF824,0,8-COUNTBLANK($AG824:$AN824))</f>
        <v>90MB1BJ0-C1BAY0 | 59MB1BJB-MB0A02S</v>
      </c>
      <c r="BF824" s="57">
        <f ca="1">IFERROR(VLOOKUP($BE824,$BD$5:$BF823,3,0)*$AE824,VLOOKUP($C824,Demanda!$A:$B,2,0)*$AE824)*IF(AT824="Phantom Alt",$BC824,TRUE)</f>
        <v>2000</v>
      </c>
      <c r="BG824" s="57">
        <f ca="1">BF824*(AP824/100)</f>
        <v>2000</v>
      </c>
      <c r="BH824" s="57">
        <f>SUMIF(Invoice!A:A,F824,Invoice!B:B)</f>
        <v>4000</v>
      </c>
      <c r="BI824" s="57">
        <f ca="1">SUMIF(AS:AS,AS824,BG:BG)</f>
        <v>2000</v>
      </c>
      <c r="BJ824" s="57">
        <f ca="1">MIN((BI824-SUMIF($AS$5:AS823,AS824,$BJ$5:BJ823)),MAX(0,BH824-SUMIF($F$5:F823,F824,$BJ$5:BJ823)))</f>
        <v>2000</v>
      </c>
      <c r="BK824" s="57">
        <f ca="1">(-SUMIF(AS:AS,AS824,BG:BG)+SUMIF(AS:AS,AS824,BJ:BJ))*(AP824=100)*AR824</f>
        <v>0</v>
      </c>
      <c r="BL824" s="57">
        <f ca="1">MAX(0,SUMIF(Invoice!A:A,F824,Invoice!B:B)-SUMIF(F:F,F824,BJ:BJ))*(COUNTIF(F:F,F824)=COUNTIF($F$5:F824,F824))</f>
        <v>2000</v>
      </c>
    </row>
    <row r="825" spans="1:64" hidden="1">
      <c r="A825" s="43">
        <v>824</v>
      </c>
      <c r="B825" s="13" t="s">
        <v>147</v>
      </c>
      <c r="C825" s="13" t="s">
        <v>146</v>
      </c>
      <c r="D825" s="13">
        <v>2</v>
      </c>
      <c r="E825" s="13">
        <v>2660</v>
      </c>
      <c r="F825" s="71" t="s">
        <v>1894</v>
      </c>
      <c r="G825" s="71" t="s">
        <v>1895</v>
      </c>
      <c r="H825" s="13" t="s">
        <v>1896</v>
      </c>
      <c r="I825" s="13" t="s">
        <v>55</v>
      </c>
      <c r="J825" s="28">
        <v>0</v>
      </c>
      <c r="K825" s="13" t="s">
        <v>150</v>
      </c>
      <c r="L825" s="13" t="s">
        <v>53</v>
      </c>
      <c r="M825" s="13">
        <v>2</v>
      </c>
      <c r="O825" s="13">
        <v>1</v>
      </c>
      <c r="P825" s="13">
        <v>2</v>
      </c>
      <c r="Q825" s="13">
        <v>3</v>
      </c>
      <c r="R825" s="13" t="s">
        <v>73</v>
      </c>
      <c r="S825" s="13" t="s">
        <v>73</v>
      </c>
      <c r="T825" s="13">
        <v>44901</v>
      </c>
      <c r="U825" s="13">
        <v>2958465</v>
      </c>
      <c r="V825" s="13" t="s">
        <v>282</v>
      </c>
      <c r="W825" s="13" t="s">
        <v>145</v>
      </c>
      <c r="Y825" s="13" t="s">
        <v>143</v>
      </c>
      <c r="Z825" s="13">
        <v>7589154</v>
      </c>
      <c r="AA825" s="13">
        <v>1540</v>
      </c>
      <c r="AB825" s="13">
        <v>770</v>
      </c>
      <c r="AE825" s="51">
        <f>M825/O825</f>
        <v>2</v>
      </c>
      <c r="AG825" s="6" t="str">
        <f>C825</f>
        <v>90MB1BJ0-C1BAY0</v>
      </c>
      <c r="AH825" s="6" t="str">
        <f>IF($D825&lt;=AH$4,"",IF(AND($D824=AH$4,$D825&gt;AH$4),$F824,AH824))</f>
        <v>59MB1BJB-MB0A02S</v>
      </c>
      <c r="AI825" s="6" t="str">
        <f>IF($D825&lt;=AI$4,"",IF(AND($D824=AI$4,$D825&gt;AI$4),$F824,AI824))</f>
        <v/>
      </c>
      <c r="AJ825" s="6" t="str">
        <f>IF($D825&lt;=AJ$4,"",IF(AND($D824=AJ$4,$D825&gt;AJ$4),$F824,AJ824))</f>
        <v/>
      </c>
      <c r="AK825" s="6" t="str">
        <f>IF($D825&lt;=AK$4,"",IF(AND($D824=AK$4,$D825&gt;AK$4),$F824,AK824))</f>
        <v/>
      </c>
      <c r="AL825" s="6" t="str">
        <f>IF($D825&lt;=AL$4,"",IF(AND($D824=AL$4,$D825&gt;AL$4),$F824,AL824))</f>
        <v/>
      </c>
      <c r="AM825" s="6" t="str">
        <f>IF($D825&lt;=AM$4,"",IF(AND($D824=AM$4,$D825&gt;AM$4),$F824,AM824))</f>
        <v/>
      </c>
      <c r="AN825" s="6" t="str">
        <f>IF($D825&lt;=AN$4,"",IF(AND($D824=AN$4,$D825&gt;AN$4),$F824,AN824))</f>
        <v/>
      </c>
      <c r="AO825" s="6" t="str">
        <f>CONCATENATE(AG825," | ",AH825," | ",AI825," | ",AJ825," | ",AK825," | ",AL825," | ",AM825," | ",AN825)</f>
        <v xml:space="preserve">90MB1BJ0-C1BAY0 | 59MB1BJB-MB0A02S |  |  |  |  |  | </v>
      </c>
      <c r="AP825" s="6">
        <f>IF(TRIM(H825)="",100,J825)</f>
        <v>0</v>
      </c>
      <c r="AQ825" s="4"/>
      <c r="AR825" s="6" t="b">
        <f>NOT(TRIM(W825)&lt;&gt;"F")</f>
        <v>1</v>
      </c>
      <c r="AS825" s="6" t="str">
        <f>$B825&amp;" | "&amp;$AO825&amp;" | "&amp;IF(TRIM(H825)="","uniq"&amp;ROW(),TRIM(H825))</f>
        <v>461E | 90MB1BJ0-C1BAY0 | 59MB1BJB-MB0A02S |  |  |  |  |  |  | Q6</v>
      </c>
      <c r="AT825" s="63">
        <f>IF(NOT(AR825),IF(TRIM($H825)="","Assembly","Phantom Alt"),VLOOKUP(F825,ZPCS04!B:G,6,0))</f>
        <v>1292</v>
      </c>
      <c r="AU825" s="7"/>
      <c r="AV825" s="38">
        <f ca="1">IF(TRIM($W825)="F",OFFSET($A$5,MATCH($AS825,$AS$5:$AS825,0)-1,0),$A825)</f>
        <v>826</v>
      </c>
      <c r="AW825" s="38">
        <f ca="1">IFERROR(OFFSET(ZPCS04!$A$1,MATCH(F825,ZPCS04!B:B,0)-1,0),100)</f>
        <v>2</v>
      </c>
      <c r="AX825" s="7"/>
      <c r="AY825" s="6" t="b">
        <f>SUMIF(AS:AS,AS825,AP:AP)=100</f>
        <v>1</v>
      </c>
      <c r="AZ825" s="6" t="b">
        <f>SUMIF(AS:AS,AS825,AE:AE)/COUNTIF(AS:AS,AS825)=AE825</f>
        <v>1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>C825&amp;" | "&amp;F825</f>
        <v>90MB1BJ0-C1BAY0 | 11G233115214150</v>
      </c>
      <c r="BE825" s="55" t="str">
        <f ca="1">C825&amp;" | "&amp;OFFSET($AF825,0,8-COUNTBLANK($AG825:$AN825))</f>
        <v>90MB1BJ0-C1BAY0 | 59MB1BJB-MB0A02S</v>
      </c>
      <c r="BF825" s="57">
        <f ca="1">IFERROR(VLOOKUP($BE825,$BD$5:$BF824,3,0)*$AE825,VLOOKUP($C825,Demanda!$A:$B,2,0)*$AE825)*IF(AT825="Phantom Alt",$BC825,TRUE)</f>
        <v>2000</v>
      </c>
      <c r="BG825" s="57">
        <f ca="1">BF825*(AP825/100)</f>
        <v>0</v>
      </c>
      <c r="BH825" s="57">
        <f>SUMIF(Invoice!A:A,F825,Invoice!B:B)</f>
        <v>0</v>
      </c>
      <c r="BI825" s="57">
        <f ca="1">SUMIF(AS:AS,AS825,BG:BG)</f>
        <v>2000</v>
      </c>
      <c r="BJ825" s="57">
        <f ca="1">MIN((BI825-SUMIF($AS$5:AS824,AS825,$BJ$5:BJ824)),MAX(0,BH825-SUMIF($F$5:F824,F825,$BJ$5:BJ824)))</f>
        <v>0</v>
      </c>
      <c r="BK825" s="57">
        <f ca="1">(-SUMIF(AS:AS,AS825,BG:BG)+SUMIF(AS:AS,AS825,BJ:BJ))*(AP825=100)*AR825</f>
        <v>0</v>
      </c>
      <c r="BL825" s="57">
        <f ca="1">MAX(0,SUMIF(Invoice!A:A,F825,Invoice!B:B)-SUMIF(F:F,F825,BJ:BJ))*(COUNTIF(F:F,F825)=COUNTIF($F$5:F825,F825))</f>
        <v>0</v>
      </c>
    </row>
    <row r="826" spans="1:64" hidden="1">
      <c r="A826" s="43">
        <v>825</v>
      </c>
      <c r="B826" s="13" t="s">
        <v>147</v>
      </c>
      <c r="C826" s="13" t="s">
        <v>146</v>
      </c>
      <c r="D826" s="13">
        <v>2</v>
      </c>
      <c r="E826" s="13">
        <v>2660</v>
      </c>
      <c r="F826" s="71" t="s">
        <v>1897</v>
      </c>
      <c r="G826" s="71" t="s">
        <v>1898</v>
      </c>
      <c r="H826" s="13" t="s">
        <v>1896</v>
      </c>
      <c r="I826" s="13" t="s">
        <v>55</v>
      </c>
      <c r="J826" s="28">
        <v>0</v>
      </c>
      <c r="K826" s="13" t="s">
        <v>150</v>
      </c>
      <c r="L826" s="13" t="s">
        <v>53</v>
      </c>
      <c r="M826" s="13">
        <v>2</v>
      </c>
      <c r="O826" s="13">
        <v>1</v>
      </c>
      <c r="P826" s="13">
        <v>2</v>
      </c>
      <c r="Q826" s="13">
        <v>2</v>
      </c>
      <c r="R826" s="13" t="s">
        <v>73</v>
      </c>
      <c r="S826" s="13" t="s">
        <v>73</v>
      </c>
      <c r="T826" s="13">
        <v>44901</v>
      </c>
      <c r="U826" s="13">
        <v>2958465</v>
      </c>
      <c r="V826" s="13" t="s">
        <v>282</v>
      </c>
      <c r="W826" s="13" t="s">
        <v>145</v>
      </c>
      <c r="Y826" s="13" t="s">
        <v>143</v>
      </c>
      <c r="Z826" s="13">
        <v>7589154</v>
      </c>
      <c r="AA826" s="13">
        <v>1538</v>
      </c>
      <c r="AB826" s="13">
        <v>769</v>
      </c>
      <c r="AE826" s="51">
        <f>M826/O826</f>
        <v>2</v>
      </c>
      <c r="AG826" s="6" t="str">
        <f>C826</f>
        <v>90MB1BJ0-C1BAY0</v>
      </c>
      <c r="AH826" s="6" t="str">
        <f>IF($D826&lt;=AH$4,"",IF(AND($D825=AH$4,$D826&gt;AH$4),$F825,AH825))</f>
        <v>59MB1BJB-MB0A02S</v>
      </c>
      <c r="AI826" s="6" t="str">
        <f>IF($D826&lt;=AI$4,"",IF(AND($D825=AI$4,$D826&gt;AI$4),$F825,AI825))</f>
        <v/>
      </c>
      <c r="AJ826" s="6" t="str">
        <f>IF($D826&lt;=AJ$4,"",IF(AND($D825=AJ$4,$D826&gt;AJ$4),$F825,AJ825))</f>
        <v/>
      </c>
      <c r="AK826" s="6" t="str">
        <f>IF($D826&lt;=AK$4,"",IF(AND($D825=AK$4,$D826&gt;AK$4),$F825,AK825))</f>
        <v/>
      </c>
      <c r="AL826" s="6" t="str">
        <f>IF($D826&lt;=AL$4,"",IF(AND($D825=AL$4,$D826&gt;AL$4),$F825,AL825))</f>
        <v/>
      </c>
      <c r="AM826" s="6" t="str">
        <f>IF($D826&lt;=AM$4,"",IF(AND($D825=AM$4,$D826&gt;AM$4),$F825,AM825))</f>
        <v/>
      </c>
      <c r="AN826" s="6" t="str">
        <f>IF($D826&lt;=AN$4,"",IF(AND($D825=AN$4,$D826&gt;AN$4),$F825,AN825))</f>
        <v/>
      </c>
      <c r="AO826" s="6" t="str">
        <f>CONCATENATE(AG826," | ",AH826," | ",AI826," | ",AJ826," | ",AK826," | ",AL826," | ",AM826," | ",AN826)</f>
        <v xml:space="preserve">90MB1BJ0-C1BAY0 | 59MB1BJB-MB0A02S |  |  |  |  |  | </v>
      </c>
      <c r="AP826" s="6">
        <f>IF(TRIM(H826)="",100,J826)</f>
        <v>0</v>
      </c>
      <c r="AQ826" s="4"/>
      <c r="AR826" s="6" t="b">
        <f>NOT(TRIM(W826)&lt;&gt;"F")</f>
        <v>1</v>
      </c>
      <c r="AS826" s="6" t="str">
        <f>$B826&amp;" | "&amp;$AO826&amp;" | "&amp;IF(TRIM(H826)="","uniq"&amp;ROW(),TRIM(H826))</f>
        <v>461E | 90MB1BJ0-C1BAY0 | 59MB1BJB-MB0A02S |  |  |  |  |  |  | Q6</v>
      </c>
      <c r="AT826" s="63">
        <f>IF(NOT(AR826),IF(TRIM($H826)="","Assembly","Phantom Alt"),VLOOKUP(F826,ZPCS04!B:G,6,0))</f>
        <v>1292</v>
      </c>
      <c r="AU826" s="7"/>
      <c r="AV826" s="38">
        <f ca="1">IF(TRIM($W826)="F",OFFSET($A$5,MATCH($AS826,$AS$5:$AS826,0)-1,0),$A826)</f>
        <v>826</v>
      </c>
      <c r="AW826" s="38">
        <f ca="1">IFERROR(OFFSET(ZPCS04!$A$1,MATCH(F826,ZPCS04!B:B,0)-1,0),100)</f>
        <v>2</v>
      </c>
      <c r="AX826" s="7"/>
      <c r="AY826" s="6" t="b">
        <f>SUMIF(AS:AS,AS826,AP:AP)=100</f>
        <v>1</v>
      </c>
      <c r="AZ826" s="6" t="b">
        <f>SUMIF(AS:AS,AS826,AE:AE)/COUNTIF(AS:AS,AS826)=AE826</f>
        <v>1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>C826&amp;" | "&amp;F826</f>
        <v>90MB1BJ0-C1BAY0 | 11G233115214320</v>
      </c>
      <c r="BE826" s="55" t="str">
        <f ca="1">C826&amp;" | "&amp;OFFSET($AF826,0,8-COUNTBLANK($AG826:$AN826))</f>
        <v>90MB1BJ0-C1BAY0 | 59MB1BJB-MB0A02S</v>
      </c>
      <c r="BF826" s="57">
        <f ca="1">IFERROR(VLOOKUP($BE826,$BD$5:$BF825,3,0)*$AE826,VLOOKUP($C826,Demanda!$A:$B,2,0)*$AE826)*IF(AT826="Phantom Alt",$BC826,TRUE)</f>
        <v>2000</v>
      </c>
      <c r="BG826" s="57">
        <f ca="1">BF826*(AP826/100)</f>
        <v>0</v>
      </c>
      <c r="BH826" s="57">
        <f>SUMIF(Invoice!A:A,F826,Invoice!B:B)</f>
        <v>0</v>
      </c>
      <c r="BI826" s="57">
        <f ca="1">SUMIF(AS:AS,AS826,BG:BG)</f>
        <v>2000</v>
      </c>
      <c r="BJ826" s="57">
        <f ca="1">MIN((BI826-SUMIF($AS$5:AS825,AS826,$BJ$5:BJ825)),MAX(0,BH826-SUMIF($F$5:F825,F826,$BJ$5:BJ825)))</f>
        <v>0</v>
      </c>
      <c r="BK826" s="57">
        <f ca="1">(-SUMIF(AS:AS,AS826,BG:BG)+SUMIF(AS:AS,AS826,BJ:BJ))*(AP826=100)*AR826</f>
        <v>0</v>
      </c>
      <c r="BL826" s="57">
        <f ca="1">MAX(0,SUMIF(Invoice!A:A,F826,Invoice!B:B)-SUMIF(F:F,F826,BJ:BJ))*(COUNTIF(F:F,F826)=COUNTIF($F$5:F826,F826))</f>
        <v>0</v>
      </c>
    </row>
    <row r="827" spans="1:64" hidden="1">
      <c r="A827" s="43">
        <v>827</v>
      </c>
      <c r="B827" s="13" t="s">
        <v>147</v>
      </c>
      <c r="C827" s="13" t="s">
        <v>146</v>
      </c>
      <c r="D827" s="13">
        <v>2</v>
      </c>
      <c r="E827" s="13">
        <v>2670</v>
      </c>
      <c r="F827" s="71" t="s">
        <v>1901</v>
      </c>
      <c r="G827" s="71" t="s">
        <v>1902</v>
      </c>
      <c r="I827" s="13" t="s">
        <v>54</v>
      </c>
      <c r="J827" s="28">
        <v>0</v>
      </c>
      <c r="K827" s="13" t="s">
        <v>150</v>
      </c>
      <c r="L827" s="13" t="s">
        <v>53</v>
      </c>
      <c r="M827" s="13">
        <v>1</v>
      </c>
      <c r="N827" s="13">
        <v>1</v>
      </c>
      <c r="O827" s="13">
        <v>1</v>
      </c>
      <c r="R827" s="13" t="s">
        <v>73</v>
      </c>
      <c r="S827" s="13" t="s">
        <v>73</v>
      </c>
      <c r="T827" s="13">
        <v>44901</v>
      </c>
      <c r="U827" s="13">
        <v>2958465</v>
      </c>
      <c r="V827" s="13" t="s">
        <v>282</v>
      </c>
      <c r="W827" s="13" t="s">
        <v>145</v>
      </c>
      <c r="Y827" s="13" t="s">
        <v>143</v>
      </c>
      <c r="Z827" s="13">
        <v>7589154</v>
      </c>
      <c r="AA827" s="13">
        <v>1542</v>
      </c>
      <c r="AB827" s="13">
        <v>771</v>
      </c>
      <c r="AE827" s="51">
        <f>M827/O827</f>
        <v>1</v>
      </c>
      <c r="AG827" s="6" t="str">
        <f>C827</f>
        <v>90MB1BJ0-C1BAY0</v>
      </c>
      <c r="AH827" s="6" t="str">
        <f>IF($D827&lt;=AH$4,"",IF(AND($D826=AH$4,$D827&gt;AH$4),$F826,AH826))</f>
        <v>59MB1BJB-MB0A02S</v>
      </c>
      <c r="AI827" s="6" t="str">
        <f>IF($D827&lt;=AI$4,"",IF(AND($D826=AI$4,$D827&gt;AI$4),$F826,AI826))</f>
        <v/>
      </c>
      <c r="AJ827" s="6" t="str">
        <f>IF($D827&lt;=AJ$4,"",IF(AND($D826=AJ$4,$D827&gt;AJ$4),$F826,AJ826))</f>
        <v/>
      </c>
      <c r="AK827" s="6" t="str">
        <f>IF($D827&lt;=AK$4,"",IF(AND($D826=AK$4,$D827&gt;AK$4),$F826,AK826))</f>
        <v/>
      </c>
      <c r="AL827" s="6" t="str">
        <f>IF($D827&lt;=AL$4,"",IF(AND($D826=AL$4,$D827&gt;AL$4),$F826,AL826))</f>
        <v/>
      </c>
      <c r="AM827" s="6" t="str">
        <f>IF($D827&lt;=AM$4,"",IF(AND($D826=AM$4,$D827&gt;AM$4),$F826,AM826))</f>
        <v/>
      </c>
      <c r="AN827" s="6" t="str">
        <f>IF($D827&lt;=AN$4,"",IF(AND($D826=AN$4,$D827&gt;AN$4),$F826,AN826))</f>
        <v/>
      </c>
      <c r="AO827" s="6" t="str">
        <f>CONCATENATE(AG827," | ",AH827," | ",AI827," | ",AJ827," | ",AK827," | ",AL827," | ",AM827," | ",AN827)</f>
        <v xml:space="preserve">90MB1BJ0-C1BAY0 | 59MB1BJB-MB0A02S |  |  |  |  |  | </v>
      </c>
      <c r="AP827" s="6">
        <f>IF(TRIM(H827)="",100,J827)</f>
        <v>100</v>
      </c>
      <c r="AQ827" s="4"/>
      <c r="AR827" s="6" t="b">
        <f>NOT(TRIM(W827)&lt;&gt;"F")</f>
        <v>1</v>
      </c>
      <c r="AS827" s="6" t="str">
        <f>$B827&amp;" | "&amp;$AO827&amp;" | "&amp;IF(TRIM(H827)="","uniq"&amp;ROW(),TRIM(H827))</f>
        <v>461E | 90MB1BJ0-C1BAY0 | 59MB1BJB-MB0A02S |  |  |  |  |  |  | uniq827</v>
      </c>
      <c r="AT827" s="63">
        <f>IF(NOT(AR827),IF(TRIM($H827)="","Assembly","Phantom Alt"),VLOOKUP(F827,ZPCS04!B:G,6,0))</f>
        <v>136</v>
      </c>
      <c r="AU827" s="7"/>
      <c r="AV827" s="38">
        <f ca="1">IF(TRIM($W827)="F",OFFSET($A$5,MATCH($AS827,$AS$5:$AS827,0)-1,0),$A827)</f>
        <v>827</v>
      </c>
      <c r="AW827" s="38">
        <f ca="1">IFERROR(OFFSET(ZPCS04!$A$1,MATCH(F827,ZPCS04!B:B,0)-1,0),100)</f>
        <v>1.9999999879999999</v>
      </c>
      <c r="AX827" s="7"/>
      <c r="AY827" s="6" t="b">
        <f>SUMIF(AS:AS,AS827,AP:AP)=100</f>
        <v>1</v>
      </c>
      <c r="AZ827" s="6" t="b">
        <f>SUMIF(AS:AS,AS827,AE:AE)/COUNTIF(AS:AS,AS827)=AE827</f>
        <v>1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>C827&amp;" | "&amp;F827</f>
        <v>90MB1BJ0-C1BAY0 | 12003-00513700</v>
      </c>
      <c r="BE827" s="55" t="str">
        <f ca="1">C827&amp;" | "&amp;OFFSET($AF827,0,8-COUNTBLANK($AG827:$AN827))</f>
        <v>90MB1BJ0-C1BAY0 | 59MB1BJB-MB0A02S</v>
      </c>
      <c r="BF827" s="57">
        <f ca="1">IFERROR(VLOOKUP($BE827,$BD$5:$BF826,3,0)*$AE827,VLOOKUP($C827,Demanda!$A:$B,2,0)*$AE827)*IF(AT827="Phantom Alt",$BC827,TRUE)</f>
        <v>1000</v>
      </c>
      <c r="BG827" s="57">
        <f ca="1">BF827*(AP827/100)</f>
        <v>1000</v>
      </c>
      <c r="BH827" s="57">
        <f>SUMIF(Invoice!A:A,F827,Invoice!B:B)</f>
        <v>1200</v>
      </c>
      <c r="BI827" s="57">
        <f ca="1">SUMIF(AS:AS,AS827,BG:BG)</f>
        <v>1000</v>
      </c>
      <c r="BJ827" s="57">
        <f ca="1">MIN((BI827-SUMIF($AS$5:AS826,AS827,$BJ$5:BJ826)),MAX(0,BH827-SUMIF($F$5:F826,F827,$BJ$5:BJ826)))</f>
        <v>1000</v>
      </c>
      <c r="BK827" s="57">
        <f ca="1">(-SUMIF(AS:AS,AS827,BG:BG)+SUMIF(AS:AS,AS827,BJ:BJ))*(AP827=100)*AR827</f>
        <v>0</v>
      </c>
      <c r="BL827" s="57">
        <f ca="1">MAX(0,SUMIF(Invoice!A:A,F827,Invoice!B:B)-SUMIF(F:F,F827,BJ:BJ))*(COUNTIF(F:F,F827)=COUNTIF($F$5:F827,F827))</f>
        <v>200</v>
      </c>
    </row>
    <row r="828" spans="1:64" hidden="1">
      <c r="A828" s="43">
        <v>829</v>
      </c>
      <c r="B828" s="13" t="s">
        <v>147</v>
      </c>
      <c r="C828" s="13" t="s">
        <v>146</v>
      </c>
      <c r="D828" s="13">
        <v>2</v>
      </c>
      <c r="E828" s="13">
        <v>2680</v>
      </c>
      <c r="F828" s="71" t="s">
        <v>1906</v>
      </c>
      <c r="G828" s="71" t="s">
        <v>1907</v>
      </c>
      <c r="H828" s="13" t="s">
        <v>1905</v>
      </c>
      <c r="I828" s="13" t="s">
        <v>55</v>
      </c>
      <c r="J828" s="28">
        <v>0</v>
      </c>
      <c r="K828" s="13" t="s">
        <v>489</v>
      </c>
      <c r="L828" s="13" t="s">
        <v>53</v>
      </c>
      <c r="M828" s="13">
        <v>2</v>
      </c>
      <c r="O828" s="13">
        <v>1</v>
      </c>
      <c r="P828" s="13">
        <v>2</v>
      </c>
      <c r="Q828" s="13">
        <v>2</v>
      </c>
      <c r="R828" s="13" t="s">
        <v>122</v>
      </c>
      <c r="S828" s="13" t="s">
        <v>122</v>
      </c>
      <c r="T828" s="13">
        <v>44901</v>
      </c>
      <c r="U828" s="13">
        <v>2958465</v>
      </c>
      <c r="V828" s="13" t="s">
        <v>282</v>
      </c>
      <c r="W828" s="13" t="s">
        <v>145</v>
      </c>
      <c r="Y828" s="13" t="s">
        <v>143</v>
      </c>
      <c r="Z828" s="13">
        <v>7589154</v>
      </c>
      <c r="AA828" s="13">
        <v>1546</v>
      </c>
      <c r="AB828" s="13">
        <v>773</v>
      </c>
      <c r="AE828" s="51">
        <f>M828/O828</f>
        <v>2</v>
      </c>
      <c r="AG828" s="6" t="str">
        <f>C828</f>
        <v>90MB1BJ0-C1BAY0</v>
      </c>
      <c r="AH828" s="6" t="str">
        <f>IF($D828&lt;=AH$4,"",IF(AND($D827=AH$4,$D828&gt;AH$4),$F827,AH827))</f>
        <v>59MB1BJB-MB0A02S</v>
      </c>
      <c r="AI828" s="6" t="str">
        <f>IF($D828&lt;=AI$4,"",IF(AND($D827=AI$4,$D828&gt;AI$4),$F827,AI827))</f>
        <v/>
      </c>
      <c r="AJ828" s="6" t="str">
        <f>IF($D828&lt;=AJ$4,"",IF(AND($D827=AJ$4,$D828&gt;AJ$4),$F827,AJ827))</f>
        <v/>
      </c>
      <c r="AK828" s="6" t="str">
        <f>IF($D828&lt;=AK$4,"",IF(AND($D827=AK$4,$D828&gt;AK$4),$F827,AK827))</f>
        <v/>
      </c>
      <c r="AL828" s="6" t="str">
        <f>IF($D828&lt;=AL$4,"",IF(AND($D827=AL$4,$D828&gt;AL$4),$F827,AL827))</f>
        <v/>
      </c>
      <c r="AM828" s="6" t="str">
        <f>IF($D828&lt;=AM$4,"",IF(AND($D827=AM$4,$D828&gt;AM$4),$F827,AM827))</f>
        <v/>
      </c>
      <c r="AN828" s="6" t="str">
        <f>IF($D828&lt;=AN$4,"",IF(AND($D827=AN$4,$D828&gt;AN$4),$F827,AN827))</f>
        <v/>
      </c>
      <c r="AO828" s="6" t="str">
        <f>CONCATENATE(AG828," | ",AH828," | ",AI828," | ",AJ828," | ",AK828," | ",AL828," | ",AM828," | ",AN828)</f>
        <v xml:space="preserve">90MB1BJ0-C1BAY0 | 59MB1BJB-MB0A02S |  |  |  |  |  | </v>
      </c>
      <c r="AP828" s="6">
        <f>IF(TRIM(H828)="",100,J828)</f>
        <v>0</v>
      </c>
      <c r="AQ828" s="4"/>
      <c r="AR828" s="6" t="b">
        <f>NOT(TRIM(W828)&lt;&gt;"F")</f>
        <v>1</v>
      </c>
      <c r="AS828" s="6" t="str">
        <f>$B828&amp;" | "&amp;$AO828&amp;" | "&amp;IF(TRIM(H828)="","uniq"&amp;ROW(),TRIM(H828))</f>
        <v>461E | 90MB1BJ0-C1BAY0 | 59MB1BJB-MB0A02S |  |  |  |  |  |  | Q8</v>
      </c>
      <c r="AT828" s="63">
        <f>IF(NOT(AR828),IF(TRIM($H828)="","Assembly","Phantom Alt"),VLOOKUP(F828,ZPCS04!B:G,6,0))</f>
        <v>654</v>
      </c>
      <c r="AU828" s="7"/>
      <c r="AV828" s="38">
        <f ca="1">IF(TRIM($W828)="F",OFFSET($A$5,MATCH($AS828,$AS$5:$AS828,0)-1,0),$A828)</f>
        <v>829</v>
      </c>
      <c r="AW828" s="38">
        <f ca="1">IFERROR(OFFSET(ZPCS04!$A$1,MATCH(F828,ZPCS04!B:B,0)-1,0),100)</f>
        <v>1.9999999000000002</v>
      </c>
      <c r="AX828" s="7"/>
      <c r="AY828" s="6" t="b">
        <f>SUMIF(AS:AS,AS828,AP:AP)=100</f>
        <v>1</v>
      </c>
      <c r="AZ828" s="6" t="b">
        <f>SUMIF(AS:AS,AS828,AE:AE)/COUNTIF(AS:AS,AS828)=AE828</f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>C828&amp;" | "&amp;F828</f>
        <v>90MB1BJ0-C1BAY0 | 10G212187214020</v>
      </c>
      <c r="BE828" s="55" t="str">
        <f ca="1">C828&amp;" | "&amp;OFFSET($AF828,0,8-COUNTBLANK($AG828:$AN828))</f>
        <v>90MB1BJ0-C1BAY0 | 59MB1BJB-MB0A02S</v>
      </c>
      <c r="BF828" s="57">
        <f ca="1">IFERROR(VLOOKUP($BE828,$BD$5:$BF827,3,0)*$AE828,VLOOKUP($C828,Demanda!$A:$B,2,0)*$AE828)*IF(AT828="Phantom Alt",$BC828,TRUE)</f>
        <v>2000</v>
      </c>
      <c r="BG828" s="57">
        <f ca="1">BF828*(AP828/100)</f>
        <v>0</v>
      </c>
      <c r="BH828" s="57">
        <f>SUMIF(Invoice!A:A,F828,Invoice!B:B)</f>
        <v>10000</v>
      </c>
      <c r="BI828" s="57">
        <f ca="1">SUMIF(AS:AS,AS828,BG:BG)</f>
        <v>2000</v>
      </c>
      <c r="BJ828" s="57">
        <f ca="1">MIN((BI828-SUMIF($AS$5:AS827,AS828,$BJ$5:BJ827)),MAX(0,BH828-SUMIF($F$5:F827,F828,$BJ$5:BJ827)))</f>
        <v>2000</v>
      </c>
      <c r="BK828" s="57">
        <f ca="1">(-SUMIF(AS:AS,AS828,BG:BG)+SUMIF(AS:AS,AS828,BJ:BJ))*(AP828=100)*AR828</f>
        <v>0</v>
      </c>
      <c r="BL828" s="57">
        <f ca="1">MAX(0,SUMIF(Invoice!A:A,F828,Invoice!B:B)-SUMIF(F:F,F828,BJ:BJ))*(COUNTIF(F:F,F828)=COUNTIF($F$5:F828,F828))</f>
        <v>8000</v>
      </c>
    </row>
    <row r="829" spans="1:64" hidden="1">
      <c r="A829" s="43">
        <v>828</v>
      </c>
      <c r="B829" s="13" t="s">
        <v>147</v>
      </c>
      <c r="C829" s="13" t="s">
        <v>146</v>
      </c>
      <c r="D829" s="13">
        <v>2</v>
      </c>
      <c r="E829" s="13">
        <v>2680</v>
      </c>
      <c r="F829" s="71" t="s">
        <v>1903</v>
      </c>
      <c r="G829" s="71" t="s">
        <v>1904</v>
      </c>
      <c r="H829" s="13" t="s">
        <v>1905</v>
      </c>
      <c r="I829" s="13" t="s">
        <v>54</v>
      </c>
      <c r="J829" s="28">
        <v>100</v>
      </c>
      <c r="K829" s="13" t="s">
        <v>489</v>
      </c>
      <c r="L829" s="13" t="s">
        <v>53</v>
      </c>
      <c r="M829" s="13">
        <v>2</v>
      </c>
      <c r="N829" s="13">
        <v>2</v>
      </c>
      <c r="O829" s="13">
        <v>1</v>
      </c>
      <c r="P829" s="13">
        <v>2</v>
      </c>
      <c r="Q829" s="13">
        <v>1</v>
      </c>
      <c r="R829" s="13" t="s">
        <v>122</v>
      </c>
      <c r="S829" s="13" t="s">
        <v>122</v>
      </c>
      <c r="T829" s="13">
        <v>44901</v>
      </c>
      <c r="U829" s="13">
        <v>2958465</v>
      </c>
      <c r="V829" s="13" t="s">
        <v>282</v>
      </c>
      <c r="W829" s="13" t="s">
        <v>145</v>
      </c>
      <c r="Y829" s="13" t="s">
        <v>143</v>
      </c>
      <c r="Z829" s="13">
        <v>7589154</v>
      </c>
      <c r="AA829" s="13">
        <v>1544</v>
      </c>
      <c r="AB829" s="13">
        <v>772</v>
      </c>
      <c r="AE829" s="51">
        <f>M829/O829</f>
        <v>2</v>
      </c>
      <c r="AG829" s="6" t="str">
        <f>C829</f>
        <v>90MB1BJ0-C1BAY0</v>
      </c>
      <c r="AH829" s="6" t="str">
        <f>IF($D829&lt;=AH$4,"",IF(AND($D828=AH$4,$D829&gt;AH$4),$F828,AH828))</f>
        <v>59MB1BJB-MB0A02S</v>
      </c>
      <c r="AI829" s="6" t="str">
        <f>IF($D829&lt;=AI$4,"",IF(AND($D828=AI$4,$D829&gt;AI$4),$F828,AI828))</f>
        <v/>
      </c>
      <c r="AJ829" s="6" t="str">
        <f>IF($D829&lt;=AJ$4,"",IF(AND($D828=AJ$4,$D829&gt;AJ$4),$F828,AJ828))</f>
        <v/>
      </c>
      <c r="AK829" s="6" t="str">
        <f>IF($D829&lt;=AK$4,"",IF(AND($D828=AK$4,$D829&gt;AK$4),$F828,AK828))</f>
        <v/>
      </c>
      <c r="AL829" s="6" t="str">
        <f>IF($D829&lt;=AL$4,"",IF(AND($D828=AL$4,$D829&gt;AL$4),$F828,AL828))</f>
        <v/>
      </c>
      <c r="AM829" s="6" t="str">
        <f>IF($D829&lt;=AM$4,"",IF(AND($D828=AM$4,$D829&gt;AM$4),$F828,AM828))</f>
        <v/>
      </c>
      <c r="AN829" s="6" t="str">
        <f>IF($D829&lt;=AN$4,"",IF(AND($D828=AN$4,$D829&gt;AN$4),$F828,AN828))</f>
        <v/>
      </c>
      <c r="AO829" s="6" t="str">
        <f>CONCATENATE(AG829," | ",AH829," | ",AI829," | ",AJ829," | ",AK829," | ",AL829," | ",AM829," | ",AN829)</f>
        <v xml:space="preserve">90MB1BJ0-C1BAY0 | 59MB1BJB-MB0A02S |  |  |  |  |  | </v>
      </c>
      <c r="AP829" s="6">
        <f>IF(TRIM(H829)="",100,J829)</f>
        <v>100</v>
      </c>
      <c r="AQ829" s="4"/>
      <c r="AR829" s="6" t="b">
        <f>NOT(TRIM(W829)&lt;&gt;"F")</f>
        <v>1</v>
      </c>
      <c r="AS829" s="6" t="str">
        <f>$B829&amp;" | "&amp;$AO829&amp;" | "&amp;IF(TRIM(H829)="","uniq"&amp;ROW(),TRIM(H829))</f>
        <v>461E | 90MB1BJ0-C1BAY0 | 59MB1BJB-MB0A02S |  |  |  |  |  |  | Q8</v>
      </c>
      <c r="AT829" s="63">
        <f>IF(NOT(AR829),IF(TRIM($H829)="","Assembly","Phantom Alt"),VLOOKUP(F829,ZPCS04!B:G,6,0))</f>
        <v>654</v>
      </c>
      <c r="AU829" s="7"/>
      <c r="AV829" s="38">
        <f ca="1">IF(TRIM($W829)="F",OFFSET($A$5,MATCH($AS829,$AS$5:$AS829,0)-1,0),$A829)</f>
        <v>829</v>
      </c>
      <c r="AW829" s="38">
        <f ca="1">IFERROR(OFFSET(ZPCS04!$A$1,MATCH(F829,ZPCS04!B:B,0)-1,0),100)</f>
        <v>2</v>
      </c>
      <c r="AX829" s="7"/>
      <c r="AY829" s="6" t="b">
        <f>SUMIF(AS:AS,AS829,AP:AP)=100</f>
        <v>1</v>
      </c>
      <c r="AZ829" s="6" t="b">
        <f>SUMIF(AS:AS,AS829,AE:AE)/COUNTIF(AS:AS,AS829)=AE829</f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>C829&amp;" | "&amp;F829</f>
        <v>90MB1BJ0-C1BAY0 | 10G212187214010</v>
      </c>
      <c r="BE829" s="55" t="str">
        <f ca="1">C829&amp;" | "&amp;OFFSET($AF829,0,8-COUNTBLANK($AG829:$AN829))</f>
        <v>90MB1BJ0-C1BAY0 | 59MB1BJB-MB0A02S</v>
      </c>
      <c r="BF829" s="57">
        <f ca="1">IFERROR(VLOOKUP($BE829,$BD$5:$BF828,3,0)*$AE829,VLOOKUP($C829,Demanda!$A:$B,2,0)*$AE829)*IF(AT829="Phantom Alt",$BC829,TRUE)</f>
        <v>2000</v>
      </c>
      <c r="BG829" s="57">
        <f ca="1">BF829*(AP829/100)</f>
        <v>2000</v>
      </c>
      <c r="BH829" s="57">
        <f>SUMIF(Invoice!A:A,F829,Invoice!B:B)</f>
        <v>0</v>
      </c>
      <c r="BI829" s="57">
        <f ca="1">SUMIF(AS:AS,AS829,BG:BG)</f>
        <v>2000</v>
      </c>
      <c r="BJ829" s="57">
        <f ca="1">MIN((BI829-SUMIF($AS$5:AS828,AS829,$BJ$5:BJ828)),MAX(0,BH829-SUMIF($F$5:F828,F829,$BJ$5:BJ828)))</f>
        <v>0</v>
      </c>
      <c r="BK829" s="57">
        <f ca="1">(-SUMIF(AS:AS,AS829,BG:BG)+SUMIF(AS:AS,AS829,BJ:BJ))*(AP829=100)*AR829</f>
        <v>0</v>
      </c>
      <c r="BL829" s="57">
        <f ca="1">MAX(0,SUMIF(Invoice!A:A,F829,Invoice!B:B)-SUMIF(F:F,F829,BJ:BJ))*(COUNTIF(F:F,F829)=COUNTIF($F$5:F829,F829))</f>
        <v>0</v>
      </c>
    </row>
    <row r="830" spans="1:64" hidden="1">
      <c r="A830" s="43">
        <v>830</v>
      </c>
      <c r="B830" s="13" t="s">
        <v>147</v>
      </c>
      <c r="C830" s="13" t="s">
        <v>146</v>
      </c>
      <c r="D830" s="13">
        <v>2</v>
      </c>
      <c r="E830" s="13">
        <v>2680</v>
      </c>
      <c r="F830" s="71" t="s">
        <v>1908</v>
      </c>
      <c r="G830" s="71" t="s">
        <v>1909</v>
      </c>
      <c r="H830" s="13" t="s">
        <v>1905</v>
      </c>
      <c r="I830" s="13" t="s">
        <v>55</v>
      </c>
      <c r="J830" s="28">
        <v>0</v>
      </c>
      <c r="K830" s="13" t="s">
        <v>150</v>
      </c>
      <c r="L830" s="13" t="s">
        <v>53</v>
      </c>
      <c r="M830" s="13">
        <v>2</v>
      </c>
      <c r="O830" s="13">
        <v>1</v>
      </c>
      <c r="P830" s="13">
        <v>2</v>
      </c>
      <c r="Q830" s="13">
        <v>3</v>
      </c>
      <c r="R830" s="13" t="s">
        <v>73</v>
      </c>
      <c r="S830" s="13" t="s">
        <v>73</v>
      </c>
      <c r="T830" s="13">
        <v>44901</v>
      </c>
      <c r="U830" s="13">
        <v>2958465</v>
      </c>
      <c r="V830" s="13" t="s">
        <v>282</v>
      </c>
      <c r="W830" s="13" t="s">
        <v>145</v>
      </c>
      <c r="Y830" s="13" t="s">
        <v>143</v>
      </c>
      <c r="Z830" s="13">
        <v>7589154</v>
      </c>
      <c r="AA830" s="13">
        <v>1548</v>
      </c>
      <c r="AB830" s="13">
        <v>774</v>
      </c>
      <c r="AE830" s="51">
        <f>M830/O830</f>
        <v>2</v>
      </c>
      <c r="AG830" s="6" t="str">
        <f>C830</f>
        <v>90MB1BJ0-C1BAY0</v>
      </c>
      <c r="AH830" s="6" t="str">
        <f>IF($D830&lt;=AH$4,"",IF(AND($D829=AH$4,$D830&gt;AH$4),$F829,AH829))</f>
        <v>59MB1BJB-MB0A02S</v>
      </c>
      <c r="AI830" s="6" t="str">
        <f>IF($D830&lt;=AI$4,"",IF(AND($D829=AI$4,$D830&gt;AI$4),$F829,AI829))</f>
        <v/>
      </c>
      <c r="AJ830" s="6" t="str">
        <f>IF($D830&lt;=AJ$4,"",IF(AND($D829=AJ$4,$D830&gt;AJ$4),$F829,AJ829))</f>
        <v/>
      </c>
      <c r="AK830" s="6" t="str">
        <f>IF($D830&lt;=AK$4,"",IF(AND($D829=AK$4,$D830&gt;AK$4),$F829,AK829))</f>
        <v/>
      </c>
      <c r="AL830" s="6" t="str">
        <f>IF($D830&lt;=AL$4,"",IF(AND($D829=AL$4,$D830&gt;AL$4),$F829,AL829))</f>
        <v/>
      </c>
      <c r="AM830" s="6" t="str">
        <f>IF($D830&lt;=AM$4,"",IF(AND($D829=AM$4,$D830&gt;AM$4),$F829,AM829))</f>
        <v/>
      </c>
      <c r="AN830" s="6" t="str">
        <f>IF($D830&lt;=AN$4,"",IF(AND($D829=AN$4,$D830&gt;AN$4),$F829,AN829))</f>
        <v/>
      </c>
      <c r="AO830" s="6" t="str">
        <f>CONCATENATE(AG830," | ",AH830," | ",AI830," | ",AJ830," | ",AK830," | ",AL830," | ",AM830," | ",AN830)</f>
        <v xml:space="preserve">90MB1BJ0-C1BAY0 | 59MB1BJB-MB0A02S |  |  |  |  |  | </v>
      </c>
      <c r="AP830" s="6">
        <f>IF(TRIM(H830)="",100,J830)</f>
        <v>0</v>
      </c>
      <c r="AQ830" s="4"/>
      <c r="AR830" s="6" t="b">
        <f>NOT(TRIM(W830)&lt;&gt;"F")</f>
        <v>1</v>
      </c>
      <c r="AS830" s="6" t="str">
        <f>$B830&amp;" | "&amp;$AO830&amp;" | "&amp;IF(TRIM(H830)="","uniq"&amp;ROW(),TRIM(H830))</f>
        <v>461E | 90MB1BJ0-C1BAY0 | 59MB1BJB-MB0A02S |  |  |  |  |  |  | Q8</v>
      </c>
      <c r="AT830" s="63">
        <f>IF(NOT(AR830),IF(TRIM($H830)="","Assembly","Phantom Alt"),VLOOKUP(F830,ZPCS04!B:G,6,0))</f>
        <v>654</v>
      </c>
      <c r="AU830" s="7"/>
      <c r="AV830" s="38">
        <f ca="1">IF(TRIM($W830)="F",OFFSET($A$5,MATCH($AS830,$AS$5:$AS830,0)-1,0),$A830)</f>
        <v>829</v>
      </c>
      <c r="AW830" s="38">
        <f ca="1">IFERROR(OFFSET(ZPCS04!$A$1,MATCH(F830,ZPCS04!B:B,0)-1,0),100)</f>
        <v>2</v>
      </c>
      <c r="AX830" s="7"/>
      <c r="AY830" s="6" t="b">
        <f>SUMIF(AS:AS,AS830,AP:AP)=100</f>
        <v>1</v>
      </c>
      <c r="AZ830" s="6" t="b">
        <f>SUMIF(AS:AS,AS830,AE:AE)/COUNTIF(AS:AS,AS830)=AE830</f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>C830&amp;" | "&amp;F830</f>
        <v>90MB1BJ0-C1BAY0 | 10G212187214050</v>
      </c>
      <c r="BE830" s="55" t="str">
        <f ca="1">C830&amp;" | "&amp;OFFSET($AF830,0,8-COUNTBLANK($AG830:$AN830))</f>
        <v>90MB1BJ0-C1BAY0 | 59MB1BJB-MB0A02S</v>
      </c>
      <c r="BF830" s="57">
        <f ca="1">IFERROR(VLOOKUP($BE830,$BD$5:$BF829,3,0)*$AE830,VLOOKUP($C830,Demanda!$A:$B,2,0)*$AE830)*IF(AT830="Phantom Alt",$BC830,TRUE)</f>
        <v>2000</v>
      </c>
      <c r="BG830" s="57">
        <f ca="1">BF830*(AP830/100)</f>
        <v>0</v>
      </c>
      <c r="BH830" s="57">
        <f>SUMIF(Invoice!A:A,F830,Invoice!B:B)</f>
        <v>0</v>
      </c>
      <c r="BI830" s="57">
        <f ca="1">SUMIF(AS:AS,AS830,BG:BG)</f>
        <v>2000</v>
      </c>
      <c r="BJ830" s="57">
        <f ca="1">MIN((BI830-SUMIF($AS$5:AS829,AS830,$BJ$5:BJ829)),MAX(0,BH830-SUMIF($F$5:F829,F830,$BJ$5:BJ829)))</f>
        <v>0</v>
      </c>
      <c r="BK830" s="57">
        <f ca="1">(-SUMIF(AS:AS,AS830,BG:BG)+SUMIF(AS:AS,AS830,BJ:BJ))*(AP830=100)*AR830</f>
        <v>0</v>
      </c>
      <c r="BL830" s="57">
        <f ca="1">MAX(0,SUMIF(Invoice!A:A,F830,Invoice!B:B)-SUMIF(F:F,F830,BJ:BJ))*(COUNTIF(F:F,F830)=COUNTIF($F$5:F830,F830))</f>
        <v>0</v>
      </c>
    </row>
    <row r="831" spans="1:64" hidden="1">
      <c r="A831" s="43">
        <v>834</v>
      </c>
      <c r="B831" s="13" t="s">
        <v>147</v>
      </c>
      <c r="C831" s="13" t="s">
        <v>146</v>
      </c>
      <c r="D831" s="13">
        <v>2</v>
      </c>
      <c r="E831" s="13">
        <v>2690</v>
      </c>
      <c r="F831" s="71" t="s">
        <v>1917</v>
      </c>
      <c r="G831" s="71" t="s">
        <v>1918</v>
      </c>
      <c r="H831" s="13" t="s">
        <v>1912</v>
      </c>
      <c r="I831" s="13" t="s">
        <v>55</v>
      </c>
      <c r="J831" s="28">
        <v>0</v>
      </c>
      <c r="K831" s="13" t="s">
        <v>1428</v>
      </c>
      <c r="L831" s="13" t="s">
        <v>53</v>
      </c>
      <c r="M831" s="13">
        <v>1</v>
      </c>
      <c r="O831" s="13">
        <v>1</v>
      </c>
      <c r="P831" s="13">
        <v>2</v>
      </c>
      <c r="Q831" s="13">
        <v>2</v>
      </c>
      <c r="R831" s="13" t="s">
        <v>122</v>
      </c>
      <c r="S831" s="13" t="s">
        <v>122</v>
      </c>
      <c r="T831" s="13">
        <v>44901</v>
      </c>
      <c r="U831" s="13">
        <v>2958465</v>
      </c>
      <c r="V831" s="13" t="s">
        <v>282</v>
      </c>
      <c r="W831" s="13" t="s">
        <v>145</v>
      </c>
      <c r="Y831" s="13" t="s">
        <v>143</v>
      </c>
      <c r="Z831" s="13">
        <v>7589154</v>
      </c>
      <c r="AA831" s="13">
        <v>1552</v>
      </c>
      <c r="AB831" s="13">
        <v>776</v>
      </c>
      <c r="AE831" s="51">
        <f>M831/O831</f>
        <v>1</v>
      </c>
      <c r="AG831" s="6" t="str">
        <f>C831</f>
        <v>90MB1BJ0-C1BAY0</v>
      </c>
      <c r="AH831" s="6" t="str">
        <f>IF($D831&lt;=AH$4,"",IF(AND($D830=AH$4,$D831&gt;AH$4),$F830,AH830))</f>
        <v>59MB1BJB-MB0A02S</v>
      </c>
      <c r="AI831" s="6" t="str">
        <f>IF($D831&lt;=AI$4,"",IF(AND($D830=AI$4,$D831&gt;AI$4),$F830,AI830))</f>
        <v/>
      </c>
      <c r="AJ831" s="6" t="str">
        <f>IF($D831&lt;=AJ$4,"",IF(AND($D830=AJ$4,$D831&gt;AJ$4),$F830,AJ830))</f>
        <v/>
      </c>
      <c r="AK831" s="6" t="str">
        <f>IF($D831&lt;=AK$4,"",IF(AND($D830=AK$4,$D831&gt;AK$4),$F830,AK830))</f>
        <v/>
      </c>
      <c r="AL831" s="6" t="str">
        <f>IF($D831&lt;=AL$4,"",IF(AND($D830=AL$4,$D831&gt;AL$4),$F830,AL830))</f>
        <v/>
      </c>
      <c r="AM831" s="6" t="str">
        <f>IF($D831&lt;=AM$4,"",IF(AND($D830=AM$4,$D831&gt;AM$4),$F830,AM830))</f>
        <v/>
      </c>
      <c r="AN831" s="6" t="str">
        <f>IF($D831&lt;=AN$4,"",IF(AND($D830=AN$4,$D831&gt;AN$4),$F830,AN830))</f>
        <v/>
      </c>
      <c r="AO831" s="6" t="str">
        <f>CONCATENATE(AG831," | ",AH831," | ",AI831," | ",AJ831," | ",AK831," | ",AL831," | ",AM831," | ",AN831)</f>
        <v xml:space="preserve">90MB1BJ0-C1BAY0 | 59MB1BJB-MB0A02S |  |  |  |  |  | </v>
      </c>
      <c r="AP831" s="6">
        <f>IF(TRIM(H831)="",100,J831)</f>
        <v>0</v>
      </c>
      <c r="AQ831" s="4"/>
      <c r="AR831" s="6" t="b">
        <f>NOT(TRIM(W831)&lt;&gt;"F")</f>
        <v>1</v>
      </c>
      <c r="AS831" s="6" t="str">
        <f>$B831&amp;" | "&amp;$AO831&amp;" | "&amp;IF(TRIM(H831)="","uniq"&amp;ROW(),TRIM(H831))</f>
        <v>461E | 90MB1BJ0-C1BAY0 | 59MB1BJB-MB0A02S |  |  |  |  |  |  | Q9</v>
      </c>
      <c r="AT831" s="63">
        <f>IF(NOT(AR831),IF(TRIM($H831)="","Assembly","Phantom Alt"),VLOOKUP(F831,ZPCS04!B:G,6,0))</f>
        <v>897</v>
      </c>
      <c r="AU831" s="7"/>
      <c r="AV831" s="38">
        <f ca="1">IF(TRIM($W831)="F",OFFSET($A$5,MATCH($AS831,$AS$5:$AS831,0)-1,0),$A831)</f>
        <v>834</v>
      </c>
      <c r="AW831" s="38">
        <f ca="1">IFERROR(OFFSET(ZPCS04!$A$1,MATCH(F831,ZPCS04!B:B,0)-1,0),100)</f>
        <v>1.99999996</v>
      </c>
      <c r="AX831" s="7"/>
      <c r="AY831" s="6" t="b">
        <f>SUMIF(AS:AS,AS831,AP:AP)=100</f>
        <v>1</v>
      </c>
      <c r="AZ831" s="6" t="b">
        <f>SUMIF(AS:AS,AS831,AE:AE)/COUNTIF(AS:AS,AS831)=AE831</f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>C831&amp;" | "&amp;F831</f>
        <v>90MB1BJ0-C1BAY0 | 11G233222516390</v>
      </c>
      <c r="BE831" s="55" t="str">
        <f ca="1">C831&amp;" | "&amp;OFFSET($AF831,0,8-COUNTBLANK($AG831:$AN831))</f>
        <v>90MB1BJ0-C1BAY0 | 59MB1BJB-MB0A02S</v>
      </c>
      <c r="BF831" s="57">
        <f ca="1">IFERROR(VLOOKUP($BE831,$BD$5:$BF830,3,0)*$AE831,VLOOKUP($C831,Demanda!$A:$B,2,0)*$AE831)*IF(AT831="Phantom Alt",$BC831,TRUE)</f>
        <v>1000</v>
      </c>
      <c r="BG831" s="57">
        <f ca="1">BF831*(AP831/100)</f>
        <v>0</v>
      </c>
      <c r="BH831" s="57">
        <f>SUMIF(Invoice!A:A,F831,Invoice!B:B)</f>
        <v>4000</v>
      </c>
      <c r="BI831" s="57">
        <f ca="1">SUMIF(AS:AS,AS831,BG:BG)</f>
        <v>1000</v>
      </c>
      <c r="BJ831" s="57">
        <f ca="1">MIN((BI831-SUMIF($AS$5:AS830,AS831,$BJ$5:BJ830)),MAX(0,BH831-SUMIF($F$5:F830,F831,$BJ$5:BJ830)))</f>
        <v>1000</v>
      </c>
      <c r="BK831" s="57">
        <f ca="1">(-SUMIF(AS:AS,AS831,BG:BG)+SUMIF(AS:AS,AS831,BJ:BJ))*(AP831=100)*AR831</f>
        <v>0</v>
      </c>
      <c r="BL831" s="57">
        <f ca="1">MAX(0,SUMIF(Invoice!A:A,F831,Invoice!B:B)-SUMIF(F:F,F831,BJ:BJ))*(COUNTIF(F:F,F831)=COUNTIF($F$5:F831,F831))</f>
        <v>3000</v>
      </c>
    </row>
    <row r="832" spans="1:64" hidden="1">
      <c r="A832" s="43">
        <v>831</v>
      </c>
      <c r="B832" s="13" t="s">
        <v>147</v>
      </c>
      <c r="C832" s="13" t="s">
        <v>146</v>
      </c>
      <c r="D832" s="13">
        <v>2</v>
      </c>
      <c r="E832" s="13">
        <v>2690</v>
      </c>
      <c r="F832" s="71" t="s">
        <v>1910</v>
      </c>
      <c r="G832" s="71" t="s">
        <v>1911</v>
      </c>
      <c r="H832" s="13" t="s">
        <v>1912</v>
      </c>
      <c r="I832" s="13" t="s">
        <v>55</v>
      </c>
      <c r="J832" s="28">
        <v>0</v>
      </c>
      <c r="K832" s="13" t="s">
        <v>1428</v>
      </c>
      <c r="L832" s="13" t="s">
        <v>53</v>
      </c>
      <c r="M832" s="13">
        <v>1</v>
      </c>
      <c r="O832" s="13">
        <v>1</v>
      </c>
      <c r="P832" s="13">
        <v>2</v>
      </c>
      <c r="Q832" s="13">
        <v>3</v>
      </c>
      <c r="R832" s="13" t="s">
        <v>122</v>
      </c>
      <c r="S832" s="13" t="s">
        <v>122</v>
      </c>
      <c r="T832" s="13">
        <v>44901</v>
      </c>
      <c r="U832" s="13">
        <v>2958465</v>
      </c>
      <c r="V832" s="13" t="s">
        <v>282</v>
      </c>
      <c r="W832" s="13" t="s">
        <v>145</v>
      </c>
      <c r="Y832" s="13" t="s">
        <v>143</v>
      </c>
      <c r="Z832" s="13">
        <v>7589154</v>
      </c>
      <c r="AA832" s="13">
        <v>1554</v>
      </c>
      <c r="AB832" s="13">
        <v>777</v>
      </c>
      <c r="AE832" s="51">
        <f>M832/O832</f>
        <v>1</v>
      </c>
      <c r="AG832" s="6" t="str">
        <f>C832</f>
        <v>90MB1BJ0-C1BAY0</v>
      </c>
      <c r="AH832" s="6" t="str">
        <f>IF($D832&lt;=AH$4,"",IF(AND($D831=AH$4,$D832&gt;AH$4),$F831,AH831))</f>
        <v>59MB1BJB-MB0A02S</v>
      </c>
      <c r="AI832" s="6" t="str">
        <f>IF($D832&lt;=AI$4,"",IF(AND($D831=AI$4,$D832&gt;AI$4),$F831,AI831))</f>
        <v/>
      </c>
      <c r="AJ832" s="6" t="str">
        <f>IF($D832&lt;=AJ$4,"",IF(AND($D831=AJ$4,$D832&gt;AJ$4),$F831,AJ831))</f>
        <v/>
      </c>
      <c r="AK832" s="6" t="str">
        <f>IF($D832&lt;=AK$4,"",IF(AND($D831=AK$4,$D832&gt;AK$4),$F831,AK831))</f>
        <v/>
      </c>
      <c r="AL832" s="6" t="str">
        <f>IF($D832&lt;=AL$4,"",IF(AND($D831=AL$4,$D832&gt;AL$4),$F831,AL831))</f>
        <v/>
      </c>
      <c r="AM832" s="6" t="str">
        <f>IF($D832&lt;=AM$4,"",IF(AND($D831=AM$4,$D832&gt;AM$4),$F831,AM831))</f>
        <v/>
      </c>
      <c r="AN832" s="6" t="str">
        <f>IF($D832&lt;=AN$4,"",IF(AND($D831=AN$4,$D832&gt;AN$4),$F831,AN831))</f>
        <v/>
      </c>
      <c r="AO832" s="6" t="str">
        <f>CONCATENATE(AG832," | ",AH832," | ",AI832," | ",AJ832," | ",AK832," | ",AL832," | ",AM832," | ",AN832)</f>
        <v xml:space="preserve">90MB1BJ0-C1BAY0 | 59MB1BJB-MB0A02S |  |  |  |  |  | </v>
      </c>
      <c r="AP832" s="6">
        <f>IF(TRIM(H832)="",100,J832)</f>
        <v>0</v>
      </c>
      <c r="AQ832" s="4"/>
      <c r="AR832" s="6" t="b">
        <f>NOT(TRIM(W832)&lt;&gt;"F")</f>
        <v>1</v>
      </c>
      <c r="AS832" s="6" t="str">
        <f>$B832&amp;" | "&amp;$AO832&amp;" | "&amp;IF(TRIM(H832)="","uniq"&amp;ROW(),TRIM(H832))</f>
        <v>461E | 90MB1BJ0-C1BAY0 | 59MB1BJB-MB0A02S |  |  |  |  |  |  | Q9</v>
      </c>
      <c r="AT832" s="63">
        <f>IF(NOT(AR832),IF(TRIM($H832)="","Assembly","Phantom Alt"),VLOOKUP(F832,ZPCS04!B:G,6,0))</f>
        <v>897</v>
      </c>
      <c r="AU832" s="7"/>
      <c r="AV832" s="38">
        <f ca="1">IF(TRIM($W832)="F",OFFSET($A$5,MATCH($AS832,$AS$5:$AS832,0)-1,0),$A832)</f>
        <v>834</v>
      </c>
      <c r="AW832" s="38">
        <f ca="1">IFERROR(OFFSET(ZPCS04!$A$1,MATCH(F832,ZPCS04!B:B,0)-1,0),100)</f>
        <v>2</v>
      </c>
      <c r="AX832" s="7"/>
      <c r="AY832" s="6" t="b">
        <f>SUMIF(AS:AS,AS832,AP:AP)=100</f>
        <v>1</v>
      </c>
      <c r="AZ832" s="6" t="b">
        <f>SUMIF(AS:AS,AS832,AE:AE)/COUNTIF(AS:AS,AS832)=AE832</f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>C832&amp;" | "&amp;F832</f>
        <v>90MB1BJ0-C1BAY0 | 11G233222516150</v>
      </c>
      <c r="BE832" s="55" t="str">
        <f ca="1">C832&amp;" | "&amp;OFFSET($AF832,0,8-COUNTBLANK($AG832:$AN832))</f>
        <v>90MB1BJ0-C1BAY0 | 59MB1BJB-MB0A02S</v>
      </c>
      <c r="BF832" s="57">
        <f ca="1">IFERROR(VLOOKUP($BE832,$BD$5:$BF831,3,0)*$AE832,VLOOKUP($C832,Demanda!$A:$B,2,0)*$AE832)*IF(AT832="Phantom Alt",$BC832,TRUE)</f>
        <v>1000</v>
      </c>
      <c r="BG832" s="57">
        <f ca="1">BF832*(AP832/100)</f>
        <v>0</v>
      </c>
      <c r="BH832" s="57">
        <f>SUMIF(Invoice!A:A,F832,Invoice!B:B)</f>
        <v>0</v>
      </c>
      <c r="BI832" s="57">
        <f ca="1">SUMIF(AS:AS,AS832,BG:BG)</f>
        <v>1000</v>
      </c>
      <c r="BJ832" s="57">
        <f ca="1">MIN((BI832-SUMIF($AS$5:AS831,AS832,$BJ$5:BJ831)),MAX(0,BH832-SUMIF($F$5:F831,F832,$BJ$5:BJ831)))</f>
        <v>0</v>
      </c>
      <c r="BK832" s="57">
        <f ca="1">(-SUMIF(AS:AS,AS832,BG:BG)+SUMIF(AS:AS,AS832,BJ:BJ))*(AP832=100)*AR832</f>
        <v>0</v>
      </c>
      <c r="BL832" s="57">
        <f ca="1">MAX(0,SUMIF(Invoice!A:A,F832,Invoice!B:B)-SUMIF(F:F,F832,BJ:BJ))*(COUNTIF(F:F,F832)=COUNTIF($F$5:F832,F832))</f>
        <v>0</v>
      </c>
    </row>
    <row r="833" spans="1:64" hidden="1">
      <c r="A833" s="43">
        <v>832</v>
      </c>
      <c r="B833" s="13" t="s">
        <v>147</v>
      </c>
      <c r="C833" s="13" t="s">
        <v>146</v>
      </c>
      <c r="D833" s="13">
        <v>2</v>
      </c>
      <c r="E833" s="13">
        <v>2690</v>
      </c>
      <c r="F833" s="71" t="s">
        <v>1913</v>
      </c>
      <c r="G833" s="71" t="s">
        <v>1914</v>
      </c>
      <c r="H833" s="13" t="s">
        <v>1912</v>
      </c>
      <c r="I833" s="13" t="s">
        <v>55</v>
      </c>
      <c r="J833" s="28">
        <v>0</v>
      </c>
      <c r="K833" s="13" t="s">
        <v>1428</v>
      </c>
      <c r="L833" s="13" t="s">
        <v>53</v>
      </c>
      <c r="M833" s="13">
        <v>1</v>
      </c>
      <c r="O833" s="13">
        <v>1</v>
      </c>
      <c r="P833" s="13">
        <v>2</v>
      </c>
      <c r="Q833" s="13">
        <v>4</v>
      </c>
      <c r="R833" s="13" t="s">
        <v>122</v>
      </c>
      <c r="S833" s="13" t="s">
        <v>122</v>
      </c>
      <c r="T833" s="13">
        <v>44901</v>
      </c>
      <c r="U833" s="13">
        <v>2958465</v>
      </c>
      <c r="V833" s="13" t="s">
        <v>282</v>
      </c>
      <c r="W833" s="13" t="s">
        <v>145</v>
      </c>
      <c r="Y833" s="13" t="s">
        <v>143</v>
      </c>
      <c r="Z833" s="13">
        <v>7589154</v>
      </c>
      <c r="AA833" s="13">
        <v>1556</v>
      </c>
      <c r="AB833" s="13">
        <v>778</v>
      </c>
      <c r="AE833" s="51">
        <f>M833/O833</f>
        <v>1</v>
      </c>
      <c r="AG833" s="6" t="str">
        <f>C833</f>
        <v>90MB1BJ0-C1BAY0</v>
      </c>
      <c r="AH833" s="6" t="str">
        <f>IF($D833&lt;=AH$4,"",IF(AND($D832=AH$4,$D833&gt;AH$4),$F832,AH832))</f>
        <v>59MB1BJB-MB0A02S</v>
      </c>
      <c r="AI833" s="6" t="str">
        <f>IF($D833&lt;=AI$4,"",IF(AND($D832=AI$4,$D833&gt;AI$4),$F832,AI832))</f>
        <v/>
      </c>
      <c r="AJ833" s="6" t="str">
        <f>IF($D833&lt;=AJ$4,"",IF(AND($D832=AJ$4,$D833&gt;AJ$4),$F832,AJ832))</f>
        <v/>
      </c>
      <c r="AK833" s="6" t="str">
        <f>IF($D833&lt;=AK$4,"",IF(AND($D832=AK$4,$D833&gt;AK$4),$F832,AK832))</f>
        <v/>
      </c>
      <c r="AL833" s="6" t="str">
        <f>IF($D833&lt;=AL$4,"",IF(AND($D832=AL$4,$D833&gt;AL$4),$F832,AL832))</f>
        <v/>
      </c>
      <c r="AM833" s="6" t="str">
        <f>IF($D833&lt;=AM$4,"",IF(AND($D832=AM$4,$D833&gt;AM$4),$F832,AM832))</f>
        <v/>
      </c>
      <c r="AN833" s="6" t="str">
        <f>IF($D833&lt;=AN$4,"",IF(AND($D832=AN$4,$D833&gt;AN$4),$F832,AN832))</f>
        <v/>
      </c>
      <c r="AO833" s="6" t="str">
        <f>CONCATENATE(AG833," | ",AH833," | ",AI833," | ",AJ833," | ",AK833," | ",AL833," | ",AM833," | ",AN833)</f>
        <v xml:space="preserve">90MB1BJ0-C1BAY0 | 59MB1BJB-MB0A02S |  |  |  |  |  | </v>
      </c>
      <c r="AP833" s="6">
        <f>IF(TRIM(H833)="",100,J833)</f>
        <v>0</v>
      </c>
      <c r="AQ833" s="4"/>
      <c r="AR833" s="6" t="b">
        <f>NOT(TRIM(W833)&lt;&gt;"F")</f>
        <v>1</v>
      </c>
      <c r="AS833" s="6" t="str">
        <f>$B833&amp;" | "&amp;$AO833&amp;" | "&amp;IF(TRIM(H833)="","uniq"&amp;ROW(),TRIM(H833))</f>
        <v>461E | 90MB1BJ0-C1BAY0 | 59MB1BJB-MB0A02S |  |  |  |  |  |  | Q9</v>
      </c>
      <c r="AT833" s="63">
        <f>IF(NOT(AR833),IF(TRIM($H833)="","Assembly","Phantom Alt"),VLOOKUP(F833,ZPCS04!B:G,6,0))</f>
        <v>897</v>
      </c>
      <c r="AU833" s="7"/>
      <c r="AV833" s="38">
        <f ca="1">IF(TRIM($W833)="F",OFFSET($A$5,MATCH($AS833,$AS$5:$AS833,0)-1,0),$A833)</f>
        <v>834</v>
      </c>
      <c r="AW833" s="38">
        <f ca="1">IFERROR(OFFSET(ZPCS04!$A$1,MATCH(F833,ZPCS04!B:B,0)-1,0),100)</f>
        <v>2</v>
      </c>
      <c r="AX833" s="7"/>
      <c r="AY833" s="6" t="b">
        <f>SUMIF(AS:AS,AS833,AP:AP)=100</f>
        <v>1</v>
      </c>
      <c r="AZ833" s="6" t="b">
        <f>SUMIF(AS:AS,AS833,AE:AE)/COUNTIF(AS:AS,AS833)=AE833</f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>C833&amp;" | "&amp;F833</f>
        <v>90MB1BJ0-C1BAY0 | 11G233222516320</v>
      </c>
      <c r="BE833" s="55" t="str">
        <f ca="1">C833&amp;" | "&amp;OFFSET($AF833,0,8-COUNTBLANK($AG833:$AN833))</f>
        <v>90MB1BJ0-C1BAY0 | 59MB1BJB-MB0A02S</v>
      </c>
      <c r="BF833" s="57">
        <f ca="1">IFERROR(VLOOKUP($BE833,$BD$5:$BF832,3,0)*$AE833,VLOOKUP($C833,Demanda!$A:$B,2,0)*$AE833)*IF(AT833="Phantom Alt",$BC833,TRUE)</f>
        <v>1000</v>
      </c>
      <c r="BG833" s="57">
        <f ca="1">BF833*(AP833/100)</f>
        <v>0</v>
      </c>
      <c r="BH833" s="57">
        <f>SUMIF(Invoice!A:A,F833,Invoice!B:B)</f>
        <v>0</v>
      </c>
      <c r="BI833" s="57">
        <f ca="1">SUMIF(AS:AS,AS833,BG:BG)</f>
        <v>1000</v>
      </c>
      <c r="BJ833" s="57">
        <f ca="1">MIN((BI833-SUMIF($AS$5:AS832,AS833,$BJ$5:BJ832)),MAX(0,BH833-SUMIF($F$5:F832,F833,$BJ$5:BJ832)))</f>
        <v>0</v>
      </c>
      <c r="BK833" s="57">
        <f ca="1">(-SUMIF(AS:AS,AS833,BG:BG)+SUMIF(AS:AS,AS833,BJ:BJ))*(AP833=100)*AR833</f>
        <v>0</v>
      </c>
      <c r="BL833" s="57">
        <f ca="1">MAX(0,SUMIF(Invoice!A:A,F833,Invoice!B:B)-SUMIF(F:F,F833,BJ:BJ))*(COUNTIF(F:F,F833)=COUNTIF($F$5:F833,F833))</f>
        <v>0</v>
      </c>
    </row>
    <row r="834" spans="1:64" hidden="1">
      <c r="A834" s="43">
        <v>833</v>
      </c>
      <c r="B834" s="13" t="s">
        <v>147</v>
      </c>
      <c r="C834" s="13" t="s">
        <v>146</v>
      </c>
      <c r="D834" s="13">
        <v>2</v>
      </c>
      <c r="E834" s="13">
        <v>2690</v>
      </c>
      <c r="F834" s="71" t="s">
        <v>1915</v>
      </c>
      <c r="G834" s="71" t="s">
        <v>1916</v>
      </c>
      <c r="H834" s="13" t="s">
        <v>1912</v>
      </c>
      <c r="I834" s="13" t="s">
        <v>54</v>
      </c>
      <c r="J834" s="28">
        <v>100</v>
      </c>
      <c r="K834" s="13" t="s">
        <v>1428</v>
      </c>
      <c r="L834" s="13" t="s">
        <v>53</v>
      </c>
      <c r="M834" s="13">
        <v>1</v>
      </c>
      <c r="N834" s="13">
        <v>1</v>
      </c>
      <c r="O834" s="13">
        <v>1</v>
      </c>
      <c r="P834" s="13">
        <v>2</v>
      </c>
      <c r="Q834" s="13">
        <v>1</v>
      </c>
      <c r="R834" s="13" t="s">
        <v>122</v>
      </c>
      <c r="S834" s="13" t="s">
        <v>122</v>
      </c>
      <c r="T834" s="13">
        <v>44901</v>
      </c>
      <c r="U834" s="13">
        <v>2958465</v>
      </c>
      <c r="V834" s="13" t="s">
        <v>282</v>
      </c>
      <c r="W834" s="13" t="s">
        <v>145</v>
      </c>
      <c r="Y834" s="13" t="s">
        <v>143</v>
      </c>
      <c r="Z834" s="13">
        <v>7589154</v>
      </c>
      <c r="AA834" s="13">
        <v>1550</v>
      </c>
      <c r="AB834" s="13">
        <v>775</v>
      </c>
      <c r="AE834" s="51">
        <f>M834/O834</f>
        <v>1</v>
      </c>
      <c r="AG834" s="6" t="str">
        <f>C834</f>
        <v>90MB1BJ0-C1BAY0</v>
      </c>
      <c r="AH834" s="6" t="str">
        <f>IF($D834&lt;=AH$4,"",IF(AND($D833=AH$4,$D834&gt;AH$4),$F833,AH833))</f>
        <v>59MB1BJB-MB0A02S</v>
      </c>
      <c r="AI834" s="6" t="str">
        <f>IF($D834&lt;=AI$4,"",IF(AND($D833=AI$4,$D834&gt;AI$4),$F833,AI833))</f>
        <v/>
      </c>
      <c r="AJ834" s="6" t="str">
        <f>IF($D834&lt;=AJ$4,"",IF(AND($D833=AJ$4,$D834&gt;AJ$4),$F833,AJ833))</f>
        <v/>
      </c>
      <c r="AK834" s="6" t="str">
        <f>IF($D834&lt;=AK$4,"",IF(AND($D833=AK$4,$D834&gt;AK$4),$F833,AK833))</f>
        <v/>
      </c>
      <c r="AL834" s="6" t="str">
        <f>IF($D834&lt;=AL$4,"",IF(AND($D833=AL$4,$D834&gt;AL$4),$F833,AL833))</f>
        <v/>
      </c>
      <c r="AM834" s="6" t="str">
        <f>IF($D834&lt;=AM$4,"",IF(AND($D833=AM$4,$D834&gt;AM$4),$F833,AM833))</f>
        <v/>
      </c>
      <c r="AN834" s="6" t="str">
        <f>IF($D834&lt;=AN$4,"",IF(AND($D833=AN$4,$D834&gt;AN$4),$F833,AN833))</f>
        <v/>
      </c>
      <c r="AO834" s="6" t="str">
        <f>CONCATENATE(AG834," | ",AH834," | ",AI834," | ",AJ834," | ",AK834," | ",AL834," | ",AM834," | ",AN834)</f>
        <v xml:space="preserve">90MB1BJ0-C1BAY0 | 59MB1BJB-MB0A02S |  |  |  |  |  | </v>
      </c>
      <c r="AP834" s="6">
        <f>IF(TRIM(H834)="",100,J834)</f>
        <v>100</v>
      </c>
      <c r="AQ834" s="4"/>
      <c r="AR834" s="6" t="b">
        <f>NOT(TRIM(W834)&lt;&gt;"F")</f>
        <v>1</v>
      </c>
      <c r="AS834" s="6" t="str">
        <f>$B834&amp;" | "&amp;$AO834&amp;" | "&amp;IF(TRIM(H834)="","uniq"&amp;ROW(),TRIM(H834))</f>
        <v>461E | 90MB1BJ0-C1BAY0 | 59MB1BJB-MB0A02S |  |  |  |  |  |  | Q9</v>
      </c>
      <c r="AT834" s="63">
        <f>IF(NOT(AR834),IF(TRIM($H834)="","Assembly","Phantom Alt"),VLOOKUP(F834,ZPCS04!B:G,6,0))</f>
        <v>897</v>
      </c>
      <c r="AU834" s="7"/>
      <c r="AV834" s="38">
        <f ca="1">IF(TRIM($W834)="F",OFFSET($A$5,MATCH($AS834,$AS$5:$AS834,0)-1,0),$A834)</f>
        <v>834</v>
      </c>
      <c r="AW834" s="38">
        <f ca="1">IFERROR(OFFSET(ZPCS04!$A$1,MATCH(F834,ZPCS04!B:B,0)-1,0),100)</f>
        <v>2</v>
      </c>
      <c r="AX834" s="7"/>
      <c r="AY834" s="6" t="b">
        <f>SUMIF(AS:AS,AS834,AP:AP)=100</f>
        <v>1</v>
      </c>
      <c r="AZ834" s="6" t="b">
        <f>SUMIF(AS:AS,AS834,AE:AE)/COUNTIF(AS:AS,AS834)=AE834</f>
        <v>1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>C834&amp;" | "&amp;F834</f>
        <v>90MB1BJ0-C1BAY0 | 11G233222516360</v>
      </c>
      <c r="BE834" s="55" t="str">
        <f ca="1">C834&amp;" | "&amp;OFFSET($AF834,0,8-COUNTBLANK($AG834:$AN834))</f>
        <v>90MB1BJ0-C1BAY0 | 59MB1BJB-MB0A02S</v>
      </c>
      <c r="BF834" s="57">
        <f ca="1">IFERROR(VLOOKUP($BE834,$BD$5:$BF833,3,0)*$AE834,VLOOKUP($C834,Demanda!$A:$B,2,0)*$AE834)*IF(AT834="Phantom Alt",$BC834,TRUE)</f>
        <v>1000</v>
      </c>
      <c r="BG834" s="57">
        <f ca="1">BF834*(AP834/100)</f>
        <v>1000</v>
      </c>
      <c r="BH834" s="57">
        <f>SUMIF(Invoice!A:A,F834,Invoice!B:B)</f>
        <v>0</v>
      </c>
      <c r="BI834" s="57">
        <f ca="1">SUMIF(AS:AS,AS834,BG:BG)</f>
        <v>1000</v>
      </c>
      <c r="BJ834" s="57">
        <f ca="1">MIN((BI834-SUMIF($AS$5:AS833,AS834,$BJ$5:BJ833)),MAX(0,BH834-SUMIF($F$5:F833,F834,$BJ$5:BJ833)))</f>
        <v>0</v>
      </c>
      <c r="BK834" s="57">
        <f ca="1">(-SUMIF(AS:AS,AS834,BG:BG)+SUMIF(AS:AS,AS834,BJ:BJ))*(AP834=100)*AR834</f>
        <v>0</v>
      </c>
      <c r="BL834" s="57">
        <f ca="1">MAX(0,SUMIF(Invoice!A:A,F834,Invoice!B:B)-SUMIF(F:F,F834,BJ:BJ))*(COUNTIF(F:F,F834)=COUNTIF($F$5:F834,F834))</f>
        <v>0</v>
      </c>
    </row>
    <row r="835" spans="1:64" hidden="1">
      <c r="A835" s="43">
        <v>835</v>
      </c>
      <c r="B835" s="13" t="s">
        <v>147</v>
      </c>
      <c r="C835" s="13" t="s">
        <v>146</v>
      </c>
      <c r="D835" s="13">
        <v>2</v>
      </c>
      <c r="E835" s="13">
        <v>2690</v>
      </c>
      <c r="F835" s="71" t="s">
        <v>1919</v>
      </c>
      <c r="G835" s="71" t="s">
        <v>1920</v>
      </c>
      <c r="H835" s="13" t="s">
        <v>1912</v>
      </c>
      <c r="I835" s="13" t="s">
        <v>55</v>
      </c>
      <c r="J835" s="28">
        <v>0</v>
      </c>
      <c r="K835" s="13" t="s">
        <v>1428</v>
      </c>
      <c r="L835" s="13" t="s">
        <v>53</v>
      </c>
      <c r="M835" s="13">
        <v>1</v>
      </c>
      <c r="O835" s="13">
        <v>1</v>
      </c>
      <c r="P835" s="13">
        <v>2</v>
      </c>
      <c r="Q835" s="13">
        <v>5</v>
      </c>
      <c r="R835" s="13" t="s">
        <v>122</v>
      </c>
      <c r="S835" s="13" t="s">
        <v>122</v>
      </c>
      <c r="T835" s="13">
        <v>44901</v>
      </c>
      <c r="U835" s="13">
        <v>2958465</v>
      </c>
      <c r="V835" s="13" t="s">
        <v>282</v>
      </c>
      <c r="W835" s="13" t="s">
        <v>145</v>
      </c>
      <c r="Y835" s="13" t="s">
        <v>143</v>
      </c>
      <c r="Z835" s="13">
        <v>7589154</v>
      </c>
      <c r="AA835" s="13">
        <v>1558</v>
      </c>
      <c r="AB835" s="13">
        <v>779</v>
      </c>
      <c r="AE835" s="51">
        <f>M835/O835</f>
        <v>1</v>
      </c>
      <c r="AG835" s="6" t="str">
        <f>C835</f>
        <v>90MB1BJ0-C1BAY0</v>
      </c>
      <c r="AH835" s="6" t="str">
        <f>IF($D835&lt;=AH$4,"",IF(AND($D834=AH$4,$D835&gt;AH$4),$F834,AH834))</f>
        <v>59MB1BJB-MB0A02S</v>
      </c>
      <c r="AI835" s="6" t="str">
        <f>IF($D835&lt;=AI$4,"",IF(AND($D834=AI$4,$D835&gt;AI$4),$F834,AI834))</f>
        <v/>
      </c>
      <c r="AJ835" s="6" t="str">
        <f>IF($D835&lt;=AJ$4,"",IF(AND($D834=AJ$4,$D835&gt;AJ$4),$F834,AJ834))</f>
        <v/>
      </c>
      <c r="AK835" s="6" t="str">
        <f>IF($D835&lt;=AK$4,"",IF(AND($D834=AK$4,$D835&gt;AK$4),$F834,AK834))</f>
        <v/>
      </c>
      <c r="AL835" s="6" t="str">
        <f>IF($D835&lt;=AL$4,"",IF(AND($D834=AL$4,$D835&gt;AL$4),$F834,AL834))</f>
        <v/>
      </c>
      <c r="AM835" s="6" t="str">
        <f>IF($D835&lt;=AM$4,"",IF(AND($D834=AM$4,$D835&gt;AM$4),$F834,AM834))</f>
        <v/>
      </c>
      <c r="AN835" s="6" t="str">
        <f>IF($D835&lt;=AN$4,"",IF(AND($D834=AN$4,$D835&gt;AN$4),$F834,AN834))</f>
        <v/>
      </c>
      <c r="AO835" s="6" t="str">
        <f>CONCATENATE(AG835," | ",AH835," | ",AI835," | ",AJ835," | ",AK835," | ",AL835," | ",AM835," | ",AN835)</f>
        <v xml:space="preserve">90MB1BJ0-C1BAY0 | 59MB1BJB-MB0A02S |  |  |  |  |  | </v>
      </c>
      <c r="AP835" s="6">
        <f>IF(TRIM(H835)="",100,J835)</f>
        <v>0</v>
      </c>
      <c r="AQ835" s="4"/>
      <c r="AR835" s="6" t="b">
        <f>NOT(TRIM(W835)&lt;&gt;"F")</f>
        <v>1</v>
      </c>
      <c r="AS835" s="6" t="str">
        <f>$B835&amp;" | "&amp;$AO835&amp;" | "&amp;IF(TRIM(H835)="","uniq"&amp;ROW(),TRIM(H835))</f>
        <v>461E | 90MB1BJ0-C1BAY0 | 59MB1BJB-MB0A02S |  |  |  |  |  |  | Q9</v>
      </c>
      <c r="AT835" s="63">
        <f>IF(NOT(AR835),IF(TRIM($H835)="","Assembly","Phantom Alt"),VLOOKUP(F835,ZPCS04!B:G,6,0))</f>
        <v>897</v>
      </c>
      <c r="AU835" s="7"/>
      <c r="AV835" s="38">
        <f ca="1">IF(TRIM($W835)="F",OFFSET($A$5,MATCH($AS835,$AS$5:$AS835,0)-1,0),$A835)</f>
        <v>834</v>
      </c>
      <c r="AW835" s="38">
        <f ca="1">IFERROR(OFFSET(ZPCS04!$A$1,MATCH(F835,ZPCS04!B:B,0)-1,0),100)</f>
        <v>2</v>
      </c>
      <c r="AX835" s="7"/>
      <c r="AY835" s="6" t="b">
        <f>SUMIF(AS:AS,AS835,AP:AP)=100</f>
        <v>1</v>
      </c>
      <c r="AZ835" s="6" t="b">
        <f>SUMIF(AS:AS,AS835,AE:AE)/COUNTIF(AS:AS,AS835)=AE835</f>
        <v>1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>C835&amp;" | "&amp;F835</f>
        <v>90MB1BJ0-C1BAY0 | 11G233222516510</v>
      </c>
      <c r="BE835" s="55" t="str">
        <f ca="1">C835&amp;" | "&amp;OFFSET($AF835,0,8-COUNTBLANK($AG835:$AN835))</f>
        <v>90MB1BJ0-C1BAY0 | 59MB1BJB-MB0A02S</v>
      </c>
      <c r="BF835" s="57">
        <f ca="1">IFERROR(VLOOKUP($BE835,$BD$5:$BF834,3,0)*$AE835,VLOOKUP($C835,Demanda!$A:$B,2,0)*$AE835)*IF(AT835="Phantom Alt",$BC835,TRUE)</f>
        <v>1000</v>
      </c>
      <c r="BG835" s="57">
        <f ca="1">BF835*(AP835/100)</f>
        <v>0</v>
      </c>
      <c r="BH835" s="57">
        <f>SUMIF(Invoice!A:A,F835,Invoice!B:B)</f>
        <v>0</v>
      </c>
      <c r="BI835" s="57">
        <f ca="1">SUMIF(AS:AS,AS835,BG:BG)</f>
        <v>1000</v>
      </c>
      <c r="BJ835" s="57">
        <f ca="1">MIN((BI835-SUMIF($AS$5:AS834,AS835,$BJ$5:BJ834)),MAX(0,BH835-SUMIF($F$5:F834,F835,$BJ$5:BJ834)))</f>
        <v>0</v>
      </c>
      <c r="BK835" s="57">
        <f ca="1">(-SUMIF(AS:AS,AS835,BG:BG)+SUMIF(AS:AS,AS835,BJ:BJ))*(AP835=100)*AR835</f>
        <v>0</v>
      </c>
      <c r="BL835" s="57">
        <f ca="1">MAX(0,SUMIF(Invoice!A:A,F835,Invoice!B:B)-SUMIF(F:F,F835,BJ:BJ))*(COUNTIF(F:F,F835)=COUNTIF($F$5:F835,F835))</f>
        <v>0</v>
      </c>
    </row>
    <row r="836" spans="1:64" hidden="1">
      <c r="A836" s="43">
        <v>836</v>
      </c>
      <c r="B836" s="13" t="s">
        <v>147</v>
      </c>
      <c r="C836" s="13" t="s">
        <v>146</v>
      </c>
      <c r="D836" s="13">
        <v>2</v>
      </c>
      <c r="E836" s="13">
        <v>2700</v>
      </c>
      <c r="F836" s="71" t="s">
        <v>1921</v>
      </c>
      <c r="G836" s="71" t="s">
        <v>1922</v>
      </c>
      <c r="H836" s="13" t="s">
        <v>1923</v>
      </c>
      <c r="I836" s="13" t="s">
        <v>54</v>
      </c>
      <c r="J836" s="28">
        <v>100</v>
      </c>
      <c r="K836" s="13" t="s">
        <v>489</v>
      </c>
      <c r="L836" s="13" t="s">
        <v>53</v>
      </c>
      <c r="M836" s="13">
        <v>2</v>
      </c>
      <c r="N836" s="13">
        <v>2</v>
      </c>
      <c r="O836" s="13">
        <v>1</v>
      </c>
      <c r="P836" s="13">
        <v>2</v>
      </c>
      <c r="Q836" s="13">
        <v>1</v>
      </c>
      <c r="R836" s="13" t="s">
        <v>73</v>
      </c>
      <c r="S836" s="13" t="s">
        <v>73</v>
      </c>
      <c r="T836" s="13">
        <v>44901</v>
      </c>
      <c r="U836" s="13">
        <v>2958465</v>
      </c>
      <c r="V836" s="13" t="s">
        <v>282</v>
      </c>
      <c r="W836" s="13" t="s">
        <v>145</v>
      </c>
      <c r="Y836" s="13" t="s">
        <v>143</v>
      </c>
      <c r="Z836" s="13">
        <v>7589154</v>
      </c>
      <c r="AA836" s="13">
        <v>1560</v>
      </c>
      <c r="AB836" s="13">
        <v>780</v>
      </c>
      <c r="AE836" s="51">
        <f>M836/O836</f>
        <v>2</v>
      </c>
      <c r="AG836" s="6" t="str">
        <f>C836</f>
        <v>90MB1BJ0-C1BAY0</v>
      </c>
      <c r="AH836" s="6" t="str">
        <f>IF($D836&lt;=AH$4,"",IF(AND($D835=AH$4,$D836&gt;AH$4),$F835,AH835))</f>
        <v>59MB1BJB-MB0A02S</v>
      </c>
      <c r="AI836" s="6" t="str">
        <f>IF($D836&lt;=AI$4,"",IF(AND($D835=AI$4,$D836&gt;AI$4),$F835,AI835))</f>
        <v/>
      </c>
      <c r="AJ836" s="6" t="str">
        <f>IF($D836&lt;=AJ$4,"",IF(AND($D835=AJ$4,$D836&gt;AJ$4),$F835,AJ835))</f>
        <v/>
      </c>
      <c r="AK836" s="6" t="str">
        <f>IF($D836&lt;=AK$4,"",IF(AND($D835=AK$4,$D836&gt;AK$4),$F835,AK835))</f>
        <v/>
      </c>
      <c r="AL836" s="6" t="str">
        <f>IF($D836&lt;=AL$4,"",IF(AND($D835=AL$4,$D836&gt;AL$4),$F835,AL835))</f>
        <v/>
      </c>
      <c r="AM836" s="6" t="str">
        <f>IF($D836&lt;=AM$4,"",IF(AND($D835=AM$4,$D836&gt;AM$4),$F835,AM835))</f>
        <v/>
      </c>
      <c r="AN836" s="6" t="str">
        <f>IF($D836&lt;=AN$4,"",IF(AND($D835=AN$4,$D836&gt;AN$4),$F835,AN835))</f>
        <v/>
      </c>
      <c r="AO836" s="6" t="str">
        <f>CONCATENATE(AG836," | ",AH836," | ",AI836," | ",AJ836," | ",AK836," | ",AL836," | ",AM836," | ",AN836)</f>
        <v xml:space="preserve">90MB1BJ0-C1BAY0 | 59MB1BJB-MB0A02S |  |  |  |  |  | </v>
      </c>
      <c r="AP836" s="6">
        <f>IF(TRIM(H836)="",100,J836)</f>
        <v>100</v>
      </c>
      <c r="AQ836" s="4"/>
      <c r="AR836" s="6" t="b">
        <f>NOT(TRIM(W836)&lt;&gt;"F")</f>
        <v>1</v>
      </c>
      <c r="AS836" s="6" t="str">
        <f>$B836&amp;" | "&amp;$AO836&amp;" | "&amp;IF(TRIM(H836)="","uniq"&amp;ROW(),TRIM(H836))</f>
        <v>461E | 90MB1BJ0-C1BAY0 | 59MB1BJB-MB0A02S |  |  |  |  |  |  | R0</v>
      </c>
      <c r="AT836" s="63">
        <f>IF(NOT(AR836),IF(TRIM($H836)="","Assembly","Phantom Alt"),VLOOKUP(F836,ZPCS04!B:G,6,0))</f>
        <v>1293</v>
      </c>
      <c r="AU836" s="7"/>
      <c r="AV836" s="38">
        <f ca="1">IF(TRIM($W836)="F",OFFSET($A$5,MATCH($AS836,$AS$5:$AS836,0)-1,0),$A836)</f>
        <v>836</v>
      </c>
      <c r="AW836" s="38">
        <f ca="1">IFERROR(OFFSET(ZPCS04!$A$1,MATCH(F836,ZPCS04!B:B,0)-1,0),100)</f>
        <v>1.9999999000000002</v>
      </c>
      <c r="AX836" s="7"/>
      <c r="AY836" s="6" t="b">
        <f>SUMIF(AS:AS,AS836,AP:AP)=100</f>
        <v>1</v>
      </c>
      <c r="AZ836" s="6" t="b">
        <f>SUMIF(AS:AS,AS836,AE:AE)/COUNTIF(AS:AS,AS836)=AE836</f>
        <v>1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>C836&amp;" | "&amp;F836</f>
        <v>90MB1BJ0-C1BAY0 | 10G212107214010</v>
      </c>
      <c r="BE836" s="55" t="str">
        <f ca="1">C836&amp;" | "&amp;OFFSET($AF836,0,8-COUNTBLANK($AG836:$AN836))</f>
        <v>90MB1BJ0-C1BAY0 | 59MB1BJB-MB0A02S</v>
      </c>
      <c r="BF836" s="57">
        <f ca="1">IFERROR(VLOOKUP($BE836,$BD$5:$BF835,3,0)*$AE836,VLOOKUP($C836,Demanda!$A:$B,2,0)*$AE836)*IF(AT836="Phantom Alt",$BC836,TRUE)</f>
        <v>2000</v>
      </c>
      <c r="BG836" s="57">
        <f ca="1">BF836*(AP836/100)</f>
        <v>2000</v>
      </c>
      <c r="BH836" s="57">
        <f>SUMIF(Invoice!A:A,F836,Invoice!B:B)</f>
        <v>10000</v>
      </c>
      <c r="BI836" s="57">
        <f ca="1">SUMIF(AS:AS,AS836,BG:BG)</f>
        <v>2000</v>
      </c>
      <c r="BJ836" s="57">
        <f ca="1">MIN((BI836-SUMIF($AS$5:AS835,AS836,$BJ$5:BJ835)),MAX(0,BH836-SUMIF($F$5:F835,F836,$BJ$5:BJ835)))</f>
        <v>2000</v>
      </c>
      <c r="BK836" s="57">
        <f ca="1">(-SUMIF(AS:AS,AS836,BG:BG)+SUMIF(AS:AS,AS836,BJ:BJ))*(AP836=100)*AR836</f>
        <v>0</v>
      </c>
      <c r="BL836" s="57">
        <f ca="1">MAX(0,SUMIF(Invoice!A:A,F836,Invoice!B:B)-SUMIF(F:F,F836,BJ:BJ))*(COUNTIF(F:F,F836)=COUNTIF($F$5:F836,F836))</f>
        <v>8000</v>
      </c>
    </row>
    <row r="837" spans="1:64" hidden="1">
      <c r="A837" s="43">
        <v>837</v>
      </c>
      <c r="B837" s="13" t="s">
        <v>147</v>
      </c>
      <c r="C837" s="13" t="s">
        <v>146</v>
      </c>
      <c r="D837" s="13">
        <v>2</v>
      </c>
      <c r="E837" s="13">
        <v>2700</v>
      </c>
      <c r="F837" s="71" t="s">
        <v>1924</v>
      </c>
      <c r="G837" s="71" t="s">
        <v>1925</v>
      </c>
      <c r="H837" s="13" t="s">
        <v>1923</v>
      </c>
      <c r="I837" s="13" t="s">
        <v>55</v>
      </c>
      <c r="J837" s="28">
        <v>0</v>
      </c>
      <c r="K837" s="13" t="s">
        <v>489</v>
      </c>
      <c r="L837" s="13" t="s">
        <v>53</v>
      </c>
      <c r="M837" s="13">
        <v>2</v>
      </c>
      <c r="O837" s="13">
        <v>1</v>
      </c>
      <c r="P837" s="13">
        <v>2</v>
      </c>
      <c r="Q837" s="13">
        <v>2</v>
      </c>
      <c r="R837" s="13" t="s">
        <v>73</v>
      </c>
      <c r="S837" s="13" t="s">
        <v>73</v>
      </c>
      <c r="T837" s="13">
        <v>44901</v>
      </c>
      <c r="U837" s="13">
        <v>2958465</v>
      </c>
      <c r="V837" s="13" t="s">
        <v>282</v>
      </c>
      <c r="W837" s="13" t="s">
        <v>145</v>
      </c>
      <c r="Y837" s="13" t="s">
        <v>143</v>
      </c>
      <c r="Z837" s="13">
        <v>7589154</v>
      </c>
      <c r="AA837" s="13">
        <v>1562</v>
      </c>
      <c r="AB837" s="13">
        <v>781</v>
      </c>
      <c r="AE837" s="51">
        <f>M837/O837</f>
        <v>2</v>
      </c>
      <c r="AG837" s="6" t="str">
        <f>C837</f>
        <v>90MB1BJ0-C1BAY0</v>
      </c>
      <c r="AH837" s="6" t="str">
        <f>IF($D837&lt;=AH$4,"",IF(AND($D836=AH$4,$D837&gt;AH$4),$F836,AH836))</f>
        <v>59MB1BJB-MB0A02S</v>
      </c>
      <c r="AI837" s="6" t="str">
        <f>IF($D837&lt;=AI$4,"",IF(AND($D836=AI$4,$D837&gt;AI$4),$F836,AI836))</f>
        <v/>
      </c>
      <c r="AJ837" s="6" t="str">
        <f>IF($D837&lt;=AJ$4,"",IF(AND($D836=AJ$4,$D837&gt;AJ$4),$F836,AJ836))</f>
        <v/>
      </c>
      <c r="AK837" s="6" t="str">
        <f>IF($D837&lt;=AK$4,"",IF(AND($D836=AK$4,$D837&gt;AK$4),$F836,AK836))</f>
        <v/>
      </c>
      <c r="AL837" s="6" t="str">
        <f>IF($D837&lt;=AL$4,"",IF(AND($D836=AL$4,$D837&gt;AL$4),$F836,AL836))</f>
        <v/>
      </c>
      <c r="AM837" s="6" t="str">
        <f>IF($D837&lt;=AM$4,"",IF(AND($D836=AM$4,$D837&gt;AM$4),$F836,AM836))</f>
        <v/>
      </c>
      <c r="AN837" s="6" t="str">
        <f>IF($D837&lt;=AN$4,"",IF(AND($D836=AN$4,$D837&gt;AN$4),$F836,AN836))</f>
        <v/>
      </c>
      <c r="AO837" s="6" t="str">
        <f>CONCATENATE(AG837," | ",AH837," | ",AI837," | ",AJ837," | ",AK837," | ",AL837," | ",AM837," | ",AN837)</f>
        <v xml:space="preserve">90MB1BJ0-C1BAY0 | 59MB1BJB-MB0A02S |  |  |  |  |  | </v>
      </c>
      <c r="AP837" s="6">
        <f>IF(TRIM(H837)="",100,J837)</f>
        <v>0</v>
      </c>
      <c r="AQ837" s="4"/>
      <c r="AR837" s="6" t="b">
        <f>NOT(TRIM(W837)&lt;&gt;"F")</f>
        <v>1</v>
      </c>
      <c r="AS837" s="6" t="str">
        <f>$B837&amp;" | "&amp;$AO837&amp;" | "&amp;IF(TRIM(H837)="","uniq"&amp;ROW(),TRIM(H837))</f>
        <v>461E | 90MB1BJ0-C1BAY0 | 59MB1BJB-MB0A02S |  |  |  |  |  |  | R0</v>
      </c>
      <c r="AT837" s="63">
        <f>IF(NOT(AR837),IF(TRIM($H837)="","Assembly","Phantom Alt"),VLOOKUP(F837,ZPCS04!B:G,6,0))</f>
        <v>1293</v>
      </c>
      <c r="AU837" s="7"/>
      <c r="AV837" s="38">
        <f ca="1">IF(TRIM($W837)="F",OFFSET($A$5,MATCH($AS837,$AS$5:$AS837,0)-1,0),$A837)</f>
        <v>836</v>
      </c>
      <c r="AW837" s="38">
        <f ca="1">IFERROR(OFFSET(ZPCS04!$A$1,MATCH(F837,ZPCS04!B:B,0)-1,0),100)</f>
        <v>2</v>
      </c>
      <c r="AX837" s="7"/>
      <c r="AY837" s="6" t="b">
        <f>SUMIF(AS:AS,AS837,AP:AP)=100</f>
        <v>1</v>
      </c>
      <c r="AZ837" s="6" t="b">
        <f>SUMIF(AS:AS,AS837,AE:AE)/COUNTIF(AS:AS,AS837)=AE837</f>
        <v>1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>C837&amp;" | "&amp;F837</f>
        <v>90MB1BJ0-C1BAY0 | 10G212107214020</v>
      </c>
      <c r="BE837" s="55" t="str">
        <f ca="1">C837&amp;" | "&amp;OFFSET($AF837,0,8-COUNTBLANK($AG837:$AN837))</f>
        <v>90MB1BJ0-C1BAY0 | 59MB1BJB-MB0A02S</v>
      </c>
      <c r="BF837" s="57">
        <f ca="1">IFERROR(VLOOKUP($BE837,$BD$5:$BF836,3,0)*$AE837,VLOOKUP($C837,Demanda!$A:$B,2,0)*$AE837)*IF(AT837="Phantom Alt",$BC837,TRUE)</f>
        <v>2000</v>
      </c>
      <c r="BG837" s="57">
        <f ca="1">BF837*(AP837/100)</f>
        <v>0</v>
      </c>
      <c r="BH837" s="57">
        <f>SUMIF(Invoice!A:A,F837,Invoice!B:B)</f>
        <v>0</v>
      </c>
      <c r="BI837" s="57">
        <f ca="1">SUMIF(AS:AS,AS837,BG:BG)</f>
        <v>2000</v>
      </c>
      <c r="BJ837" s="57">
        <f ca="1">MIN((BI837-SUMIF($AS$5:AS836,AS837,$BJ$5:BJ836)),MAX(0,BH837-SUMIF($F$5:F836,F837,$BJ$5:BJ836)))</f>
        <v>0</v>
      </c>
      <c r="BK837" s="57">
        <f ca="1">(-SUMIF(AS:AS,AS837,BG:BG)+SUMIF(AS:AS,AS837,BJ:BJ))*(AP837=100)*AR837</f>
        <v>0</v>
      </c>
      <c r="BL837" s="57">
        <f ca="1">MAX(0,SUMIF(Invoice!A:A,F837,Invoice!B:B)-SUMIF(F:F,F837,BJ:BJ))*(COUNTIF(F:F,F837)=COUNTIF($F$5:F837,F837))</f>
        <v>0</v>
      </c>
    </row>
    <row r="838" spans="1:64" hidden="1">
      <c r="A838" s="43">
        <v>838</v>
      </c>
      <c r="B838" s="13" t="s">
        <v>147</v>
      </c>
      <c r="C838" s="13" t="s">
        <v>146</v>
      </c>
      <c r="D838" s="13">
        <v>2</v>
      </c>
      <c r="E838" s="13">
        <v>2700</v>
      </c>
      <c r="F838" s="71" t="s">
        <v>1926</v>
      </c>
      <c r="G838" s="71" t="s">
        <v>1927</v>
      </c>
      <c r="H838" s="13" t="s">
        <v>1923</v>
      </c>
      <c r="I838" s="13" t="s">
        <v>55</v>
      </c>
      <c r="J838" s="28">
        <v>0</v>
      </c>
      <c r="K838" s="13" t="s">
        <v>150</v>
      </c>
      <c r="L838" s="13" t="s">
        <v>53</v>
      </c>
      <c r="M838" s="13">
        <v>2</v>
      </c>
      <c r="O838" s="13">
        <v>1</v>
      </c>
      <c r="P838" s="13">
        <v>2</v>
      </c>
      <c r="Q838" s="13">
        <v>3</v>
      </c>
      <c r="R838" s="13" t="s">
        <v>73</v>
      </c>
      <c r="S838" s="13" t="s">
        <v>73</v>
      </c>
      <c r="T838" s="13">
        <v>44901</v>
      </c>
      <c r="U838" s="13">
        <v>2958465</v>
      </c>
      <c r="V838" s="13" t="s">
        <v>282</v>
      </c>
      <c r="W838" s="13" t="s">
        <v>145</v>
      </c>
      <c r="Y838" s="13" t="s">
        <v>143</v>
      </c>
      <c r="Z838" s="13">
        <v>7589154</v>
      </c>
      <c r="AA838" s="13">
        <v>1564</v>
      </c>
      <c r="AB838" s="13">
        <v>782</v>
      </c>
      <c r="AE838" s="51">
        <f>M838/O838</f>
        <v>2</v>
      </c>
      <c r="AG838" s="6" t="str">
        <f>C838</f>
        <v>90MB1BJ0-C1BAY0</v>
      </c>
      <c r="AH838" s="6" t="str">
        <f>IF($D838&lt;=AH$4,"",IF(AND($D837=AH$4,$D838&gt;AH$4),$F837,AH837))</f>
        <v>59MB1BJB-MB0A02S</v>
      </c>
      <c r="AI838" s="6" t="str">
        <f>IF($D838&lt;=AI$4,"",IF(AND($D837=AI$4,$D838&gt;AI$4),$F837,AI837))</f>
        <v/>
      </c>
      <c r="AJ838" s="6" t="str">
        <f>IF($D838&lt;=AJ$4,"",IF(AND($D837=AJ$4,$D838&gt;AJ$4),$F837,AJ837))</f>
        <v/>
      </c>
      <c r="AK838" s="6" t="str">
        <f>IF($D838&lt;=AK$4,"",IF(AND($D837=AK$4,$D838&gt;AK$4),$F837,AK837))</f>
        <v/>
      </c>
      <c r="AL838" s="6" t="str">
        <f>IF($D838&lt;=AL$4,"",IF(AND($D837=AL$4,$D838&gt;AL$4),$F837,AL837))</f>
        <v/>
      </c>
      <c r="AM838" s="6" t="str">
        <f>IF($D838&lt;=AM$4,"",IF(AND($D837=AM$4,$D838&gt;AM$4),$F837,AM837))</f>
        <v/>
      </c>
      <c r="AN838" s="6" t="str">
        <f>IF($D838&lt;=AN$4,"",IF(AND($D837=AN$4,$D838&gt;AN$4),$F837,AN837))</f>
        <v/>
      </c>
      <c r="AO838" s="6" t="str">
        <f>CONCATENATE(AG838," | ",AH838," | ",AI838," | ",AJ838," | ",AK838," | ",AL838," | ",AM838," | ",AN838)</f>
        <v xml:space="preserve">90MB1BJ0-C1BAY0 | 59MB1BJB-MB0A02S |  |  |  |  |  | </v>
      </c>
      <c r="AP838" s="6">
        <f>IF(TRIM(H838)="",100,J838)</f>
        <v>0</v>
      </c>
      <c r="AQ838" s="4"/>
      <c r="AR838" s="6" t="b">
        <f>NOT(TRIM(W838)&lt;&gt;"F")</f>
        <v>1</v>
      </c>
      <c r="AS838" s="6" t="str">
        <f>$B838&amp;" | "&amp;$AO838&amp;" | "&amp;IF(TRIM(H838)="","uniq"&amp;ROW(),TRIM(H838))</f>
        <v>461E | 90MB1BJ0-C1BAY0 | 59MB1BJB-MB0A02S |  |  |  |  |  |  | R0</v>
      </c>
      <c r="AT838" s="63">
        <f>IF(NOT(AR838),IF(TRIM($H838)="","Assembly","Phantom Alt"),VLOOKUP(F838,ZPCS04!B:G,6,0))</f>
        <v>1293</v>
      </c>
      <c r="AU838" s="7"/>
      <c r="AV838" s="38">
        <f ca="1">IF(TRIM($W838)="F",OFFSET($A$5,MATCH($AS838,$AS$5:$AS838,0)-1,0),$A838)</f>
        <v>836</v>
      </c>
      <c r="AW838" s="38">
        <f ca="1">IFERROR(OFFSET(ZPCS04!$A$1,MATCH(F838,ZPCS04!B:B,0)-1,0),100)</f>
        <v>2</v>
      </c>
      <c r="AX838" s="7"/>
      <c r="AY838" s="6" t="b">
        <f>SUMIF(AS:AS,AS838,AP:AP)=100</f>
        <v>1</v>
      </c>
      <c r="AZ838" s="6" t="b">
        <f>SUMIF(AS:AS,AS838,AE:AE)/COUNTIF(AS:AS,AS838)=AE838</f>
        <v>1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>C838&amp;" | "&amp;F838</f>
        <v>90MB1BJ0-C1BAY0 | 10G212107214050</v>
      </c>
      <c r="BE838" s="55" t="str">
        <f ca="1">C838&amp;" | "&amp;OFFSET($AF838,0,8-COUNTBLANK($AG838:$AN838))</f>
        <v>90MB1BJ0-C1BAY0 | 59MB1BJB-MB0A02S</v>
      </c>
      <c r="BF838" s="57">
        <f ca="1">IFERROR(VLOOKUP($BE838,$BD$5:$BF837,3,0)*$AE838,VLOOKUP($C838,Demanda!$A:$B,2,0)*$AE838)*IF(AT838="Phantom Alt",$BC838,TRUE)</f>
        <v>2000</v>
      </c>
      <c r="BG838" s="57">
        <f ca="1">BF838*(AP838/100)</f>
        <v>0</v>
      </c>
      <c r="BH838" s="57">
        <f>SUMIF(Invoice!A:A,F838,Invoice!B:B)</f>
        <v>0</v>
      </c>
      <c r="BI838" s="57">
        <f ca="1">SUMIF(AS:AS,AS838,BG:BG)</f>
        <v>2000</v>
      </c>
      <c r="BJ838" s="57">
        <f ca="1">MIN((BI838-SUMIF($AS$5:AS837,AS838,$BJ$5:BJ837)),MAX(0,BH838-SUMIF($F$5:F837,F838,$BJ$5:BJ837)))</f>
        <v>0</v>
      </c>
      <c r="BK838" s="57">
        <f ca="1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4" hidden="1">
      <c r="A839" s="43">
        <v>839</v>
      </c>
      <c r="B839" s="13" t="s">
        <v>147</v>
      </c>
      <c r="C839" s="13" t="s">
        <v>146</v>
      </c>
      <c r="D839" s="13">
        <v>2</v>
      </c>
      <c r="E839" s="13">
        <v>2710</v>
      </c>
      <c r="F839" s="71" t="s">
        <v>1928</v>
      </c>
      <c r="G839" s="71" t="s">
        <v>1929</v>
      </c>
      <c r="I839" s="13" t="s">
        <v>54</v>
      </c>
      <c r="J839" s="28">
        <v>0</v>
      </c>
      <c r="K839" s="13" t="s">
        <v>150</v>
      </c>
      <c r="L839" s="13" t="s">
        <v>53</v>
      </c>
      <c r="M839" s="13">
        <v>7</v>
      </c>
      <c r="N839" s="13">
        <v>7</v>
      </c>
      <c r="O839" s="13">
        <v>1</v>
      </c>
      <c r="R839" s="13" t="s">
        <v>73</v>
      </c>
      <c r="S839" s="13" t="s">
        <v>73</v>
      </c>
      <c r="T839" s="13">
        <v>44901</v>
      </c>
      <c r="U839" s="13">
        <v>2958465</v>
      </c>
      <c r="V839" s="13" t="s">
        <v>282</v>
      </c>
      <c r="W839" s="13" t="s">
        <v>145</v>
      </c>
      <c r="Y839" s="13" t="s">
        <v>143</v>
      </c>
      <c r="Z839" s="13">
        <v>7589154</v>
      </c>
      <c r="AA839" s="13">
        <v>1566</v>
      </c>
      <c r="AB839" s="13">
        <v>783</v>
      </c>
      <c r="AE839" s="51">
        <f>M839/O839</f>
        <v>7</v>
      </c>
      <c r="AG839" s="6" t="str">
        <f>C839</f>
        <v>90MB1BJ0-C1BAY0</v>
      </c>
      <c r="AH839" s="6" t="str">
        <f>IF($D839&lt;=AH$4,"",IF(AND($D838=AH$4,$D839&gt;AH$4),$F838,AH838))</f>
        <v>59MB1BJB-MB0A02S</v>
      </c>
      <c r="AI839" s="6" t="str">
        <f>IF($D839&lt;=AI$4,"",IF(AND($D838=AI$4,$D839&gt;AI$4),$F838,AI838))</f>
        <v/>
      </c>
      <c r="AJ839" s="6" t="str">
        <f>IF($D839&lt;=AJ$4,"",IF(AND($D838=AJ$4,$D839&gt;AJ$4),$F838,AJ838))</f>
        <v/>
      </c>
      <c r="AK839" s="6" t="str">
        <f>IF($D839&lt;=AK$4,"",IF(AND($D838=AK$4,$D839&gt;AK$4),$F838,AK838))</f>
        <v/>
      </c>
      <c r="AL839" s="6" t="str">
        <f>IF($D839&lt;=AL$4,"",IF(AND($D838=AL$4,$D839&gt;AL$4),$F838,AL838))</f>
        <v/>
      </c>
      <c r="AM839" s="6" t="str">
        <f>IF($D839&lt;=AM$4,"",IF(AND($D838=AM$4,$D839&gt;AM$4),$F838,AM838))</f>
        <v/>
      </c>
      <c r="AN839" s="6" t="str">
        <f>IF($D839&lt;=AN$4,"",IF(AND($D838=AN$4,$D839&gt;AN$4),$F838,AN838))</f>
        <v/>
      </c>
      <c r="AO839" s="6" t="str">
        <f>CONCATENATE(AG839," | ",AH839," | ",AI839," | ",AJ839," | ",AK839," | ",AL839," | ",AM839," | ",AN839)</f>
        <v xml:space="preserve">90MB1BJ0-C1BAY0 | 59MB1BJB-MB0A02S |  |  |  |  |  | </v>
      </c>
      <c r="AP839" s="6">
        <f>IF(TRIM(H839)="",100,J839)</f>
        <v>100</v>
      </c>
      <c r="AQ839" s="4"/>
      <c r="AR839" s="6" t="b">
        <f>NOT(TRIM(W839)&lt;&gt;"F")</f>
        <v>1</v>
      </c>
      <c r="AS839" s="6" t="str">
        <f>$B839&amp;" | "&amp;$AO839&amp;" | "&amp;IF(TRIM(H839)="","uniq"&amp;ROW(),TRIM(H839))</f>
        <v>461E | 90MB1BJ0-C1BAY0 | 59MB1BJB-MB0A02S |  |  |  |  |  |  | uniq839</v>
      </c>
      <c r="AT839" s="63">
        <f>IF(NOT(AR839),IF(TRIM($H839)="","Assembly","Phantom Alt"),VLOOKUP(F839,ZPCS04!B:G,6,0))</f>
        <v>112</v>
      </c>
      <c r="AU839" s="7"/>
      <c r="AV839" s="38">
        <f ca="1">IF(TRIM($W839)="F",OFFSET($A$5,MATCH($AS839,$AS$5:$AS839,0)-1,0),$A839)</f>
        <v>839</v>
      </c>
      <c r="AW839" s="38">
        <f ca="1">IFERROR(OFFSET(ZPCS04!$A$1,MATCH(F839,ZPCS04!B:B,0)-1,0),100)</f>
        <v>1.99999992</v>
      </c>
      <c r="AX839" s="7"/>
      <c r="AY839" s="6" t="b">
        <f>SUMIF(AS:AS,AS839,AP:AP)=100</f>
        <v>1</v>
      </c>
      <c r="AZ839" s="6" t="b">
        <f>SUMIF(AS:AS,AS839,AE:AE)/COUNTIF(AS:AS,AS839)=AE839</f>
        <v>1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>C839&amp;" | "&amp;F839</f>
        <v>90MB1BJ0-C1BAY0 | 11011-00024100</v>
      </c>
      <c r="BE839" s="55" t="str">
        <f ca="1">C839&amp;" | "&amp;OFFSET($AF839,0,8-COUNTBLANK($AG839:$AN839))</f>
        <v>90MB1BJ0-C1BAY0 | 59MB1BJB-MB0A02S</v>
      </c>
      <c r="BF839" s="57">
        <f ca="1">IFERROR(VLOOKUP($BE839,$BD$5:$BF838,3,0)*$AE839,VLOOKUP($C839,Demanda!$A:$B,2,0)*$AE839)*IF(AT839="Phantom Alt",$BC839,TRUE)</f>
        <v>7000</v>
      </c>
      <c r="BG839" s="57">
        <f ca="1">BF839*(AP839/100)</f>
        <v>7000</v>
      </c>
      <c r="BH839" s="57">
        <f>SUMIF(Invoice!A:A,F839,Invoice!B:B)</f>
        <v>8000</v>
      </c>
      <c r="BI839" s="57">
        <f ca="1">SUMIF(AS:AS,AS839,BG:BG)</f>
        <v>7000</v>
      </c>
      <c r="BJ839" s="57">
        <f ca="1">MIN((BI839-SUMIF($AS$5:AS838,AS839,$BJ$5:BJ838)),MAX(0,BH839-SUMIF($F$5:F838,F839,$BJ$5:BJ838)))</f>
        <v>7000</v>
      </c>
      <c r="BK839" s="57">
        <f ca="1">(-SUMIF(AS:AS,AS839,BG:BG)+SUMIF(AS:AS,AS839,BJ:BJ))*(AP839=100)*AR839</f>
        <v>0</v>
      </c>
      <c r="BL839" s="57">
        <f ca="1">MAX(0,SUMIF(Invoice!A:A,F839,Invoice!B:B)-SUMIF(F:F,F839,BJ:BJ))*(COUNTIF(F:F,F839)=COUNTIF($F$5:F839,F839))</f>
        <v>1000</v>
      </c>
    </row>
    <row r="840" spans="1:64" hidden="1">
      <c r="A840" s="43">
        <v>840</v>
      </c>
      <c r="B840" s="13" t="s">
        <v>147</v>
      </c>
      <c r="C840" s="13" t="s">
        <v>146</v>
      </c>
      <c r="D840" s="13">
        <v>2</v>
      </c>
      <c r="E840" s="13">
        <v>2720</v>
      </c>
      <c r="F840" s="71" t="s">
        <v>1930</v>
      </c>
      <c r="G840" s="71" t="s">
        <v>1931</v>
      </c>
      <c r="I840" s="13" t="s">
        <v>54</v>
      </c>
      <c r="J840" s="28">
        <v>0</v>
      </c>
      <c r="K840" s="13" t="s">
        <v>150</v>
      </c>
      <c r="L840" s="13" t="s">
        <v>53</v>
      </c>
      <c r="M840" s="13">
        <v>5</v>
      </c>
      <c r="N840" s="13">
        <v>5</v>
      </c>
      <c r="O840" s="13">
        <v>1</v>
      </c>
      <c r="R840" s="13" t="s">
        <v>73</v>
      </c>
      <c r="S840" s="13" t="s">
        <v>73</v>
      </c>
      <c r="T840" s="13">
        <v>44901</v>
      </c>
      <c r="U840" s="13">
        <v>2958465</v>
      </c>
      <c r="V840" s="13" t="s">
        <v>282</v>
      </c>
      <c r="W840" s="13" t="s">
        <v>145</v>
      </c>
      <c r="Y840" s="13" t="s">
        <v>143</v>
      </c>
      <c r="Z840" s="13">
        <v>7589154</v>
      </c>
      <c r="AA840" s="13">
        <v>1568</v>
      </c>
      <c r="AB840" s="13">
        <v>784</v>
      </c>
      <c r="AE840" s="51">
        <f>M840/O840</f>
        <v>5</v>
      </c>
      <c r="AG840" s="6" t="str">
        <f>C840</f>
        <v>90MB1BJ0-C1BAY0</v>
      </c>
      <c r="AH840" s="6" t="str">
        <f>IF($D840&lt;=AH$4,"",IF(AND($D839=AH$4,$D840&gt;AH$4),$F839,AH839))</f>
        <v>59MB1BJB-MB0A02S</v>
      </c>
      <c r="AI840" s="6" t="str">
        <f>IF($D840&lt;=AI$4,"",IF(AND($D839=AI$4,$D840&gt;AI$4),$F839,AI839))</f>
        <v/>
      </c>
      <c r="AJ840" s="6" t="str">
        <f>IF($D840&lt;=AJ$4,"",IF(AND($D839=AJ$4,$D840&gt;AJ$4),$F839,AJ839))</f>
        <v/>
      </c>
      <c r="AK840" s="6" t="str">
        <f>IF($D840&lt;=AK$4,"",IF(AND($D839=AK$4,$D840&gt;AK$4),$F839,AK839))</f>
        <v/>
      </c>
      <c r="AL840" s="6" t="str">
        <f>IF($D840&lt;=AL$4,"",IF(AND($D839=AL$4,$D840&gt;AL$4),$F839,AL839))</f>
        <v/>
      </c>
      <c r="AM840" s="6" t="str">
        <f>IF($D840&lt;=AM$4,"",IF(AND($D839=AM$4,$D840&gt;AM$4),$F839,AM839))</f>
        <v/>
      </c>
      <c r="AN840" s="6" t="str">
        <f>IF($D840&lt;=AN$4,"",IF(AND($D839=AN$4,$D840&gt;AN$4),$F839,AN839))</f>
        <v/>
      </c>
      <c r="AO840" s="6" t="str">
        <f>CONCATENATE(AG840," | ",AH840," | ",AI840," | ",AJ840," | ",AK840," | ",AL840," | ",AM840," | ",AN840)</f>
        <v xml:space="preserve">90MB1BJ0-C1BAY0 | 59MB1BJB-MB0A02S |  |  |  |  |  | </v>
      </c>
      <c r="AP840" s="6">
        <f>IF(TRIM(H840)="",100,J840)</f>
        <v>100</v>
      </c>
      <c r="AQ840" s="4"/>
      <c r="AR840" s="6" t="b">
        <f>NOT(TRIM(W840)&lt;&gt;"F")</f>
        <v>1</v>
      </c>
      <c r="AS840" s="6" t="str">
        <f>$B840&amp;" | "&amp;$AO840&amp;" | "&amp;IF(TRIM(H840)="","uniq"&amp;ROW(),TRIM(H840))</f>
        <v>461E | 90MB1BJ0-C1BAY0 | 59MB1BJB-MB0A02S |  |  |  |  |  |  | uniq840</v>
      </c>
      <c r="AT840" s="63">
        <f>IF(NOT(AR840),IF(TRIM($H840)="","Assembly","Phantom Alt"),VLOOKUP(F840,ZPCS04!B:G,6,0))</f>
        <v>118</v>
      </c>
      <c r="AU840" s="7"/>
      <c r="AV840" s="38">
        <f ca="1">IF(TRIM($W840)="F",OFFSET($A$5,MATCH($AS840,$AS$5:$AS840,0)-1,0),$A840)</f>
        <v>840</v>
      </c>
      <c r="AW840" s="38">
        <f ca="1">IFERROR(OFFSET(ZPCS04!$A$1,MATCH(F840,ZPCS04!B:B,0)-1,0),100)</f>
        <v>1.9999999399999999</v>
      </c>
      <c r="AX840" s="7"/>
      <c r="AY840" s="6" t="b">
        <f>SUMIF(AS:AS,AS840,AP:AP)=100</f>
        <v>1</v>
      </c>
      <c r="AZ840" s="6" t="b">
        <f>SUMIF(AS:AS,AS840,AE:AE)/COUNTIF(AS:AS,AS840)=AE840</f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>C840&amp;" | "&amp;F840</f>
        <v>90MB1BJ0-C1BAY0 | 11031-0001F500</v>
      </c>
      <c r="BE840" s="55" t="str">
        <f ca="1">C840&amp;" | "&amp;OFFSET($AF840,0,8-COUNTBLANK($AG840:$AN840))</f>
        <v>90MB1BJ0-C1BAY0 | 59MB1BJB-MB0A02S</v>
      </c>
      <c r="BF840" s="57">
        <f ca="1">IFERROR(VLOOKUP($BE840,$BD$5:$BF839,3,0)*$AE840,VLOOKUP($C840,Demanda!$A:$B,2,0)*$AE840)*IF(AT840="Phantom Alt",$BC840,TRUE)</f>
        <v>5000</v>
      </c>
      <c r="BG840" s="57">
        <f ca="1">BF840*(AP840/100)</f>
        <v>5000</v>
      </c>
      <c r="BH840" s="57">
        <f>SUMIF(Invoice!A:A,F840,Invoice!B:B)</f>
        <v>6000</v>
      </c>
      <c r="BI840" s="57">
        <f ca="1">SUMIF(AS:AS,AS840,BG:BG)</f>
        <v>5000</v>
      </c>
      <c r="BJ840" s="57">
        <f ca="1">MIN((BI840-SUMIF($AS$5:AS839,AS840,$BJ$5:BJ839)),MAX(0,BH840-SUMIF($F$5:F839,F840,$BJ$5:BJ839)))</f>
        <v>5000</v>
      </c>
      <c r="BK840" s="57">
        <f ca="1">(-SUMIF(AS:AS,AS840,BG:BG)+SUMIF(AS:AS,AS840,BJ:BJ))*(AP840=100)*AR840</f>
        <v>0</v>
      </c>
      <c r="BL840" s="57">
        <f ca="1">MAX(0,SUMIF(Invoice!A:A,F840,Invoice!B:B)-SUMIF(F:F,F840,BJ:BJ))*(COUNTIF(F:F,F840)=COUNTIF($F$5:F840,F840))</f>
        <v>1000</v>
      </c>
    </row>
    <row r="841" spans="1:64" hidden="1">
      <c r="A841" s="43">
        <v>841</v>
      </c>
      <c r="B841" s="13" t="s">
        <v>147</v>
      </c>
      <c r="C841" s="13" t="s">
        <v>146</v>
      </c>
      <c r="D841" s="13">
        <v>2</v>
      </c>
      <c r="E841" s="13">
        <v>2730</v>
      </c>
      <c r="F841" s="71" t="s">
        <v>1932</v>
      </c>
      <c r="G841" s="71" t="s">
        <v>1933</v>
      </c>
      <c r="I841" s="13" t="s">
        <v>54</v>
      </c>
      <c r="J841" s="28">
        <v>0</v>
      </c>
      <c r="K841" s="13" t="s">
        <v>150</v>
      </c>
      <c r="L841" s="13" t="s">
        <v>53</v>
      </c>
      <c r="M841" s="13">
        <v>14</v>
      </c>
      <c r="N841" s="13">
        <v>14</v>
      </c>
      <c r="O841" s="13">
        <v>1</v>
      </c>
      <c r="R841" s="13" t="s">
        <v>73</v>
      </c>
      <c r="S841" s="13" t="s">
        <v>73</v>
      </c>
      <c r="T841" s="13">
        <v>44901</v>
      </c>
      <c r="U841" s="13">
        <v>2958465</v>
      </c>
      <c r="V841" s="13" t="s">
        <v>282</v>
      </c>
      <c r="W841" s="13" t="s">
        <v>145</v>
      </c>
      <c r="Y841" s="13" t="s">
        <v>143</v>
      </c>
      <c r="Z841" s="13">
        <v>7589154</v>
      </c>
      <c r="AA841" s="13">
        <v>1570</v>
      </c>
      <c r="AB841" s="13">
        <v>785</v>
      </c>
      <c r="AE841" s="51">
        <f>M841/O841</f>
        <v>14</v>
      </c>
      <c r="AG841" s="6" t="str">
        <f>C841</f>
        <v>90MB1BJ0-C1BAY0</v>
      </c>
      <c r="AH841" s="6" t="str">
        <f>IF($D841&lt;=AH$4,"",IF(AND($D840=AH$4,$D841&gt;AH$4),$F840,AH840))</f>
        <v>59MB1BJB-MB0A02S</v>
      </c>
      <c r="AI841" s="6" t="str">
        <f>IF($D841&lt;=AI$4,"",IF(AND($D840=AI$4,$D841&gt;AI$4),$F840,AI840))</f>
        <v/>
      </c>
      <c r="AJ841" s="6" t="str">
        <f>IF($D841&lt;=AJ$4,"",IF(AND($D840=AJ$4,$D841&gt;AJ$4),$F840,AJ840))</f>
        <v/>
      </c>
      <c r="AK841" s="6" t="str">
        <f>IF($D841&lt;=AK$4,"",IF(AND($D840=AK$4,$D841&gt;AK$4),$F840,AK840))</f>
        <v/>
      </c>
      <c r="AL841" s="6" t="str">
        <f>IF($D841&lt;=AL$4,"",IF(AND($D840=AL$4,$D841&gt;AL$4),$F840,AL840))</f>
        <v/>
      </c>
      <c r="AM841" s="6" t="str">
        <f>IF($D841&lt;=AM$4,"",IF(AND($D840=AM$4,$D841&gt;AM$4),$F840,AM840))</f>
        <v/>
      </c>
      <c r="AN841" s="6" t="str">
        <f>IF($D841&lt;=AN$4,"",IF(AND($D840=AN$4,$D841&gt;AN$4),$F840,AN840))</f>
        <v/>
      </c>
      <c r="AO841" s="6" t="str">
        <f>CONCATENATE(AG841," | ",AH841," | ",AI841," | ",AJ841," | ",AK841," | ",AL841," | ",AM841," | ",AN841)</f>
        <v xml:space="preserve">90MB1BJ0-C1BAY0 | 59MB1BJB-MB0A02S |  |  |  |  |  | </v>
      </c>
      <c r="AP841" s="6">
        <f>IF(TRIM(H841)="",100,J841)</f>
        <v>100</v>
      </c>
      <c r="AQ841" s="4"/>
      <c r="AR841" s="6" t="b">
        <f>NOT(TRIM(W841)&lt;&gt;"F")</f>
        <v>1</v>
      </c>
      <c r="AS841" s="6" t="str">
        <f>$B841&amp;" | "&amp;$AO841&amp;" | "&amp;IF(TRIM(H841)="","uniq"&amp;ROW(),TRIM(H841))</f>
        <v>461E | 90MB1BJ0-C1BAY0 | 59MB1BJB-MB0A02S |  |  |  |  |  |  | uniq841</v>
      </c>
      <c r="AT841" s="63">
        <f>IF(NOT(AR841),IF(TRIM($H841)="","Assembly","Phantom Alt"),VLOOKUP(F841,ZPCS04!B:G,6,0))</f>
        <v>119</v>
      </c>
      <c r="AU841" s="7"/>
      <c r="AV841" s="38">
        <f ca="1">IF(TRIM($W841)="F",OFFSET($A$5,MATCH($AS841,$AS$5:$AS841,0)-1,0),$A841)</f>
        <v>841</v>
      </c>
      <c r="AW841" s="38">
        <f ca="1">IFERROR(OFFSET(ZPCS04!$A$1,MATCH(F841,ZPCS04!B:B,0)-1,0),100)</f>
        <v>1.99999986</v>
      </c>
      <c r="AX841" s="7"/>
      <c r="AY841" s="6" t="b">
        <f>SUMIF(AS:AS,AS841,AP:AP)=100</f>
        <v>1</v>
      </c>
      <c r="AZ841" s="6" t="b">
        <f>SUMIF(AS:AS,AS841,AE:AE)/COUNTIF(AS:AS,AS841)=AE841</f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>C841&amp;" | "&amp;F841</f>
        <v>90MB1BJ0-C1BAY0 | 11031-0004F600</v>
      </c>
      <c r="BE841" s="55" t="str">
        <f ca="1">C841&amp;" | "&amp;OFFSET($AF841,0,8-COUNTBLANK($AG841:$AN841))</f>
        <v>90MB1BJ0-C1BAY0 | 59MB1BJB-MB0A02S</v>
      </c>
      <c r="BF841" s="57">
        <f ca="1">IFERROR(VLOOKUP($BE841,$BD$5:$BF840,3,0)*$AE841,VLOOKUP($C841,Demanda!$A:$B,2,0)*$AE841)*IF(AT841="Phantom Alt",$BC841,TRUE)</f>
        <v>14000</v>
      </c>
      <c r="BG841" s="57">
        <f ca="1">BF841*(AP841/100)</f>
        <v>14000</v>
      </c>
      <c r="BH841" s="57">
        <f>SUMIF(Invoice!A:A,F841,Invoice!B:B)</f>
        <v>14000</v>
      </c>
      <c r="BI841" s="57">
        <f ca="1">SUMIF(AS:AS,AS841,BG:BG)</f>
        <v>14000</v>
      </c>
      <c r="BJ841" s="57">
        <f ca="1">MIN((BI841-SUMIF($AS$5:AS840,AS841,$BJ$5:BJ840)),MAX(0,BH841-SUMIF($F$5:F840,F841,$BJ$5:BJ840)))</f>
        <v>14000</v>
      </c>
      <c r="BK841" s="57">
        <f ca="1">(-SUMIF(AS:AS,AS841,BG:BG)+SUMIF(AS:AS,AS841,BJ:BJ))*(AP841=100)*AR841</f>
        <v>0</v>
      </c>
      <c r="BL841" s="57">
        <f ca="1">MAX(0,SUMIF(Invoice!A:A,F841,Invoice!B:B)-SUMIF(F:F,F841,BJ:BJ))*(COUNTIF(F:F,F841)=COUNTIF($F$5:F841,F841))</f>
        <v>0</v>
      </c>
    </row>
    <row r="842" spans="1:64" hidden="1">
      <c r="A842" s="43">
        <v>842</v>
      </c>
      <c r="B842" s="13" t="s">
        <v>147</v>
      </c>
      <c r="C842" s="13" t="s">
        <v>146</v>
      </c>
      <c r="D842" s="13">
        <v>2</v>
      </c>
      <c r="E842" s="13">
        <v>2740</v>
      </c>
      <c r="F842" s="71" t="s">
        <v>1934</v>
      </c>
      <c r="G842" s="71" t="s">
        <v>1935</v>
      </c>
      <c r="I842" s="13" t="s">
        <v>54</v>
      </c>
      <c r="J842" s="28">
        <v>0</v>
      </c>
      <c r="K842" s="13" t="s">
        <v>150</v>
      </c>
      <c r="L842" s="13" t="s">
        <v>53</v>
      </c>
      <c r="M842" s="13">
        <v>12</v>
      </c>
      <c r="N842" s="13">
        <v>12</v>
      </c>
      <c r="O842" s="13">
        <v>1</v>
      </c>
      <c r="R842" s="13" t="s">
        <v>73</v>
      </c>
      <c r="S842" s="13" t="s">
        <v>73</v>
      </c>
      <c r="T842" s="13">
        <v>44901</v>
      </c>
      <c r="U842" s="13">
        <v>2958465</v>
      </c>
      <c r="V842" s="13" t="s">
        <v>282</v>
      </c>
      <c r="W842" s="13" t="s">
        <v>145</v>
      </c>
      <c r="Y842" s="13" t="s">
        <v>143</v>
      </c>
      <c r="Z842" s="13">
        <v>7589154</v>
      </c>
      <c r="AA842" s="13">
        <v>1572</v>
      </c>
      <c r="AB842" s="13">
        <v>786</v>
      </c>
      <c r="AE842" s="51">
        <f>M842/O842</f>
        <v>12</v>
      </c>
      <c r="AG842" s="6" t="str">
        <f>C842</f>
        <v>90MB1BJ0-C1BAY0</v>
      </c>
      <c r="AH842" s="6" t="str">
        <f>IF($D842&lt;=AH$4,"",IF(AND($D841=AH$4,$D842&gt;AH$4),$F841,AH841))</f>
        <v>59MB1BJB-MB0A02S</v>
      </c>
      <c r="AI842" s="6" t="str">
        <f>IF($D842&lt;=AI$4,"",IF(AND($D841=AI$4,$D842&gt;AI$4),$F841,AI841))</f>
        <v/>
      </c>
      <c r="AJ842" s="6" t="str">
        <f>IF($D842&lt;=AJ$4,"",IF(AND($D841=AJ$4,$D842&gt;AJ$4),$F841,AJ841))</f>
        <v/>
      </c>
      <c r="AK842" s="6" t="str">
        <f>IF($D842&lt;=AK$4,"",IF(AND($D841=AK$4,$D842&gt;AK$4),$F841,AK841))</f>
        <v/>
      </c>
      <c r="AL842" s="6" t="str">
        <f>IF($D842&lt;=AL$4,"",IF(AND($D841=AL$4,$D842&gt;AL$4),$F841,AL841))</f>
        <v/>
      </c>
      <c r="AM842" s="6" t="str">
        <f>IF($D842&lt;=AM$4,"",IF(AND($D841=AM$4,$D842&gt;AM$4),$F841,AM841))</f>
        <v/>
      </c>
      <c r="AN842" s="6" t="str">
        <f>IF($D842&lt;=AN$4,"",IF(AND($D841=AN$4,$D842&gt;AN$4),$F841,AN841))</f>
        <v/>
      </c>
      <c r="AO842" s="6" t="str">
        <f>CONCATENATE(AG842," | ",AH842," | ",AI842," | ",AJ842," | ",AK842," | ",AL842," | ",AM842," | ",AN842)</f>
        <v xml:space="preserve">90MB1BJ0-C1BAY0 | 59MB1BJB-MB0A02S |  |  |  |  |  | </v>
      </c>
      <c r="AP842" s="6">
        <f>IF(TRIM(H842)="",100,J842)</f>
        <v>100</v>
      </c>
      <c r="AQ842" s="4"/>
      <c r="AR842" s="6" t="b">
        <f>NOT(TRIM(W842)&lt;&gt;"F")</f>
        <v>1</v>
      </c>
      <c r="AS842" s="6" t="str">
        <f>$B842&amp;" | "&amp;$AO842&amp;" | "&amp;IF(TRIM(H842)="","uniq"&amp;ROW(),TRIM(H842))</f>
        <v>461E | 90MB1BJ0-C1BAY0 | 59MB1BJB-MB0A02S |  |  |  |  |  |  | uniq842</v>
      </c>
      <c r="AT842" s="63">
        <f>IF(NOT(AR842),IF(TRIM($H842)="","Assembly","Phantom Alt"),VLOOKUP(F842,ZPCS04!B:G,6,0))</f>
        <v>120</v>
      </c>
      <c r="AU842" s="7"/>
      <c r="AV842" s="38">
        <f ca="1">IF(TRIM($W842)="F",OFFSET($A$5,MATCH($AS842,$AS$5:$AS842,0)-1,0),$A842)</f>
        <v>842</v>
      </c>
      <c r="AW842" s="38">
        <f ca="1">IFERROR(OFFSET(ZPCS04!$A$1,MATCH(F842,ZPCS04!B:B,0)-1,0),100)</f>
        <v>1.9999998799999998</v>
      </c>
      <c r="AX842" s="7"/>
      <c r="AY842" s="6" t="b">
        <f>SUMIF(AS:AS,AS842,AP:AP)=100</f>
        <v>1</v>
      </c>
      <c r="AZ842" s="6" t="b">
        <f>SUMIF(AS:AS,AS842,AE:AE)/COUNTIF(AS:AS,AS842)=AE842</f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>C842&amp;" | "&amp;F842</f>
        <v>90MB1BJ0-C1BAY0 | 11031-0005F300</v>
      </c>
      <c r="BE842" s="55" t="str">
        <f ca="1">C842&amp;" | "&amp;OFFSET($AF842,0,8-COUNTBLANK($AG842:$AN842))</f>
        <v>90MB1BJ0-C1BAY0 | 59MB1BJB-MB0A02S</v>
      </c>
      <c r="BF842" s="57">
        <f ca="1">IFERROR(VLOOKUP($BE842,$BD$5:$BF841,3,0)*$AE842,VLOOKUP($C842,Demanda!$A:$B,2,0)*$AE842)*IF(AT842="Phantom Alt",$BC842,TRUE)</f>
        <v>12000</v>
      </c>
      <c r="BG842" s="57">
        <f ca="1">BF842*(AP842/100)</f>
        <v>12000</v>
      </c>
      <c r="BH842" s="57">
        <f>SUMIF(Invoice!A:A,F842,Invoice!B:B)</f>
        <v>12000</v>
      </c>
      <c r="BI842" s="57">
        <f ca="1">SUMIF(AS:AS,AS842,BG:BG)</f>
        <v>12000</v>
      </c>
      <c r="BJ842" s="57">
        <f ca="1">MIN((BI842-SUMIF($AS$5:AS841,AS842,$BJ$5:BJ841)),MAX(0,BH842-SUMIF($F$5:F841,F842,$BJ$5:BJ841)))</f>
        <v>12000</v>
      </c>
      <c r="BK842" s="57">
        <f ca="1">(-SUMIF(AS:AS,AS842,BG:BG)+SUMIF(AS:AS,AS842,BJ:BJ))*(AP842=100)*AR842</f>
        <v>0</v>
      </c>
      <c r="BL842" s="57">
        <f ca="1">MAX(0,SUMIF(Invoice!A:A,F842,Invoice!B:B)-SUMIF(F:F,F842,BJ:BJ))*(COUNTIF(F:F,F842)=COUNTIF($F$5:F842,F842))</f>
        <v>0</v>
      </c>
    </row>
    <row r="843" spans="1:64" hidden="1">
      <c r="A843" s="43">
        <v>843</v>
      </c>
      <c r="B843" s="13" t="s">
        <v>147</v>
      </c>
      <c r="C843" s="13" t="s">
        <v>146</v>
      </c>
      <c r="D843" s="13">
        <v>2</v>
      </c>
      <c r="E843" s="13">
        <v>2750</v>
      </c>
      <c r="F843" s="71" t="s">
        <v>1936</v>
      </c>
      <c r="G843" s="71" t="s">
        <v>1937</v>
      </c>
      <c r="I843" s="13" t="s">
        <v>54</v>
      </c>
      <c r="J843" s="28">
        <v>0</v>
      </c>
      <c r="K843" s="13" t="s">
        <v>150</v>
      </c>
      <c r="L843" s="13" t="s">
        <v>53</v>
      </c>
      <c r="M843" s="13">
        <v>9</v>
      </c>
      <c r="N843" s="13">
        <v>9</v>
      </c>
      <c r="O843" s="13">
        <v>1</v>
      </c>
      <c r="R843" s="13" t="s">
        <v>73</v>
      </c>
      <c r="S843" s="13" t="s">
        <v>73</v>
      </c>
      <c r="T843" s="13">
        <v>44901</v>
      </c>
      <c r="U843" s="13">
        <v>2958465</v>
      </c>
      <c r="V843" s="13" t="s">
        <v>282</v>
      </c>
      <c r="W843" s="13" t="s">
        <v>145</v>
      </c>
      <c r="Y843" s="13" t="s">
        <v>143</v>
      </c>
      <c r="Z843" s="13">
        <v>7589154</v>
      </c>
      <c r="AA843" s="13">
        <v>1574</v>
      </c>
      <c r="AB843" s="13">
        <v>787</v>
      </c>
      <c r="AE843" s="51">
        <f>M843/O843</f>
        <v>9</v>
      </c>
      <c r="AG843" s="6" t="str">
        <f>C843</f>
        <v>90MB1BJ0-C1BAY0</v>
      </c>
      <c r="AH843" s="6" t="str">
        <f>IF($D843&lt;=AH$4,"",IF(AND($D842=AH$4,$D843&gt;AH$4),$F842,AH842))</f>
        <v>59MB1BJB-MB0A02S</v>
      </c>
      <c r="AI843" s="6" t="str">
        <f>IF($D843&lt;=AI$4,"",IF(AND($D842=AI$4,$D843&gt;AI$4),$F842,AI842))</f>
        <v/>
      </c>
      <c r="AJ843" s="6" t="str">
        <f>IF($D843&lt;=AJ$4,"",IF(AND($D842=AJ$4,$D843&gt;AJ$4),$F842,AJ842))</f>
        <v/>
      </c>
      <c r="AK843" s="6" t="str">
        <f>IF($D843&lt;=AK$4,"",IF(AND($D842=AK$4,$D843&gt;AK$4),$F842,AK842))</f>
        <v/>
      </c>
      <c r="AL843" s="6" t="str">
        <f>IF($D843&lt;=AL$4,"",IF(AND($D842=AL$4,$D843&gt;AL$4),$F842,AL842))</f>
        <v/>
      </c>
      <c r="AM843" s="6" t="str">
        <f>IF($D843&lt;=AM$4,"",IF(AND($D842=AM$4,$D843&gt;AM$4),$F842,AM842))</f>
        <v/>
      </c>
      <c r="AN843" s="6" t="str">
        <f>IF($D843&lt;=AN$4,"",IF(AND($D842=AN$4,$D843&gt;AN$4),$F842,AN842))</f>
        <v/>
      </c>
      <c r="AO843" s="6" t="str">
        <f>CONCATENATE(AG843," | ",AH843," | ",AI843," | ",AJ843," | ",AK843," | ",AL843," | ",AM843," | ",AN843)</f>
        <v xml:space="preserve">90MB1BJ0-C1BAY0 | 59MB1BJB-MB0A02S |  |  |  |  |  | </v>
      </c>
      <c r="AP843" s="6">
        <f>IF(TRIM(H843)="",100,J843)</f>
        <v>100</v>
      </c>
      <c r="AQ843" s="4"/>
      <c r="AR843" s="6" t="b">
        <f>NOT(TRIM(W843)&lt;&gt;"F")</f>
        <v>1</v>
      </c>
      <c r="AS843" s="6" t="str">
        <f>$B843&amp;" | "&amp;$AO843&amp;" | "&amp;IF(TRIM(H843)="","uniq"&amp;ROW(),TRIM(H843))</f>
        <v>461E | 90MB1BJ0-C1BAY0 | 59MB1BJB-MB0A02S |  |  |  |  |  |  | uniq843</v>
      </c>
      <c r="AT843" s="63">
        <f>IF(NOT(AR843),IF(TRIM($H843)="","Assembly","Phantom Alt"),VLOOKUP(F843,ZPCS04!B:G,6,0))</f>
        <v>121</v>
      </c>
      <c r="AU843" s="7"/>
      <c r="AV843" s="38">
        <f ca="1">IF(TRIM($W843)="F",OFFSET($A$5,MATCH($AS843,$AS$5:$AS843,0)-1,0),$A843)</f>
        <v>843</v>
      </c>
      <c r="AW843" s="38">
        <f ca="1">IFERROR(OFFSET(ZPCS04!$A$1,MATCH(F843,ZPCS04!B:B,0)-1,0),100)</f>
        <v>1.9999999040000001</v>
      </c>
      <c r="AX843" s="7"/>
      <c r="AY843" s="6" t="b">
        <f>SUMIF(AS:AS,AS843,AP:AP)=100</f>
        <v>1</v>
      </c>
      <c r="AZ843" s="6" t="b">
        <f>SUMIF(AS:AS,AS843,AE:AE)/COUNTIF(AS:AS,AS843)=AE843</f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>C843&amp;" | "&amp;F843</f>
        <v>90MB1BJ0-C1BAY0 | 11031-0006F300</v>
      </c>
      <c r="BE843" s="55" t="str">
        <f ca="1">C843&amp;" | "&amp;OFFSET($AF843,0,8-COUNTBLANK($AG843:$AN843))</f>
        <v>90MB1BJ0-C1BAY0 | 59MB1BJB-MB0A02S</v>
      </c>
      <c r="BF843" s="57">
        <f ca="1">IFERROR(VLOOKUP($BE843,$BD$5:$BF842,3,0)*$AE843,VLOOKUP($C843,Demanda!$A:$B,2,0)*$AE843)*IF(AT843="Phantom Alt",$BC843,TRUE)</f>
        <v>9000</v>
      </c>
      <c r="BG843" s="57">
        <f ca="1">BF843*(AP843/100)</f>
        <v>9000</v>
      </c>
      <c r="BH843" s="57">
        <f>SUMIF(Invoice!A:A,F843,Invoice!B:B)</f>
        <v>9600</v>
      </c>
      <c r="BI843" s="57">
        <f ca="1">SUMIF(AS:AS,AS843,BG:BG)</f>
        <v>9000</v>
      </c>
      <c r="BJ843" s="57">
        <f ca="1">MIN((BI843-SUMIF($AS$5:AS842,AS843,$BJ$5:BJ842)),MAX(0,BH843-SUMIF($F$5:F842,F843,$BJ$5:BJ842)))</f>
        <v>9000</v>
      </c>
      <c r="BK843" s="57">
        <f ca="1">(-SUMIF(AS:AS,AS843,BG:BG)+SUMIF(AS:AS,AS843,BJ:BJ))*(AP843=100)*AR843</f>
        <v>0</v>
      </c>
      <c r="BL843" s="57">
        <f ca="1">MAX(0,SUMIF(Invoice!A:A,F843,Invoice!B:B)-SUMIF(F:F,F843,BJ:BJ))*(COUNTIF(F:F,F843)=COUNTIF($F$5:F843,F843))</f>
        <v>600</v>
      </c>
    </row>
    <row r="844" spans="1:64" hidden="1">
      <c r="A844" s="43">
        <v>845</v>
      </c>
      <c r="B844" s="13" t="s">
        <v>147</v>
      </c>
      <c r="C844" s="13" t="s">
        <v>146</v>
      </c>
      <c r="D844" s="13">
        <v>2</v>
      </c>
      <c r="E844" s="13">
        <v>2760</v>
      </c>
      <c r="F844" s="71" t="s">
        <v>1941</v>
      </c>
      <c r="G844" s="71" t="s">
        <v>1942</v>
      </c>
      <c r="H844" s="13" t="s">
        <v>1940</v>
      </c>
      <c r="I844" s="13" t="s">
        <v>54</v>
      </c>
      <c r="J844" s="28">
        <v>100</v>
      </c>
      <c r="K844" s="13" t="s">
        <v>150</v>
      </c>
      <c r="L844" s="13" t="s">
        <v>53</v>
      </c>
      <c r="M844" s="13">
        <v>1</v>
      </c>
      <c r="N844" s="13">
        <v>1</v>
      </c>
      <c r="O844" s="13">
        <v>1</v>
      </c>
      <c r="P844" s="13">
        <v>2</v>
      </c>
      <c r="Q844" s="13">
        <v>1</v>
      </c>
      <c r="R844" s="13" t="s">
        <v>73</v>
      </c>
      <c r="S844" s="13" t="s">
        <v>73</v>
      </c>
      <c r="T844" s="13">
        <v>44901</v>
      </c>
      <c r="U844" s="13">
        <v>2958465</v>
      </c>
      <c r="V844" s="13" t="s">
        <v>282</v>
      </c>
      <c r="W844" s="13" t="s">
        <v>145</v>
      </c>
      <c r="Y844" s="13" t="s">
        <v>143</v>
      </c>
      <c r="Z844" s="13">
        <v>7589154</v>
      </c>
      <c r="AA844" s="13">
        <v>1576</v>
      </c>
      <c r="AB844" s="13">
        <v>788</v>
      </c>
      <c r="AE844" s="51">
        <f>M844/O844</f>
        <v>1</v>
      </c>
      <c r="AG844" s="6" t="str">
        <f>C844</f>
        <v>90MB1BJ0-C1BAY0</v>
      </c>
      <c r="AH844" s="6" t="str">
        <f>IF($D844&lt;=AH$4,"",IF(AND($D843=AH$4,$D844&gt;AH$4),$F843,AH843))</f>
        <v>59MB1BJB-MB0A02S</v>
      </c>
      <c r="AI844" s="6" t="str">
        <f>IF($D844&lt;=AI$4,"",IF(AND($D843=AI$4,$D844&gt;AI$4),$F843,AI843))</f>
        <v/>
      </c>
      <c r="AJ844" s="6" t="str">
        <f>IF($D844&lt;=AJ$4,"",IF(AND($D843=AJ$4,$D844&gt;AJ$4),$F843,AJ843))</f>
        <v/>
      </c>
      <c r="AK844" s="6" t="str">
        <f>IF($D844&lt;=AK$4,"",IF(AND($D843=AK$4,$D844&gt;AK$4),$F843,AK843))</f>
        <v/>
      </c>
      <c r="AL844" s="6" t="str">
        <f>IF($D844&lt;=AL$4,"",IF(AND($D843=AL$4,$D844&gt;AL$4),$F843,AL843))</f>
        <v/>
      </c>
      <c r="AM844" s="6" t="str">
        <f>IF($D844&lt;=AM$4,"",IF(AND($D843=AM$4,$D844&gt;AM$4),$F843,AM843))</f>
        <v/>
      </c>
      <c r="AN844" s="6" t="str">
        <f>IF($D844&lt;=AN$4,"",IF(AND($D843=AN$4,$D844&gt;AN$4),$F843,AN843))</f>
        <v/>
      </c>
      <c r="AO844" s="6" t="str">
        <f>CONCATENATE(AG844," | ",AH844," | ",AI844," | ",AJ844," | ",AK844," | ",AL844," | ",AM844," | ",AN844)</f>
        <v xml:space="preserve">90MB1BJ0-C1BAY0 | 59MB1BJB-MB0A02S |  |  |  |  |  | </v>
      </c>
      <c r="AP844" s="6">
        <f>IF(TRIM(H844)="",100,J844)</f>
        <v>100</v>
      </c>
      <c r="AQ844" s="4"/>
      <c r="AR844" s="6" t="b">
        <f>NOT(TRIM(W844)&lt;&gt;"F")</f>
        <v>1</v>
      </c>
      <c r="AS844" s="6" t="str">
        <f>$B844&amp;" | "&amp;$AO844&amp;" | "&amp;IF(TRIM(H844)="","uniq"&amp;ROW(),TRIM(H844))</f>
        <v>461E | 90MB1BJ0-C1BAY0 | 59MB1BJB-MB0A02S |  |  |  |  |  |  | R6</v>
      </c>
      <c r="AT844" s="63">
        <f>IF(NOT(AR844),IF(TRIM($H844)="","Assembly","Phantom Alt"),VLOOKUP(F844,ZPCS04!B:G,6,0))</f>
        <v>338</v>
      </c>
      <c r="AU844" s="7"/>
      <c r="AV844" s="38">
        <f ca="1">IF(TRIM($W844)="F",OFFSET($A$5,MATCH($AS844,$AS$5:$AS844,0)-1,0),$A844)</f>
        <v>845</v>
      </c>
      <c r="AW844" s="38">
        <f ca="1">IFERROR(OFFSET(ZPCS04!$A$1,MATCH(F844,ZPCS04!B:B,0)-1,0),100)</f>
        <v>1.9999999885599999</v>
      </c>
      <c r="AX844" s="7"/>
      <c r="AY844" s="6" t="b">
        <f>SUMIF(AS:AS,AS844,AP:AP)=100</f>
        <v>1</v>
      </c>
      <c r="AZ844" s="6" t="b">
        <f>SUMIF(AS:AS,AS844,AE:AE)/COUNTIF(AS:AS,AS844)=AE844</f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>C844&amp;" | "&amp;F844</f>
        <v>90MB1BJ0-C1BAY0 | 12003-00250400</v>
      </c>
      <c r="BE844" s="55" t="str">
        <f ca="1">C844&amp;" | "&amp;OFFSET($AF844,0,8-COUNTBLANK($AG844:$AN844))</f>
        <v>90MB1BJ0-C1BAY0 | 59MB1BJB-MB0A02S</v>
      </c>
      <c r="BF844" s="57">
        <f ca="1">IFERROR(VLOOKUP($BE844,$BD$5:$BF843,3,0)*$AE844,VLOOKUP($C844,Demanda!$A:$B,2,0)*$AE844)*IF(AT844="Phantom Alt",$BC844,TRUE)</f>
        <v>1000</v>
      </c>
      <c r="BG844" s="57">
        <f ca="1">BF844*(AP844/100)</f>
        <v>1000</v>
      </c>
      <c r="BH844" s="57">
        <f>SUMIF(Invoice!A:A,F844,Invoice!B:B)</f>
        <v>1144</v>
      </c>
      <c r="BI844" s="57">
        <f ca="1">SUMIF(AS:AS,AS844,BG:BG)</f>
        <v>1000</v>
      </c>
      <c r="BJ844" s="57">
        <f ca="1">MIN((BI844-SUMIF($AS$5:AS843,AS844,$BJ$5:BJ843)),MAX(0,BH844-SUMIF($F$5:F843,F844,$BJ$5:BJ843)))</f>
        <v>1000</v>
      </c>
      <c r="BK844" s="57">
        <f ca="1">(-SUMIF(AS:AS,AS844,BG:BG)+SUMIF(AS:AS,AS844,BJ:BJ))*(AP844=100)*AR844</f>
        <v>0</v>
      </c>
      <c r="BL844" s="57">
        <f ca="1">MAX(0,SUMIF(Invoice!A:A,F844,Invoice!B:B)-SUMIF(F:F,F844,BJ:BJ))*(COUNTIF(F:F,F844)=COUNTIF($F$5:F844,F844))</f>
        <v>144</v>
      </c>
    </row>
    <row r="845" spans="1:64" hidden="1">
      <c r="A845" s="43">
        <v>844</v>
      </c>
      <c r="B845" s="13" t="s">
        <v>147</v>
      </c>
      <c r="C845" s="13" t="s">
        <v>146</v>
      </c>
      <c r="D845" s="13">
        <v>2</v>
      </c>
      <c r="E845" s="13">
        <v>2760</v>
      </c>
      <c r="F845" s="71" t="s">
        <v>1938</v>
      </c>
      <c r="G845" s="71" t="s">
        <v>1939</v>
      </c>
      <c r="H845" s="13" t="s">
        <v>1940</v>
      </c>
      <c r="I845" s="13" t="s">
        <v>55</v>
      </c>
      <c r="J845" s="28">
        <v>0</v>
      </c>
      <c r="K845" s="13" t="s">
        <v>150</v>
      </c>
      <c r="L845" s="13" t="s">
        <v>53</v>
      </c>
      <c r="M845" s="13">
        <v>1</v>
      </c>
      <c r="O845" s="13">
        <v>1</v>
      </c>
      <c r="P845" s="13">
        <v>2</v>
      </c>
      <c r="Q845" s="13">
        <v>2</v>
      </c>
      <c r="R845" s="13" t="s">
        <v>73</v>
      </c>
      <c r="S845" s="13" t="s">
        <v>73</v>
      </c>
      <c r="T845" s="13">
        <v>44901</v>
      </c>
      <c r="U845" s="13">
        <v>2958465</v>
      </c>
      <c r="V845" s="13" t="s">
        <v>282</v>
      </c>
      <c r="W845" s="13" t="s">
        <v>145</v>
      </c>
      <c r="Y845" s="13" t="s">
        <v>143</v>
      </c>
      <c r="Z845" s="13">
        <v>7589154</v>
      </c>
      <c r="AA845" s="13">
        <v>1578</v>
      </c>
      <c r="AB845" s="13">
        <v>789</v>
      </c>
      <c r="AE845" s="51">
        <f>M845/O845</f>
        <v>1</v>
      </c>
      <c r="AG845" s="6" t="str">
        <f>C845</f>
        <v>90MB1BJ0-C1BAY0</v>
      </c>
      <c r="AH845" s="6" t="str">
        <f>IF($D845&lt;=AH$4,"",IF(AND($D844=AH$4,$D845&gt;AH$4),$F844,AH844))</f>
        <v>59MB1BJB-MB0A02S</v>
      </c>
      <c r="AI845" s="6" t="str">
        <f>IF($D845&lt;=AI$4,"",IF(AND($D844=AI$4,$D845&gt;AI$4),$F844,AI844))</f>
        <v/>
      </c>
      <c r="AJ845" s="6" t="str">
        <f>IF($D845&lt;=AJ$4,"",IF(AND($D844=AJ$4,$D845&gt;AJ$4),$F844,AJ844))</f>
        <v/>
      </c>
      <c r="AK845" s="6" t="str">
        <f>IF($D845&lt;=AK$4,"",IF(AND($D844=AK$4,$D845&gt;AK$4),$F844,AK844))</f>
        <v/>
      </c>
      <c r="AL845" s="6" t="str">
        <f>IF($D845&lt;=AL$4,"",IF(AND($D844=AL$4,$D845&gt;AL$4),$F844,AL844))</f>
        <v/>
      </c>
      <c r="AM845" s="6" t="str">
        <f>IF($D845&lt;=AM$4,"",IF(AND($D844=AM$4,$D845&gt;AM$4),$F844,AM844))</f>
        <v/>
      </c>
      <c r="AN845" s="6" t="str">
        <f>IF($D845&lt;=AN$4,"",IF(AND($D844=AN$4,$D845&gt;AN$4),$F844,AN844))</f>
        <v/>
      </c>
      <c r="AO845" s="6" t="str">
        <f>CONCATENATE(AG845," | ",AH845," | ",AI845," | ",AJ845," | ",AK845," | ",AL845," | ",AM845," | ",AN845)</f>
        <v xml:space="preserve">90MB1BJ0-C1BAY0 | 59MB1BJB-MB0A02S |  |  |  |  |  | </v>
      </c>
      <c r="AP845" s="6">
        <f>IF(TRIM(H845)="",100,J845)</f>
        <v>0</v>
      </c>
      <c r="AQ845" s="4"/>
      <c r="AR845" s="6" t="b">
        <f>NOT(TRIM(W845)&lt;&gt;"F")</f>
        <v>1</v>
      </c>
      <c r="AS845" s="6" t="str">
        <f>$B845&amp;" | "&amp;$AO845&amp;" | "&amp;IF(TRIM(H845)="","uniq"&amp;ROW(),TRIM(H845))</f>
        <v>461E | 90MB1BJ0-C1BAY0 | 59MB1BJB-MB0A02S |  |  |  |  |  |  | R6</v>
      </c>
      <c r="AT845" s="63">
        <f>IF(NOT(AR845),IF(TRIM($H845)="","Assembly","Phantom Alt"),VLOOKUP(F845,ZPCS04!B:G,6,0))</f>
        <v>338</v>
      </c>
      <c r="AU845" s="7"/>
      <c r="AV845" s="38">
        <f ca="1">IF(TRIM($W845)="F",OFFSET($A$5,MATCH($AS845,$AS$5:$AS845,0)-1,0),$A845)</f>
        <v>845</v>
      </c>
      <c r="AW845" s="38">
        <f ca="1">IFERROR(OFFSET(ZPCS04!$A$1,MATCH(F845,ZPCS04!B:B,0)-1,0),100)</f>
        <v>2</v>
      </c>
      <c r="AX845" s="7"/>
      <c r="AY845" s="6" t="b">
        <f>SUMIF(AS:AS,AS845,AP:AP)=100</f>
        <v>1</v>
      </c>
      <c r="AZ845" s="6" t="b">
        <f>SUMIF(AS:AS,AS845,AE:AE)/COUNTIF(AS:AS,AS845)=AE845</f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>C845&amp;" | "&amp;F845</f>
        <v>90MB1BJ0-C1BAY0 | 12003-00250200</v>
      </c>
      <c r="BE845" s="55" t="str">
        <f ca="1">C845&amp;" | "&amp;OFFSET($AF845,0,8-COUNTBLANK($AG845:$AN845))</f>
        <v>90MB1BJ0-C1BAY0 | 59MB1BJB-MB0A02S</v>
      </c>
      <c r="BF845" s="57">
        <f ca="1">IFERROR(VLOOKUP($BE845,$BD$5:$BF844,3,0)*$AE845,VLOOKUP($C845,Demanda!$A:$B,2,0)*$AE845)*IF(AT845="Phantom Alt",$BC845,TRUE)</f>
        <v>1000</v>
      </c>
      <c r="BG845" s="57">
        <f ca="1">BF845*(AP845/100)</f>
        <v>0</v>
      </c>
      <c r="BH845" s="57">
        <f>SUMIF(Invoice!A:A,F845,Invoice!B:B)</f>
        <v>0</v>
      </c>
      <c r="BI845" s="57">
        <f ca="1">SUMIF(AS:AS,AS845,BG:BG)</f>
        <v>1000</v>
      </c>
      <c r="BJ845" s="57">
        <f ca="1">MIN((BI845-SUMIF($AS$5:AS844,AS845,$BJ$5:BJ844)),MAX(0,BH845-SUMIF($F$5:F844,F845,$BJ$5:BJ844)))</f>
        <v>0</v>
      </c>
      <c r="BK845" s="57">
        <f ca="1">(-SUMIF(AS:AS,AS845,BG:BG)+SUMIF(AS:AS,AS845,BJ:BJ))*(AP845=100)*AR845</f>
        <v>0</v>
      </c>
      <c r="BL845" s="57">
        <f ca="1">MAX(0,SUMIF(Invoice!A:A,F845,Invoice!B:B)-SUMIF(F:F,F845,BJ:BJ))*(COUNTIF(F:F,F845)=COUNTIF($F$5:F845,F845))</f>
        <v>0</v>
      </c>
    </row>
    <row r="846" spans="1:64" hidden="1">
      <c r="A846" s="43">
        <v>846</v>
      </c>
      <c r="B846" s="13" t="s">
        <v>147</v>
      </c>
      <c r="C846" s="13" t="s">
        <v>146</v>
      </c>
      <c r="D846" s="13">
        <v>2</v>
      </c>
      <c r="E846" s="13">
        <v>2770</v>
      </c>
      <c r="F846" s="71" t="s">
        <v>1943</v>
      </c>
      <c r="G846" s="71" t="s">
        <v>1944</v>
      </c>
      <c r="I846" s="13" t="s">
        <v>54</v>
      </c>
      <c r="J846" s="28">
        <v>0</v>
      </c>
      <c r="K846" s="13" t="s">
        <v>150</v>
      </c>
      <c r="L846" s="13" t="s">
        <v>53</v>
      </c>
      <c r="M846" s="13">
        <v>1</v>
      </c>
      <c r="N846" s="13">
        <v>1</v>
      </c>
      <c r="O846" s="13">
        <v>1</v>
      </c>
      <c r="R846" s="13" t="s">
        <v>73</v>
      </c>
      <c r="S846" s="13" t="s">
        <v>73</v>
      </c>
      <c r="T846" s="13">
        <v>44901</v>
      </c>
      <c r="U846" s="13">
        <v>2958465</v>
      </c>
      <c r="V846" s="13" t="s">
        <v>282</v>
      </c>
      <c r="W846" s="13" t="s">
        <v>145</v>
      </c>
      <c r="Y846" s="13" t="s">
        <v>143</v>
      </c>
      <c r="Z846" s="13">
        <v>7589154</v>
      </c>
      <c r="AA846" s="13">
        <v>1580</v>
      </c>
      <c r="AB846" s="13">
        <v>790</v>
      </c>
      <c r="AE846" s="51">
        <f>M846/O846</f>
        <v>1</v>
      </c>
      <c r="AG846" s="6" t="str">
        <f>C846</f>
        <v>90MB1BJ0-C1BAY0</v>
      </c>
      <c r="AH846" s="6" t="str">
        <f>IF($D846&lt;=AH$4,"",IF(AND($D845=AH$4,$D846&gt;AH$4),$F845,AH845))</f>
        <v>59MB1BJB-MB0A02S</v>
      </c>
      <c r="AI846" s="6" t="str">
        <f>IF($D846&lt;=AI$4,"",IF(AND($D845=AI$4,$D846&gt;AI$4),$F845,AI845))</f>
        <v/>
      </c>
      <c r="AJ846" s="6" t="str">
        <f>IF($D846&lt;=AJ$4,"",IF(AND($D845=AJ$4,$D846&gt;AJ$4),$F845,AJ845))</f>
        <v/>
      </c>
      <c r="AK846" s="6" t="str">
        <f>IF($D846&lt;=AK$4,"",IF(AND($D845=AK$4,$D846&gt;AK$4),$F845,AK845))</f>
        <v/>
      </c>
      <c r="AL846" s="6" t="str">
        <f>IF($D846&lt;=AL$4,"",IF(AND($D845=AL$4,$D846&gt;AL$4),$F845,AL845))</f>
        <v/>
      </c>
      <c r="AM846" s="6" t="str">
        <f>IF($D846&lt;=AM$4,"",IF(AND($D845=AM$4,$D846&gt;AM$4),$F845,AM845))</f>
        <v/>
      </c>
      <c r="AN846" s="6" t="str">
        <f>IF($D846&lt;=AN$4,"",IF(AND($D845=AN$4,$D846&gt;AN$4),$F845,AN845))</f>
        <v/>
      </c>
      <c r="AO846" s="6" t="str">
        <f>CONCATENATE(AG846," | ",AH846," | ",AI846," | ",AJ846," | ",AK846," | ",AL846," | ",AM846," | ",AN846)</f>
        <v xml:space="preserve">90MB1BJ0-C1BAY0 | 59MB1BJB-MB0A02S |  |  |  |  |  | </v>
      </c>
      <c r="AP846" s="6">
        <f>IF(TRIM(H846)="",100,J846)</f>
        <v>100</v>
      </c>
      <c r="AQ846" s="4"/>
      <c r="AR846" s="6" t="b">
        <f>NOT(TRIM(W846)&lt;&gt;"F")</f>
        <v>1</v>
      </c>
      <c r="AS846" s="6" t="str">
        <f>$B846&amp;" | "&amp;$AO846&amp;" | "&amp;IF(TRIM(H846)="","uniq"&amp;ROW(),TRIM(H846))</f>
        <v>461E | 90MB1BJ0-C1BAY0 | 59MB1BJB-MB0A02S |  |  |  |  |  |  | uniq846</v>
      </c>
      <c r="AT846" s="63">
        <f>IF(NOT(AR846),IF(TRIM($H846)="","Assembly","Phantom Alt"),VLOOKUP(F846,ZPCS04!B:G,6,0))</f>
        <v>134</v>
      </c>
      <c r="AU846" s="7"/>
      <c r="AV846" s="38">
        <f ca="1">IF(TRIM($W846)="F",OFFSET($A$5,MATCH($AS846,$AS$5:$AS846,0)-1,0),$A846)</f>
        <v>846</v>
      </c>
      <c r="AW846" s="38">
        <f ca="1">IFERROR(OFFSET(ZPCS04!$A$1,MATCH(F846,ZPCS04!B:B,0)-1,0),100)</f>
        <v>1.9999999879999999</v>
      </c>
      <c r="AX846" s="7"/>
      <c r="AY846" s="6" t="b">
        <f>SUMIF(AS:AS,AS846,AP:AP)=100</f>
        <v>1</v>
      </c>
      <c r="AZ846" s="6" t="b">
        <f>SUMIF(AS:AS,AS846,AE:AE)/COUNTIF(AS:AS,AS846)=AE846</f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>C846&amp;" | "&amp;F846</f>
        <v>90MB1BJ0-C1BAY0 | 12003-00390000</v>
      </c>
      <c r="BE846" s="55" t="str">
        <f ca="1">C846&amp;" | "&amp;OFFSET($AF846,0,8-COUNTBLANK($AG846:$AN846))</f>
        <v>90MB1BJ0-C1BAY0 | 59MB1BJB-MB0A02S</v>
      </c>
      <c r="BF846" s="57">
        <f ca="1">IFERROR(VLOOKUP($BE846,$BD$5:$BF845,3,0)*$AE846,VLOOKUP($C846,Demanda!$A:$B,2,0)*$AE846)*IF(AT846="Phantom Alt",$BC846,TRUE)</f>
        <v>1000</v>
      </c>
      <c r="BG846" s="57">
        <f ca="1">BF846*(AP846/100)</f>
        <v>1000</v>
      </c>
      <c r="BH846" s="57">
        <f>SUMIF(Invoice!A:A,F846,Invoice!B:B)</f>
        <v>1200</v>
      </c>
      <c r="BI846" s="57">
        <f ca="1">SUMIF(AS:AS,AS846,BG:BG)</f>
        <v>1000</v>
      </c>
      <c r="BJ846" s="57">
        <f ca="1">MIN((BI846-SUMIF($AS$5:AS845,AS846,$BJ$5:BJ845)),MAX(0,BH846-SUMIF($F$5:F845,F846,$BJ$5:BJ845)))</f>
        <v>1000</v>
      </c>
      <c r="BK846" s="57">
        <f ca="1">(-SUMIF(AS:AS,AS846,BG:BG)+SUMIF(AS:AS,AS846,BJ:BJ))*(AP846=100)*AR846</f>
        <v>0</v>
      </c>
      <c r="BL846" s="57">
        <f ca="1">MAX(0,SUMIF(Invoice!A:A,F846,Invoice!B:B)-SUMIF(F:F,F846,BJ:BJ))*(COUNTIF(F:F,F846)=COUNTIF($F$5:F846,F846))</f>
        <v>200</v>
      </c>
    </row>
    <row r="847" spans="1:64" hidden="1">
      <c r="A847" s="43">
        <v>848</v>
      </c>
      <c r="B847" s="13" t="s">
        <v>147</v>
      </c>
      <c r="C847" s="13" t="s">
        <v>146</v>
      </c>
      <c r="D847" s="13">
        <v>2</v>
      </c>
      <c r="E847" s="13">
        <v>2780</v>
      </c>
      <c r="F847" s="71" t="s">
        <v>1948</v>
      </c>
      <c r="G847" s="71" t="s">
        <v>1949</v>
      </c>
      <c r="H847" s="13" t="s">
        <v>1947</v>
      </c>
      <c r="I847" s="13" t="s">
        <v>55</v>
      </c>
      <c r="J847" s="28">
        <v>0</v>
      </c>
      <c r="K847" s="13" t="s">
        <v>150</v>
      </c>
      <c r="L847" s="13" t="s">
        <v>53</v>
      </c>
      <c r="M847" s="13">
        <v>1</v>
      </c>
      <c r="O847" s="13">
        <v>1</v>
      </c>
      <c r="P847" s="13">
        <v>2</v>
      </c>
      <c r="Q847" s="13">
        <v>2</v>
      </c>
      <c r="R847" s="13" t="s">
        <v>73</v>
      </c>
      <c r="S847" s="13" t="s">
        <v>73</v>
      </c>
      <c r="T847" s="13">
        <v>44901</v>
      </c>
      <c r="U847" s="13">
        <v>2958465</v>
      </c>
      <c r="V847" s="13" t="s">
        <v>282</v>
      </c>
      <c r="W847" s="13" t="s">
        <v>145</v>
      </c>
      <c r="Y847" s="13" t="s">
        <v>143</v>
      </c>
      <c r="Z847" s="13">
        <v>7589154</v>
      </c>
      <c r="AA847" s="13">
        <v>1584</v>
      </c>
      <c r="AB847" s="13">
        <v>792</v>
      </c>
      <c r="AE847" s="51">
        <f>M847/O847</f>
        <v>1</v>
      </c>
      <c r="AG847" s="6" t="str">
        <f>C847</f>
        <v>90MB1BJ0-C1BAY0</v>
      </c>
      <c r="AH847" s="6" t="str">
        <f>IF($D847&lt;=AH$4,"",IF(AND($D846=AH$4,$D847&gt;AH$4),$F846,AH846))</f>
        <v>59MB1BJB-MB0A02S</v>
      </c>
      <c r="AI847" s="6" t="str">
        <f>IF($D847&lt;=AI$4,"",IF(AND($D846=AI$4,$D847&gt;AI$4),$F846,AI846))</f>
        <v/>
      </c>
      <c r="AJ847" s="6" t="str">
        <f>IF($D847&lt;=AJ$4,"",IF(AND($D846=AJ$4,$D847&gt;AJ$4),$F846,AJ846))</f>
        <v/>
      </c>
      <c r="AK847" s="6" t="str">
        <f>IF($D847&lt;=AK$4,"",IF(AND($D846=AK$4,$D847&gt;AK$4),$F846,AK846))</f>
        <v/>
      </c>
      <c r="AL847" s="6" t="str">
        <f>IF($D847&lt;=AL$4,"",IF(AND($D846=AL$4,$D847&gt;AL$4),$F846,AL846))</f>
        <v/>
      </c>
      <c r="AM847" s="6" t="str">
        <f>IF($D847&lt;=AM$4,"",IF(AND($D846=AM$4,$D847&gt;AM$4),$F846,AM846))</f>
        <v/>
      </c>
      <c r="AN847" s="6" t="str">
        <f>IF($D847&lt;=AN$4,"",IF(AND($D846=AN$4,$D847&gt;AN$4),$F846,AN846))</f>
        <v/>
      </c>
      <c r="AO847" s="6" t="str">
        <f>CONCATENATE(AG847," | ",AH847," | ",AI847," | ",AJ847," | ",AK847," | ",AL847," | ",AM847," | ",AN847)</f>
        <v xml:space="preserve">90MB1BJ0-C1BAY0 | 59MB1BJB-MB0A02S |  |  |  |  |  | </v>
      </c>
      <c r="AP847" s="6">
        <f>IF(TRIM(H847)="",100,J847)</f>
        <v>0</v>
      </c>
      <c r="AQ847" s="4"/>
      <c r="AR847" s="6" t="b">
        <f>NOT(TRIM(W847)&lt;&gt;"F")</f>
        <v>1</v>
      </c>
      <c r="AS847" s="6" t="str">
        <f>$B847&amp;" | "&amp;$AO847&amp;" | "&amp;IF(TRIM(H847)="","uniq"&amp;ROW(),TRIM(H847))</f>
        <v>461E | 90MB1BJ0-C1BAY0 | 59MB1BJB-MB0A02S |  |  |  |  |  |  | R8</v>
      </c>
      <c r="AT847" s="63">
        <f>IF(NOT(AR847),IF(TRIM($H847)="","Assembly","Phantom Alt"),VLOOKUP(F847,ZPCS04!B:G,6,0))</f>
        <v>1008</v>
      </c>
      <c r="AU847" s="7"/>
      <c r="AV847" s="38">
        <f ca="1">IF(TRIM($W847)="F",OFFSET($A$5,MATCH($AS847,$AS$5:$AS847,0)-1,0),$A847)</f>
        <v>848</v>
      </c>
      <c r="AW847" s="38">
        <f ca="1">IFERROR(OFFSET(ZPCS04!$A$1,MATCH(F847,ZPCS04!B:B,0)-1,0),100)</f>
        <v>1.9999999900000001</v>
      </c>
      <c r="AX847" s="7"/>
      <c r="AY847" s="6" t="b">
        <f>SUMIF(AS:AS,AS847,AP:AP)=100</f>
        <v>1</v>
      </c>
      <c r="AZ847" s="6" t="b">
        <f>SUMIF(AS:AS,AS847,AE:AE)/COUNTIF(AS:AS,AS847)=AE847</f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>C847&amp;" | "&amp;F847</f>
        <v>90MB1BJ0-C1BAY0 | 12G06100006C</v>
      </c>
      <c r="BE847" s="55" t="str">
        <f ca="1">C847&amp;" | "&amp;OFFSET($AF847,0,8-COUNTBLANK($AG847:$AN847))</f>
        <v>90MB1BJ0-C1BAY0 | 59MB1BJB-MB0A02S</v>
      </c>
      <c r="BF847" s="57">
        <f ca="1">IFERROR(VLOOKUP($BE847,$BD$5:$BF846,3,0)*$AE847,VLOOKUP($C847,Demanda!$A:$B,2,0)*$AE847)*IF(AT847="Phantom Alt",$BC847,TRUE)</f>
        <v>1000</v>
      </c>
      <c r="BG847" s="57">
        <f ca="1">BF847*(AP847/100)</f>
        <v>0</v>
      </c>
      <c r="BH847" s="57">
        <f>SUMIF(Invoice!A:A,F847,Invoice!B:B)</f>
        <v>1000</v>
      </c>
      <c r="BI847" s="57">
        <f ca="1">SUMIF(AS:AS,AS847,BG:BG)</f>
        <v>1000</v>
      </c>
      <c r="BJ847" s="57">
        <f ca="1">MIN((BI847-SUMIF($AS$5:AS846,AS847,$BJ$5:BJ846)),MAX(0,BH847-SUMIF($F$5:F846,F847,$BJ$5:BJ846)))</f>
        <v>1000</v>
      </c>
      <c r="BK847" s="57">
        <f ca="1">(-SUMIF(AS:AS,AS847,BG:BG)+SUMIF(AS:AS,AS847,BJ:BJ))*(AP847=100)*AR847</f>
        <v>0</v>
      </c>
      <c r="BL847" s="57">
        <f ca="1">MAX(0,SUMIF(Invoice!A:A,F847,Invoice!B:B)-SUMIF(F:F,F847,BJ:BJ))*(COUNTIF(F:F,F847)=COUNTIF($F$5:F847,F847))</f>
        <v>0</v>
      </c>
    </row>
    <row r="848" spans="1:64" hidden="1">
      <c r="A848" s="43">
        <v>847</v>
      </c>
      <c r="B848" s="13" t="s">
        <v>147</v>
      </c>
      <c r="C848" s="13" t="s">
        <v>146</v>
      </c>
      <c r="D848" s="13">
        <v>2</v>
      </c>
      <c r="E848" s="13">
        <v>2780</v>
      </c>
      <c r="F848" s="71" t="s">
        <v>1945</v>
      </c>
      <c r="G848" s="71" t="s">
        <v>1946</v>
      </c>
      <c r="H848" s="13" t="s">
        <v>1947</v>
      </c>
      <c r="I848" s="13" t="s">
        <v>54</v>
      </c>
      <c r="J848" s="28">
        <v>100</v>
      </c>
      <c r="K848" s="13" t="s">
        <v>150</v>
      </c>
      <c r="L848" s="13" t="s">
        <v>53</v>
      </c>
      <c r="M848" s="13">
        <v>1</v>
      </c>
      <c r="N848" s="13">
        <v>1</v>
      </c>
      <c r="O848" s="13">
        <v>1</v>
      </c>
      <c r="P848" s="13">
        <v>2</v>
      </c>
      <c r="Q848" s="13">
        <v>1</v>
      </c>
      <c r="R848" s="13" t="s">
        <v>73</v>
      </c>
      <c r="S848" s="13" t="s">
        <v>73</v>
      </c>
      <c r="T848" s="13">
        <v>44901</v>
      </c>
      <c r="U848" s="13">
        <v>2958465</v>
      </c>
      <c r="V848" s="13" t="s">
        <v>282</v>
      </c>
      <c r="W848" s="13" t="s">
        <v>145</v>
      </c>
      <c r="Y848" s="13" t="s">
        <v>143</v>
      </c>
      <c r="Z848" s="13">
        <v>7589154</v>
      </c>
      <c r="AA848" s="13">
        <v>1582</v>
      </c>
      <c r="AB848" s="13">
        <v>791</v>
      </c>
      <c r="AE848" s="51">
        <f>M848/O848</f>
        <v>1</v>
      </c>
      <c r="AG848" s="6" t="str">
        <f>C848</f>
        <v>90MB1BJ0-C1BAY0</v>
      </c>
      <c r="AH848" s="6" t="str">
        <f>IF($D848&lt;=AH$4,"",IF(AND($D847=AH$4,$D848&gt;AH$4),$F847,AH847))</f>
        <v>59MB1BJB-MB0A02S</v>
      </c>
      <c r="AI848" s="6" t="str">
        <f>IF($D848&lt;=AI$4,"",IF(AND($D847=AI$4,$D848&gt;AI$4),$F847,AI847))</f>
        <v/>
      </c>
      <c r="AJ848" s="6" t="str">
        <f>IF($D848&lt;=AJ$4,"",IF(AND($D847=AJ$4,$D848&gt;AJ$4),$F847,AJ847))</f>
        <v/>
      </c>
      <c r="AK848" s="6" t="str">
        <f>IF($D848&lt;=AK$4,"",IF(AND($D847=AK$4,$D848&gt;AK$4),$F847,AK847))</f>
        <v/>
      </c>
      <c r="AL848" s="6" t="str">
        <f>IF($D848&lt;=AL$4,"",IF(AND($D847=AL$4,$D848&gt;AL$4),$F847,AL847))</f>
        <v/>
      </c>
      <c r="AM848" s="6" t="str">
        <f>IF($D848&lt;=AM$4,"",IF(AND($D847=AM$4,$D848&gt;AM$4),$F847,AM847))</f>
        <v/>
      </c>
      <c r="AN848" s="6" t="str">
        <f>IF($D848&lt;=AN$4,"",IF(AND($D847=AN$4,$D848&gt;AN$4),$F847,AN847))</f>
        <v/>
      </c>
      <c r="AO848" s="6" t="str">
        <f>CONCATENATE(AG848," | ",AH848," | ",AI848," | ",AJ848," | ",AK848," | ",AL848," | ",AM848," | ",AN848)</f>
        <v xml:space="preserve">90MB1BJ0-C1BAY0 | 59MB1BJB-MB0A02S |  |  |  |  |  | </v>
      </c>
      <c r="AP848" s="6">
        <f>IF(TRIM(H848)="",100,J848)</f>
        <v>100</v>
      </c>
      <c r="AQ848" s="4"/>
      <c r="AR848" s="6" t="b">
        <f>NOT(TRIM(W848)&lt;&gt;"F")</f>
        <v>1</v>
      </c>
      <c r="AS848" s="6" t="str">
        <f>$B848&amp;" | "&amp;$AO848&amp;" | "&amp;IF(TRIM(H848)="","uniq"&amp;ROW(),TRIM(H848))</f>
        <v>461E | 90MB1BJ0-C1BAY0 | 59MB1BJB-MB0A02S |  |  |  |  |  |  | R8</v>
      </c>
      <c r="AT848" s="63">
        <f>IF(NOT(AR848),IF(TRIM($H848)="","Assembly","Phantom Alt"),VLOOKUP(F848,ZPCS04!B:G,6,0))</f>
        <v>1008</v>
      </c>
      <c r="AU848" s="7"/>
      <c r="AV848" s="38">
        <f ca="1">IF(TRIM($W848)="F",OFFSET($A$5,MATCH($AS848,$AS$5:$AS848,0)-1,0),$A848)</f>
        <v>848</v>
      </c>
      <c r="AW848" s="38">
        <f ca="1">IFERROR(OFFSET(ZPCS04!$A$1,MATCH(F848,ZPCS04!B:B,0)-1,0),100)</f>
        <v>2</v>
      </c>
      <c r="AX848" s="7"/>
      <c r="AY848" s="6" t="b">
        <f>SUMIF(AS:AS,AS848,AP:AP)=100</f>
        <v>1</v>
      </c>
      <c r="AZ848" s="6" t="b">
        <f>SUMIF(AS:AS,AS848,AE:AE)/COUNTIF(AS:AS,AS848)=AE848</f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>C848&amp;" | "&amp;F848</f>
        <v>90MB1BJ0-C1BAY0 | 12006-00010700</v>
      </c>
      <c r="BE848" s="55" t="str">
        <f ca="1">C848&amp;" | "&amp;OFFSET($AF848,0,8-COUNTBLANK($AG848:$AN848))</f>
        <v>90MB1BJ0-C1BAY0 | 59MB1BJB-MB0A02S</v>
      </c>
      <c r="BF848" s="57">
        <f ca="1">IFERROR(VLOOKUP($BE848,$BD$5:$BF847,3,0)*$AE848,VLOOKUP($C848,Demanda!$A:$B,2,0)*$AE848)*IF(AT848="Phantom Alt",$BC848,TRUE)</f>
        <v>1000</v>
      </c>
      <c r="BG848" s="57">
        <f ca="1">BF848*(AP848/100)</f>
        <v>1000</v>
      </c>
      <c r="BH848" s="57">
        <f>SUMIF(Invoice!A:A,F848,Invoice!B:B)</f>
        <v>0</v>
      </c>
      <c r="BI848" s="57">
        <f ca="1">SUMIF(AS:AS,AS848,BG:BG)</f>
        <v>1000</v>
      </c>
      <c r="BJ848" s="57">
        <f ca="1">MIN((BI848-SUMIF($AS$5:AS847,AS848,$BJ$5:BJ847)),MAX(0,BH848-SUMIF($F$5:F847,F848,$BJ$5:BJ847)))</f>
        <v>0</v>
      </c>
      <c r="BK848" s="57">
        <f ca="1">(-SUMIF(AS:AS,AS848,BG:BG)+SUMIF(AS:AS,AS848,BJ:BJ))*(AP848=100)*AR848</f>
        <v>0</v>
      </c>
      <c r="BL848" s="57">
        <f ca="1">MAX(0,SUMIF(Invoice!A:A,F848,Invoice!B:B)-SUMIF(F:F,F848,BJ:BJ))*(COUNTIF(F:F,F848)=COUNTIF($F$5:F848,F848))</f>
        <v>0</v>
      </c>
    </row>
    <row r="849" spans="1:64" hidden="1">
      <c r="A849" s="43">
        <v>850</v>
      </c>
      <c r="B849" s="13" t="s">
        <v>147</v>
      </c>
      <c r="C849" s="13" t="s">
        <v>146</v>
      </c>
      <c r="D849" s="13">
        <v>2</v>
      </c>
      <c r="E849" s="13">
        <v>2790</v>
      </c>
      <c r="F849" s="71" t="s">
        <v>1953</v>
      </c>
      <c r="G849" s="71" t="s">
        <v>1954</v>
      </c>
      <c r="H849" s="13" t="s">
        <v>1952</v>
      </c>
      <c r="I849" s="13" t="s">
        <v>54</v>
      </c>
      <c r="J849" s="28">
        <v>100</v>
      </c>
      <c r="K849" s="13" t="s">
        <v>150</v>
      </c>
      <c r="L849" s="13" t="s">
        <v>53</v>
      </c>
      <c r="M849" s="13">
        <v>1</v>
      </c>
      <c r="N849" s="13">
        <v>1</v>
      </c>
      <c r="O849" s="13">
        <v>1</v>
      </c>
      <c r="P849" s="13">
        <v>2</v>
      </c>
      <c r="Q849" s="13">
        <v>1</v>
      </c>
      <c r="R849" s="13" t="s">
        <v>73</v>
      </c>
      <c r="S849" s="13" t="s">
        <v>73</v>
      </c>
      <c r="T849" s="13">
        <v>44901</v>
      </c>
      <c r="U849" s="13">
        <v>2958465</v>
      </c>
      <c r="V849" s="13" t="s">
        <v>282</v>
      </c>
      <c r="W849" s="13" t="s">
        <v>145</v>
      </c>
      <c r="Y849" s="13" t="s">
        <v>143</v>
      </c>
      <c r="Z849" s="13">
        <v>7589154</v>
      </c>
      <c r="AA849" s="13">
        <v>1586</v>
      </c>
      <c r="AB849" s="13">
        <v>793</v>
      </c>
      <c r="AE849" s="51">
        <f>M849/O849</f>
        <v>1</v>
      </c>
      <c r="AG849" s="6" t="str">
        <f>C849</f>
        <v>90MB1BJ0-C1BAY0</v>
      </c>
      <c r="AH849" s="6" t="str">
        <f>IF($D849&lt;=AH$4,"",IF(AND($D848=AH$4,$D849&gt;AH$4),$F848,AH848))</f>
        <v>59MB1BJB-MB0A02S</v>
      </c>
      <c r="AI849" s="6" t="str">
        <f>IF($D849&lt;=AI$4,"",IF(AND($D848=AI$4,$D849&gt;AI$4),$F848,AI848))</f>
        <v/>
      </c>
      <c r="AJ849" s="6" t="str">
        <f>IF($D849&lt;=AJ$4,"",IF(AND($D848=AJ$4,$D849&gt;AJ$4),$F848,AJ848))</f>
        <v/>
      </c>
      <c r="AK849" s="6" t="str">
        <f>IF($D849&lt;=AK$4,"",IF(AND($D848=AK$4,$D849&gt;AK$4),$F848,AK848))</f>
        <v/>
      </c>
      <c r="AL849" s="6" t="str">
        <f>IF($D849&lt;=AL$4,"",IF(AND($D848=AL$4,$D849&gt;AL$4),$F848,AL848))</f>
        <v/>
      </c>
      <c r="AM849" s="6" t="str">
        <f>IF($D849&lt;=AM$4,"",IF(AND($D848=AM$4,$D849&gt;AM$4),$F848,AM848))</f>
        <v/>
      </c>
      <c r="AN849" s="6" t="str">
        <f>IF($D849&lt;=AN$4,"",IF(AND($D848=AN$4,$D849&gt;AN$4),$F848,AN848))</f>
        <v/>
      </c>
      <c r="AO849" s="6" t="str">
        <f>CONCATENATE(AG849," | ",AH849," | ",AI849," | ",AJ849," | ",AK849," | ",AL849," | ",AM849," | ",AN849)</f>
        <v xml:space="preserve">90MB1BJ0-C1BAY0 | 59MB1BJB-MB0A02S |  |  |  |  |  | </v>
      </c>
      <c r="AP849" s="6">
        <f>IF(TRIM(H849)="",100,J849)</f>
        <v>100</v>
      </c>
      <c r="AQ849" s="4"/>
      <c r="AR849" s="6" t="b">
        <f>NOT(TRIM(W849)&lt;&gt;"F")</f>
        <v>1</v>
      </c>
      <c r="AS849" s="6" t="str">
        <f>$B849&amp;" | "&amp;$AO849&amp;" | "&amp;IF(TRIM(H849)="","uniq"&amp;ROW(),TRIM(H849))</f>
        <v>461E | 90MB1BJ0-C1BAY0 | 59MB1BJB-MB0A02S |  |  |  |  |  |  | R9</v>
      </c>
      <c r="AT849" s="63">
        <f>IF(NOT(AR849),IF(TRIM($H849)="","Assembly","Phantom Alt"),VLOOKUP(F849,ZPCS04!B:G,6,0))</f>
        <v>905</v>
      </c>
      <c r="AU849" s="7"/>
      <c r="AV849" s="38">
        <f ca="1">IF(TRIM($W849)="F",OFFSET($A$5,MATCH($AS849,$AS$5:$AS849,0)-1,0),$A849)</f>
        <v>850</v>
      </c>
      <c r="AW849" s="38">
        <f ca="1">IFERROR(OFFSET(ZPCS04!$A$1,MATCH(F849,ZPCS04!B:B,0)-1,0),100)</f>
        <v>1.9999999900000001</v>
      </c>
      <c r="AX849" s="7"/>
      <c r="AY849" s="6" t="b">
        <f>SUMIF(AS:AS,AS849,AP:AP)=100</f>
        <v>1</v>
      </c>
      <c r="AZ849" s="6" t="b">
        <f>SUMIF(AS:AS,AS849,AE:AE)/COUNTIF(AS:AS,AS849)=AE849</f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>C849&amp;" | "&amp;F849</f>
        <v>90MB1BJ0-C1BAY0 | 12006-00025800</v>
      </c>
      <c r="BE849" s="55" t="str">
        <f ca="1">C849&amp;" | "&amp;OFFSET($AF849,0,8-COUNTBLANK($AG849:$AN849))</f>
        <v>90MB1BJ0-C1BAY0 | 59MB1BJB-MB0A02S</v>
      </c>
      <c r="BF849" s="57">
        <f ca="1">IFERROR(VLOOKUP($BE849,$BD$5:$BF848,3,0)*$AE849,VLOOKUP($C849,Demanda!$A:$B,2,0)*$AE849)*IF(AT849="Phantom Alt",$BC849,TRUE)</f>
        <v>1000</v>
      </c>
      <c r="BG849" s="57">
        <f ca="1">BF849*(AP849/100)</f>
        <v>1000</v>
      </c>
      <c r="BH849" s="57">
        <f>SUMIF(Invoice!A:A,F849,Invoice!B:B)</f>
        <v>1000</v>
      </c>
      <c r="BI849" s="57">
        <f ca="1">SUMIF(AS:AS,AS849,BG:BG)</f>
        <v>1000</v>
      </c>
      <c r="BJ849" s="57">
        <f ca="1">MIN((BI849-SUMIF($AS$5:AS848,AS849,$BJ$5:BJ848)),MAX(0,BH849-SUMIF($F$5:F848,F849,$BJ$5:BJ848)))</f>
        <v>1000</v>
      </c>
      <c r="BK849" s="57">
        <f ca="1">(-SUMIF(AS:AS,AS849,BG:BG)+SUMIF(AS:AS,AS849,BJ:BJ))*(AP849=100)*AR849</f>
        <v>0</v>
      </c>
      <c r="BL849" s="57">
        <f ca="1">MAX(0,SUMIF(Invoice!A:A,F849,Invoice!B:B)-SUMIF(F:F,F849,BJ:BJ))*(COUNTIF(F:F,F849)=COUNTIF($F$5:F849,F849))</f>
        <v>0</v>
      </c>
    </row>
    <row r="850" spans="1:64" hidden="1">
      <c r="A850" s="43">
        <v>849</v>
      </c>
      <c r="B850" s="13" t="s">
        <v>147</v>
      </c>
      <c r="C850" s="13" t="s">
        <v>146</v>
      </c>
      <c r="D850" s="13">
        <v>2</v>
      </c>
      <c r="E850" s="13">
        <v>2790</v>
      </c>
      <c r="F850" s="71" t="s">
        <v>1950</v>
      </c>
      <c r="G850" s="71" t="s">
        <v>1951</v>
      </c>
      <c r="H850" s="13" t="s">
        <v>1952</v>
      </c>
      <c r="I850" s="13" t="s">
        <v>55</v>
      </c>
      <c r="J850" s="28">
        <v>0</v>
      </c>
      <c r="K850" s="13" t="s">
        <v>150</v>
      </c>
      <c r="L850" s="13" t="s">
        <v>53</v>
      </c>
      <c r="M850" s="13">
        <v>1</v>
      </c>
      <c r="O850" s="13">
        <v>1</v>
      </c>
      <c r="P850" s="13">
        <v>2</v>
      </c>
      <c r="Q850" s="13">
        <v>4</v>
      </c>
      <c r="R850" s="13" t="s">
        <v>73</v>
      </c>
      <c r="S850" s="13" t="s">
        <v>73</v>
      </c>
      <c r="T850" s="13">
        <v>44901</v>
      </c>
      <c r="U850" s="13">
        <v>2958465</v>
      </c>
      <c r="V850" s="13" t="s">
        <v>282</v>
      </c>
      <c r="W850" s="13" t="s">
        <v>145</v>
      </c>
      <c r="Y850" s="13" t="s">
        <v>143</v>
      </c>
      <c r="Z850" s="13">
        <v>7589154</v>
      </c>
      <c r="AA850" s="13">
        <v>1592</v>
      </c>
      <c r="AB850" s="13">
        <v>796</v>
      </c>
      <c r="AE850" s="51">
        <f>M850/O850</f>
        <v>1</v>
      </c>
      <c r="AG850" s="6" t="str">
        <f>C850</f>
        <v>90MB1BJ0-C1BAY0</v>
      </c>
      <c r="AH850" s="6" t="str">
        <f>IF($D850&lt;=AH$4,"",IF(AND($D849=AH$4,$D850&gt;AH$4),$F849,AH849))</f>
        <v>59MB1BJB-MB0A02S</v>
      </c>
      <c r="AI850" s="6" t="str">
        <f>IF($D850&lt;=AI$4,"",IF(AND($D849=AI$4,$D850&gt;AI$4),$F849,AI849))</f>
        <v/>
      </c>
      <c r="AJ850" s="6" t="str">
        <f>IF($D850&lt;=AJ$4,"",IF(AND($D849=AJ$4,$D850&gt;AJ$4),$F849,AJ849))</f>
        <v/>
      </c>
      <c r="AK850" s="6" t="str">
        <f>IF($D850&lt;=AK$4,"",IF(AND($D849=AK$4,$D850&gt;AK$4),$F849,AK849))</f>
        <v/>
      </c>
      <c r="AL850" s="6" t="str">
        <f>IF($D850&lt;=AL$4,"",IF(AND($D849=AL$4,$D850&gt;AL$4),$F849,AL849))</f>
        <v/>
      </c>
      <c r="AM850" s="6" t="str">
        <f>IF($D850&lt;=AM$4,"",IF(AND($D849=AM$4,$D850&gt;AM$4),$F849,AM849))</f>
        <v/>
      </c>
      <c r="AN850" s="6" t="str">
        <f>IF($D850&lt;=AN$4,"",IF(AND($D849=AN$4,$D850&gt;AN$4),$F849,AN849))</f>
        <v/>
      </c>
      <c r="AO850" s="6" t="str">
        <f>CONCATENATE(AG850," | ",AH850," | ",AI850," | ",AJ850," | ",AK850," | ",AL850," | ",AM850," | ",AN850)</f>
        <v xml:space="preserve">90MB1BJ0-C1BAY0 | 59MB1BJB-MB0A02S |  |  |  |  |  | </v>
      </c>
      <c r="AP850" s="6">
        <f>IF(TRIM(H850)="",100,J850)</f>
        <v>0</v>
      </c>
      <c r="AQ850" s="4"/>
      <c r="AR850" s="6" t="b">
        <f>NOT(TRIM(W850)&lt;&gt;"F")</f>
        <v>1</v>
      </c>
      <c r="AS850" s="6" t="str">
        <f>$B850&amp;" | "&amp;$AO850&amp;" | "&amp;IF(TRIM(H850)="","uniq"&amp;ROW(),TRIM(H850))</f>
        <v>461E | 90MB1BJ0-C1BAY0 | 59MB1BJB-MB0A02S |  |  |  |  |  |  | R9</v>
      </c>
      <c r="AT850" s="63">
        <f>IF(NOT(AR850),IF(TRIM($H850)="","Assembly","Phantom Alt"),VLOOKUP(F850,ZPCS04!B:G,6,0))</f>
        <v>905</v>
      </c>
      <c r="AU850" s="7"/>
      <c r="AV850" s="38">
        <f ca="1">IF(TRIM($W850)="F",OFFSET($A$5,MATCH($AS850,$AS$5:$AS850,0)-1,0),$A850)</f>
        <v>850</v>
      </c>
      <c r="AW850" s="38">
        <f ca="1">IFERROR(OFFSET(ZPCS04!$A$1,MATCH(F850,ZPCS04!B:B,0)-1,0),100)</f>
        <v>2</v>
      </c>
      <c r="AX850" s="7"/>
      <c r="AY850" s="6" t="b">
        <f>SUMIF(AS:AS,AS850,AP:AP)=100</f>
        <v>1</v>
      </c>
      <c r="AZ850" s="6" t="b">
        <f>SUMIF(AS:AS,AS850,AE:AE)/COUNTIF(AS:AS,AS850)=AE850</f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>C850&amp;" | "&amp;F850</f>
        <v>90MB1BJ0-C1BAY0 | 12006-00025700</v>
      </c>
      <c r="BE850" s="55" t="str">
        <f ca="1">C850&amp;" | "&amp;OFFSET($AF850,0,8-COUNTBLANK($AG850:$AN850))</f>
        <v>90MB1BJ0-C1BAY0 | 59MB1BJB-MB0A02S</v>
      </c>
      <c r="BF850" s="57">
        <f ca="1">IFERROR(VLOOKUP($BE850,$BD$5:$BF849,3,0)*$AE850,VLOOKUP($C850,Demanda!$A:$B,2,0)*$AE850)*IF(AT850="Phantom Alt",$BC850,TRUE)</f>
        <v>1000</v>
      </c>
      <c r="BG850" s="57">
        <f ca="1">BF850*(AP850/100)</f>
        <v>0</v>
      </c>
      <c r="BH850" s="57">
        <f>SUMIF(Invoice!A:A,F850,Invoice!B:B)</f>
        <v>0</v>
      </c>
      <c r="BI850" s="57">
        <f ca="1">SUMIF(AS:AS,AS850,BG:BG)</f>
        <v>1000</v>
      </c>
      <c r="BJ850" s="57">
        <f ca="1">MIN((BI850-SUMIF($AS$5:AS849,AS850,$BJ$5:BJ849)),MAX(0,BH850-SUMIF($F$5:F849,F850,$BJ$5:BJ849)))</f>
        <v>0</v>
      </c>
      <c r="BK850" s="57">
        <f ca="1">(-SUMIF(AS:AS,AS850,BG:BG)+SUMIF(AS:AS,AS850,BJ:BJ))*(AP850=100)*AR850</f>
        <v>0</v>
      </c>
      <c r="BL850" s="57">
        <f ca="1">MAX(0,SUMIF(Invoice!A:A,F850,Invoice!B:B)-SUMIF(F:F,F850,BJ:BJ))*(COUNTIF(F:F,F850)=COUNTIF($F$5:F850,F850))</f>
        <v>0</v>
      </c>
    </row>
    <row r="851" spans="1:64" hidden="1">
      <c r="A851" s="43">
        <v>851</v>
      </c>
      <c r="B851" s="13" t="s">
        <v>147</v>
      </c>
      <c r="C851" s="13" t="s">
        <v>146</v>
      </c>
      <c r="D851" s="13">
        <v>2</v>
      </c>
      <c r="E851" s="13">
        <v>2790</v>
      </c>
      <c r="F851" s="71" t="s">
        <v>1955</v>
      </c>
      <c r="G851" s="71" t="s">
        <v>1956</v>
      </c>
      <c r="H851" s="13" t="s">
        <v>1952</v>
      </c>
      <c r="I851" s="13" t="s">
        <v>55</v>
      </c>
      <c r="J851" s="28">
        <v>0</v>
      </c>
      <c r="K851" s="13" t="s">
        <v>150</v>
      </c>
      <c r="L851" s="13" t="s">
        <v>53</v>
      </c>
      <c r="M851" s="13">
        <v>1</v>
      </c>
      <c r="O851" s="13">
        <v>1</v>
      </c>
      <c r="P851" s="13">
        <v>2</v>
      </c>
      <c r="Q851" s="13">
        <v>3</v>
      </c>
      <c r="R851" s="13" t="s">
        <v>73</v>
      </c>
      <c r="S851" s="13" t="s">
        <v>73</v>
      </c>
      <c r="T851" s="13">
        <v>44901</v>
      </c>
      <c r="U851" s="13">
        <v>2958465</v>
      </c>
      <c r="V851" s="13" t="s">
        <v>282</v>
      </c>
      <c r="W851" s="13" t="s">
        <v>145</v>
      </c>
      <c r="Y851" s="13" t="s">
        <v>143</v>
      </c>
      <c r="Z851" s="13">
        <v>7589154</v>
      </c>
      <c r="AA851" s="13">
        <v>1590</v>
      </c>
      <c r="AB851" s="13">
        <v>795</v>
      </c>
      <c r="AE851" s="51">
        <f>M851/O851</f>
        <v>1</v>
      </c>
      <c r="AG851" s="6" t="str">
        <f>C851</f>
        <v>90MB1BJ0-C1BAY0</v>
      </c>
      <c r="AH851" s="6" t="str">
        <f>IF($D851&lt;=AH$4,"",IF(AND($D850=AH$4,$D851&gt;AH$4),$F850,AH850))</f>
        <v>59MB1BJB-MB0A02S</v>
      </c>
      <c r="AI851" s="6" t="str">
        <f>IF($D851&lt;=AI$4,"",IF(AND($D850=AI$4,$D851&gt;AI$4),$F850,AI850))</f>
        <v/>
      </c>
      <c r="AJ851" s="6" t="str">
        <f>IF($D851&lt;=AJ$4,"",IF(AND($D850=AJ$4,$D851&gt;AJ$4),$F850,AJ850))</f>
        <v/>
      </c>
      <c r="AK851" s="6" t="str">
        <f>IF($D851&lt;=AK$4,"",IF(AND($D850=AK$4,$D851&gt;AK$4),$F850,AK850))</f>
        <v/>
      </c>
      <c r="AL851" s="6" t="str">
        <f>IF($D851&lt;=AL$4,"",IF(AND($D850=AL$4,$D851&gt;AL$4),$F850,AL850))</f>
        <v/>
      </c>
      <c r="AM851" s="6" t="str">
        <f>IF($D851&lt;=AM$4,"",IF(AND($D850=AM$4,$D851&gt;AM$4),$F850,AM850))</f>
        <v/>
      </c>
      <c r="AN851" s="6" t="str">
        <f>IF($D851&lt;=AN$4,"",IF(AND($D850=AN$4,$D851&gt;AN$4),$F850,AN850))</f>
        <v/>
      </c>
      <c r="AO851" s="6" t="str">
        <f>CONCATENATE(AG851," | ",AH851," | ",AI851," | ",AJ851," | ",AK851," | ",AL851," | ",AM851," | ",AN851)</f>
        <v xml:space="preserve">90MB1BJ0-C1BAY0 | 59MB1BJB-MB0A02S |  |  |  |  |  | </v>
      </c>
      <c r="AP851" s="6">
        <f>IF(TRIM(H851)="",100,J851)</f>
        <v>0</v>
      </c>
      <c r="AQ851" s="4"/>
      <c r="AR851" s="6" t="b">
        <f>NOT(TRIM(W851)&lt;&gt;"F")</f>
        <v>1</v>
      </c>
      <c r="AS851" s="6" t="str">
        <f>$B851&amp;" | "&amp;$AO851&amp;" | "&amp;IF(TRIM(H851)="","uniq"&amp;ROW(),TRIM(H851))</f>
        <v>461E | 90MB1BJ0-C1BAY0 | 59MB1BJB-MB0A02S |  |  |  |  |  |  | R9</v>
      </c>
      <c r="AT851" s="63">
        <f>IF(NOT(AR851),IF(TRIM($H851)="","Assembly","Phantom Alt"),VLOOKUP(F851,ZPCS04!B:G,6,0))</f>
        <v>905</v>
      </c>
      <c r="AU851" s="7"/>
      <c r="AV851" s="38">
        <f ca="1">IF(TRIM($W851)="F",OFFSET($A$5,MATCH($AS851,$AS$5:$AS851,0)-1,0),$A851)</f>
        <v>850</v>
      </c>
      <c r="AW851" s="38">
        <f ca="1">IFERROR(OFFSET(ZPCS04!$A$1,MATCH(F851,ZPCS04!B:B,0)-1,0),100)</f>
        <v>2</v>
      </c>
      <c r="AX851" s="7"/>
      <c r="AY851" s="6" t="b">
        <f>SUMIF(AS:AS,AS851,AP:AP)=100</f>
        <v>1</v>
      </c>
      <c r="AZ851" s="6" t="b">
        <f>SUMIF(AS:AS,AS851,AE:AE)/COUNTIF(AS:AS,AS851)=AE851</f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>C851&amp;" | "&amp;F851</f>
        <v>90MB1BJ0-C1BAY0 | 12006-00025900</v>
      </c>
      <c r="BE851" s="55" t="str">
        <f ca="1">C851&amp;" | "&amp;OFFSET($AF851,0,8-COUNTBLANK($AG851:$AN851))</f>
        <v>90MB1BJ0-C1BAY0 | 59MB1BJB-MB0A02S</v>
      </c>
      <c r="BF851" s="57">
        <f ca="1">IFERROR(VLOOKUP($BE851,$BD$5:$BF850,3,0)*$AE851,VLOOKUP($C851,Demanda!$A:$B,2,0)*$AE851)*IF(AT851="Phantom Alt",$BC851,TRUE)</f>
        <v>1000</v>
      </c>
      <c r="BG851" s="57">
        <f ca="1">BF851*(AP851/100)</f>
        <v>0</v>
      </c>
      <c r="BH851" s="57">
        <f>SUMIF(Invoice!A:A,F851,Invoice!B:B)</f>
        <v>0</v>
      </c>
      <c r="BI851" s="57">
        <f ca="1">SUMIF(AS:AS,AS851,BG:BG)</f>
        <v>1000</v>
      </c>
      <c r="BJ851" s="57">
        <f ca="1">MIN((BI851-SUMIF($AS$5:AS850,AS851,$BJ$5:BJ850)),MAX(0,BH851-SUMIF($F$5:F850,F851,$BJ$5:BJ850)))</f>
        <v>0</v>
      </c>
      <c r="BK851" s="57">
        <f ca="1">(-SUMIF(AS:AS,AS851,BG:BG)+SUMIF(AS:AS,AS851,BJ:BJ))*(AP851=100)*AR851</f>
        <v>0</v>
      </c>
      <c r="BL851" s="57">
        <f ca="1">MAX(0,SUMIF(Invoice!A:A,F851,Invoice!B:B)-SUMIF(F:F,F851,BJ:BJ))*(COUNTIF(F:F,F851)=COUNTIF($F$5:F851,F851))</f>
        <v>0</v>
      </c>
    </row>
    <row r="852" spans="1:64" hidden="1">
      <c r="A852" s="43">
        <v>852</v>
      </c>
      <c r="B852" s="13" t="s">
        <v>147</v>
      </c>
      <c r="C852" s="13" t="s">
        <v>146</v>
      </c>
      <c r="D852" s="13">
        <v>2</v>
      </c>
      <c r="E852" s="13">
        <v>2790</v>
      </c>
      <c r="F852" s="71" t="s">
        <v>1957</v>
      </c>
      <c r="G852" s="71" t="s">
        <v>1958</v>
      </c>
      <c r="H852" s="13" t="s">
        <v>1952</v>
      </c>
      <c r="I852" s="13" t="s">
        <v>55</v>
      </c>
      <c r="J852" s="28">
        <v>0</v>
      </c>
      <c r="K852" s="13" t="s">
        <v>150</v>
      </c>
      <c r="L852" s="13" t="s">
        <v>53</v>
      </c>
      <c r="M852" s="13">
        <v>1</v>
      </c>
      <c r="O852" s="13">
        <v>1</v>
      </c>
      <c r="P852" s="13">
        <v>2</v>
      </c>
      <c r="Q852" s="13">
        <v>2</v>
      </c>
      <c r="R852" s="13" t="s">
        <v>73</v>
      </c>
      <c r="S852" s="13" t="s">
        <v>73</v>
      </c>
      <c r="T852" s="13">
        <v>44901</v>
      </c>
      <c r="U852" s="13">
        <v>2958465</v>
      </c>
      <c r="V852" s="13" t="s">
        <v>282</v>
      </c>
      <c r="W852" s="13" t="s">
        <v>145</v>
      </c>
      <c r="Y852" s="13" t="s">
        <v>143</v>
      </c>
      <c r="Z852" s="13">
        <v>7589154</v>
      </c>
      <c r="AA852" s="13">
        <v>1588</v>
      </c>
      <c r="AB852" s="13">
        <v>794</v>
      </c>
      <c r="AE852" s="51">
        <f>M852/O852</f>
        <v>1</v>
      </c>
      <c r="AG852" s="6" t="str">
        <f>C852</f>
        <v>90MB1BJ0-C1BAY0</v>
      </c>
      <c r="AH852" s="6" t="str">
        <f>IF($D852&lt;=AH$4,"",IF(AND($D851=AH$4,$D852&gt;AH$4),$F851,AH851))</f>
        <v>59MB1BJB-MB0A02S</v>
      </c>
      <c r="AI852" s="6" t="str">
        <f>IF($D852&lt;=AI$4,"",IF(AND($D851=AI$4,$D852&gt;AI$4),$F851,AI851))</f>
        <v/>
      </c>
      <c r="AJ852" s="6" t="str">
        <f>IF($D852&lt;=AJ$4,"",IF(AND($D851=AJ$4,$D852&gt;AJ$4),$F851,AJ851))</f>
        <v/>
      </c>
      <c r="AK852" s="6" t="str">
        <f>IF($D852&lt;=AK$4,"",IF(AND($D851=AK$4,$D852&gt;AK$4),$F851,AK851))</f>
        <v/>
      </c>
      <c r="AL852" s="6" t="str">
        <f>IF($D852&lt;=AL$4,"",IF(AND($D851=AL$4,$D852&gt;AL$4),$F851,AL851))</f>
        <v/>
      </c>
      <c r="AM852" s="6" t="str">
        <f>IF($D852&lt;=AM$4,"",IF(AND($D851=AM$4,$D852&gt;AM$4),$F851,AM851))</f>
        <v/>
      </c>
      <c r="AN852" s="6" t="str">
        <f>IF($D852&lt;=AN$4,"",IF(AND($D851=AN$4,$D852&gt;AN$4),$F851,AN851))</f>
        <v/>
      </c>
      <c r="AO852" s="6" t="str">
        <f>CONCATENATE(AG852," | ",AH852," | ",AI852," | ",AJ852," | ",AK852," | ",AL852," | ",AM852," | ",AN852)</f>
        <v xml:space="preserve">90MB1BJ0-C1BAY0 | 59MB1BJB-MB0A02S |  |  |  |  |  | </v>
      </c>
      <c r="AP852" s="6">
        <f>IF(TRIM(H852)="",100,J852)</f>
        <v>0</v>
      </c>
      <c r="AQ852" s="4"/>
      <c r="AR852" s="6" t="b">
        <f>NOT(TRIM(W852)&lt;&gt;"F")</f>
        <v>1</v>
      </c>
      <c r="AS852" s="6" t="str">
        <f>$B852&amp;" | "&amp;$AO852&amp;" | "&amp;IF(TRIM(H852)="","uniq"&amp;ROW(),TRIM(H852))</f>
        <v>461E | 90MB1BJ0-C1BAY0 | 59MB1BJB-MB0A02S |  |  |  |  |  |  | R9</v>
      </c>
      <c r="AT852" s="63">
        <f>IF(NOT(AR852),IF(TRIM($H852)="","Assembly","Phantom Alt"),VLOOKUP(F852,ZPCS04!B:G,6,0))</f>
        <v>905</v>
      </c>
      <c r="AU852" s="7"/>
      <c r="AV852" s="38">
        <f ca="1">IF(TRIM($W852)="F",OFFSET($A$5,MATCH($AS852,$AS$5:$AS852,0)-1,0),$A852)</f>
        <v>850</v>
      </c>
      <c r="AW852" s="38">
        <f ca="1">IFERROR(OFFSET(ZPCS04!$A$1,MATCH(F852,ZPCS04!B:B,0)-1,0),100)</f>
        <v>2</v>
      </c>
      <c r="AX852" s="7"/>
      <c r="AY852" s="6" t="b">
        <f>SUMIF(AS:AS,AS852,AP:AP)=100</f>
        <v>1</v>
      </c>
      <c r="AZ852" s="6" t="b">
        <f>SUMIF(AS:AS,AS852,AE:AE)/COUNTIF(AS:AS,AS852)=AE852</f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>C852&amp;" | "&amp;F852</f>
        <v>90MB1BJ0-C1BAY0 | 12006-00026000</v>
      </c>
      <c r="BE852" s="55" t="str">
        <f ca="1">C852&amp;" | "&amp;OFFSET($AF852,0,8-COUNTBLANK($AG852:$AN852))</f>
        <v>90MB1BJ0-C1BAY0 | 59MB1BJB-MB0A02S</v>
      </c>
      <c r="BF852" s="57">
        <f ca="1">IFERROR(VLOOKUP($BE852,$BD$5:$BF851,3,0)*$AE852,VLOOKUP($C852,Demanda!$A:$B,2,0)*$AE852)*IF(AT852="Phantom Alt",$BC852,TRUE)</f>
        <v>1000</v>
      </c>
      <c r="BG852" s="57">
        <f ca="1">BF852*(AP852/100)</f>
        <v>0</v>
      </c>
      <c r="BH852" s="57">
        <f>SUMIF(Invoice!A:A,F852,Invoice!B:B)</f>
        <v>0</v>
      </c>
      <c r="BI852" s="57">
        <f ca="1">SUMIF(AS:AS,AS852,BG:BG)</f>
        <v>1000</v>
      </c>
      <c r="BJ852" s="57">
        <f ca="1">MIN((BI852-SUMIF($AS$5:AS851,AS852,$BJ$5:BJ851)),MAX(0,BH852-SUMIF($F$5:F851,F852,$BJ$5:BJ851)))</f>
        <v>0</v>
      </c>
      <c r="BK852" s="57">
        <f ca="1">(-SUMIF(AS:AS,AS852,BG:BG)+SUMIF(AS:AS,AS852,BJ:BJ))*(AP852=100)*AR852</f>
        <v>0</v>
      </c>
      <c r="BL852" s="57">
        <f ca="1">MAX(0,SUMIF(Invoice!A:A,F852,Invoice!B:B)-SUMIF(F:F,F852,BJ:BJ))*(COUNTIF(F:F,F852)=COUNTIF($F$5:F852,F852))</f>
        <v>0</v>
      </c>
    </row>
    <row r="853" spans="1:64" hidden="1">
      <c r="A853" s="43">
        <v>853</v>
      </c>
      <c r="B853" s="13" t="s">
        <v>147</v>
      </c>
      <c r="C853" s="13" t="s">
        <v>146</v>
      </c>
      <c r="D853" s="13">
        <v>2</v>
      </c>
      <c r="E853" s="13">
        <v>2800</v>
      </c>
      <c r="F853" s="71" t="s">
        <v>1959</v>
      </c>
      <c r="G853" s="71" t="s">
        <v>1960</v>
      </c>
      <c r="H853" s="13" t="s">
        <v>1961</v>
      </c>
      <c r="I853" s="13" t="s">
        <v>54</v>
      </c>
      <c r="J853" s="28">
        <v>100</v>
      </c>
      <c r="K853" s="13" t="s">
        <v>150</v>
      </c>
      <c r="L853" s="13" t="s">
        <v>53</v>
      </c>
      <c r="M853" s="13">
        <v>1</v>
      </c>
      <c r="N853" s="13">
        <v>1</v>
      </c>
      <c r="O853" s="13">
        <v>1</v>
      </c>
      <c r="P853" s="13">
        <v>2</v>
      </c>
      <c r="Q853" s="13">
        <v>1</v>
      </c>
      <c r="R853" s="13" t="s">
        <v>73</v>
      </c>
      <c r="S853" s="13" t="s">
        <v>73</v>
      </c>
      <c r="T853" s="13">
        <v>44901</v>
      </c>
      <c r="U853" s="13">
        <v>2958465</v>
      </c>
      <c r="V853" s="13" t="s">
        <v>282</v>
      </c>
      <c r="W853" s="13" t="s">
        <v>145</v>
      </c>
      <c r="Y853" s="13" t="s">
        <v>143</v>
      </c>
      <c r="Z853" s="13">
        <v>7589154</v>
      </c>
      <c r="AA853" s="13">
        <v>1594</v>
      </c>
      <c r="AB853" s="13">
        <v>797</v>
      </c>
      <c r="AE853" s="51">
        <f>M853/O853</f>
        <v>1</v>
      </c>
      <c r="AG853" s="6" t="str">
        <f>C853</f>
        <v>90MB1BJ0-C1BAY0</v>
      </c>
      <c r="AH853" s="6" t="str">
        <f>IF($D853&lt;=AH$4,"",IF(AND($D852=AH$4,$D853&gt;AH$4),$F852,AH852))</f>
        <v>59MB1BJB-MB0A02S</v>
      </c>
      <c r="AI853" s="6" t="str">
        <f>IF($D853&lt;=AI$4,"",IF(AND($D852=AI$4,$D853&gt;AI$4),$F852,AI852))</f>
        <v/>
      </c>
      <c r="AJ853" s="6" t="str">
        <f>IF($D853&lt;=AJ$4,"",IF(AND($D852=AJ$4,$D853&gt;AJ$4),$F852,AJ852))</f>
        <v/>
      </c>
      <c r="AK853" s="6" t="str">
        <f>IF($D853&lt;=AK$4,"",IF(AND($D852=AK$4,$D853&gt;AK$4),$F852,AK852))</f>
        <v/>
      </c>
      <c r="AL853" s="6" t="str">
        <f>IF($D853&lt;=AL$4,"",IF(AND($D852=AL$4,$D853&gt;AL$4),$F852,AL852))</f>
        <v/>
      </c>
      <c r="AM853" s="6" t="str">
        <f>IF($D853&lt;=AM$4,"",IF(AND($D852=AM$4,$D853&gt;AM$4),$F852,AM852))</f>
        <v/>
      </c>
      <c r="AN853" s="6" t="str">
        <f>IF($D853&lt;=AN$4,"",IF(AND($D852=AN$4,$D853&gt;AN$4),$F852,AN852))</f>
        <v/>
      </c>
      <c r="AO853" s="6" t="str">
        <f>CONCATENATE(AG853," | ",AH853," | ",AI853," | ",AJ853," | ",AK853," | ",AL853," | ",AM853," | ",AN853)</f>
        <v xml:space="preserve">90MB1BJ0-C1BAY0 | 59MB1BJB-MB0A02S |  |  |  |  |  | </v>
      </c>
      <c r="AP853" s="6">
        <f>IF(TRIM(H853)="",100,J853)</f>
        <v>100</v>
      </c>
      <c r="AQ853" s="4"/>
      <c r="AR853" s="6" t="b">
        <f>NOT(TRIM(W853)&lt;&gt;"F")</f>
        <v>1</v>
      </c>
      <c r="AS853" s="6" t="str">
        <f>$B853&amp;" | "&amp;$AO853&amp;" | "&amp;IF(TRIM(H853)="","uniq"&amp;ROW(),TRIM(H853))</f>
        <v>461E | 90MB1BJ0-C1BAY0 | 59MB1BJB-MB0A02S |  |  |  |  |  |  | S0</v>
      </c>
      <c r="AT853" s="63">
        <f>IF(NOT(AR853),IF(TRIM($H853)="","Assembly","Phantom Alt"),VLOOKUP(F853,ZPCS04!B:G,6,0))</f>
        <v>907</v>
      </c>
      <c r="AU853" s="7"/>
      <c r="AV853" s="38">
        <f ca="1">IF(TRIM($W853)="F",OFFSET($A$5,MATCH($AS853,$AS$5:$AS853,0)-1,0),$A853)</f>
        <v>853</v>
      </c>
      <c r="AW853" s="38">
        <f ca="1">IFERROR(OFFSET(ZPCS04!$A$1,MATCH(F853,ZPCS04!B:B,0)-1,0),100)</f>
        <v>1.9999999900000001</v>
      </c>
      <c r="AX853" s="7"/>
      <c r="AY853" s="6" t="b">
        <f>SUMIF(AS:AS,AS853,AP:AP)=100</f>
        <v>1</v>
      </c>
      <c r="AZ853" s="6" t="b">
        <f>SUMIF(AS:AS,AS853,AE:AE)/COUNTIF(AS:AS,AS853)=AE853</f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>C853&amp;" | "&amp;F853</f>
        <v>90MB1BJ0-C1BAY0 | 12006-00151100</v>
      </c>
      <c r="BE853" s="55" t="str">
        <f ca="1">C853&amp;" | "&amp;OFFSET($AF853,0,8-COUNTBLANK($AG853:$AN853))</f>
        <v>90MB1BJ0-C1BAY0 | 59MB1BJB-MB0A02S</v>
      </c>
      <c r="BF853" s="57">
        <f ca="1">IFERROR(VLOOKUP($BE853,$BD$5:$BF852,3,0)*$AE853,VLOOKUP($C853,Demanda!$A:$B,2,0)*$AE853)*IF(AT853="Phantom Alt",$BC853,TRUE)</f>
        <v>1000</v>
      </c>
      <c r="BG853" s="57">
        <f ca="1">BF853*(AP853/100)</f>
        <v>1000</v>
      </c>
      <c r="BH853" s="57">
        <f>SUMIF(Invoice!A:A,F853,Invoice!B:B)</f>
        <v>1000</v>
      </c>
      <c r="BI853" s="57">
        <f ca="1">SUMIF(AS:AS,AS853,BG:BG)</f>
        <v>1000</v>
      </c>
      <c r="BJ853" s="57">
        <f ca="1">MIN((BI853-SUMIF($AS$5:AS852,AS853,$BJ$5:BJ852)),MAX(0,BH853-SUMIF($F$5:F852,F853,$BJ$5:BJ852)))</f>
        <v>1000</v>
      </c>
      <c r="BK853" s="57">
        <f ca="1">(-SUMIF(AS:AS,AS853,BG:BG)+SUMIF(AS:AS,AS853,BJ:BJ))*(AP853=100)*AR853</f>
        <v>0</v>
      </c>
      <c r="BL853" s="57">
        <f ca="1">MAX(0,SUMIF(Invoice!A:A,F853,Invoice!B:B)-SUMIF(F:F,F853,BJ:BJ))*(COUNTIF(F:F,F853)=COUNTIF($F$5:F853,F853))</f>
        <v>0</v>
      </c>
    </row>
    <row r="854" spans="1:64" hidden="1">
      <c r="A854" s="43">
        <v>854</v>
      </c>
      <c r="B854" s="13" t="s">
        <v>147</v>
      </c>
      <c r="C854" s="13" t="s">
        <v>146</v>
      </c>
      <c r="D854" s="13">
        <v>2</v>
      </c>
      <c r="E854" s="13">
        <v>2800</v>
      </c>
      <c r="F854" s="71" t="s">
        <v>1962</v>
      </c>
      <c r="G854" s="71" t="s">
        <v>1963</v>
      </c>
      <c r="H854" s="13" t="s">
        <v>1961</v>
      </c>
      <c r="I854" s="13" t="s">
        <v>55</v>
      </c>
      <c r="J854" s="28">
        <v>0</v>
      </c>
      <c r="K854" s="13" t="s">
        <v>150</v>
      </c>
      <c r="L854" s="13" t="s">
        <v>53</v>
      </c>
      <c r="M854" s="13">
        <v>1</v>
      </c>
      <c r="O854" s="13">
        <v>1</v>
      </c>
      <c r="P854" s="13">
        <v>2</v>
      </c>
      <c r="Q854" s="13">
        <v>2</v>
      </c>
      <c r="R854" s="13" t="s">
        <v>73</v>
      </c>
      <c r="S854" s="13" t="s">
        <v>73</v>
      </c>
      <c r="T854" s="13">
        <v>44901</v>
      </c>
      <c r="U854" s="13">
        <v>2958465</v>
      </c>
      <c r="V854" s="13" t="s">
        <v>282</v>
      </c>
      <c r="W854" s="13" t="s">
        <v>145</v>
      </c>
      <c r="Y854" s="13" t="s">
        <v>143</v>
      </c>
      <c r="Z854" s="13">
        <v>7589154</v>
      </c>
      <c r="AA854" s="13">
        <v>1596</v>
      </c>
      <c r="AB854" s="13">
        <v>798</v>
      </c>
      <c r="AE854" s="51">
        <f>M854/O854</f>
        <v>1</v>
      </c>
      <c r="AG854" s="6" t="str">
        <f>C854</f>
        <v>90MB1BJ0-C1BAY0</v>
      </c>
      <c r="AH854" s="6" t="str">
        <f>IF($D854&lt;=AH$4,"",IF(AND($D853=AH$4,$D854&gt;AH$4),$F853,AH853))</f>
        <v>59MB1BJB-MB0A02S</v>
      </c>
      <c r="AI854" s="6" t="str">
        <f>IF($D854&lt;=AI$4,"",IF(AND($D853=AI$4,$D854&gt;AI$4),$F853,AI853))</f>
        <v/>
      </c>
      <c r="AJ854" s="6" t="str">
        <f>IF($D854&lt;=AJ$4,"",IF(AND($D853=AJ$4,$D854&gt;AJ$4),$F853,AJ853))</f>
        <v/>
      </c>
      <c r="AK854" s="6" t="str">
        <f>IF($D854&lt;=AK$4,"",IF(AND($D853=AK$4,$D854&gt;AK$4),$F853,AK853))</f>
        <v/>
      </c>
      <c r="AL854" s="6" t="str">
        <f>IF($D854&lt;=AL$4,"",IF(AND($D853=AL$4,$D854&gt;AL$4),$F853,AL853))</f>
        <v/>
      </c>
      <c r="AM854" s="6" t="str">
        <f>IF($D854&lt;=AM$4,"",IF(AND($D853=AM$4,$D854&gt;AM$4),$F853,AM853))</f>
        <v/>
      </c>
      <c r="AN854" s="6" t="str">
        <f>IF($D854&lt;=AN$4,"",IF(AND($D853=AN$4,$D854&gt;AN$4),$F853,AN853))</f>
        <v/>
      </c>
      <c r="AO854" s="6" t="str">
        <f>CONCATENATE(AG854," | ",AH854," | ",AI854," | ",AJ854," | ",AK854," | ",AL854," | ",AM854," | ",AN854)</f>
        <v xml:space="preserve">90MB1BJ0-C1BAY0 | 59MB1BJB-MB0A02S |  |  |  |  |  | </v>
      </c>
      <c r="AP854" s="6">
        <f>IF(TRIM(H854)="",100,J854)</f>
        <v>0</v>
      </c>
      <c r="AQ854" s="4"/>
      <c r="AR854" s="6" t="b">
        <f>NOT(TRIM(W854)&lt;&gt;"F")</f>
        <v>1</v>
      </c>
      <c r="AS854" s="6" t="str">
        <f>$B854&amp;" | "&amp;$AO854&amp;" | "&amp;IF(TRIM(H854)="","uniq"&amp;ROW(),TRIM(H854))</f>
        <v>461E | 90MB1BJ0-C1BAY0 | 59MB1BJB-MB0A02S |  |  |  |  |  |  | S0</v>
      </c>
      <c r="AT854" s="63">
        <f>IF(NOT(AR854),IF(TRIM($H854)="","Assembly","Phantom Alt"),VLOOKUP(F854,ZPCS04!B:G,6,0))</f>
        <v>907</v>
      </c>
      <c r="AU854" s="7"/>
      <c r="AV854" s="38">
        <f ca="1">IF(TRIM($W854)="F",OFFSET($A$5,MATCH($AS854,$AS$5:$AS854,0)-1,0),$A854)</f>
        <v>853</v>
      </c>
      <c r="AW854" s="38">
        <f ca="1">IFERROR(OFFSET(ZPCS04!$A$1,MATCH(F854,ZPCS04!B:B,0)-1,0),100)</f>
        <v>2</v>
      </c>
      <c r="AX854" s="7"/>
      <c r="AY854" s="6" t="b">
        <f>SUMIF(AS:AS,AS854,AP:AP)=100</f>
        <v>1</v>
      </c>
      <c r="AZ854" s="6" t="b">
        <f>SUMIF(AS:AS,AS854,AE:AE)/COUNTIF(AS:AS,AS854)=AE854</f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>C854&amp;" | "&amp;F854</f>
        <v>90MB1BJ0-C1BAY0 | 12006-00151300</v>
      </c>
      <c r="BE854" s="55" t="str">
        <f ca="1">C854&amp;" | "&amp;OFFSET($AF854,0,8-COUNTBLANK($AG854:$AN854))</f>
        <v>90MB1BJ0-C1BAY0 | 59MB1BJB-MB0A02S</v>
      </c>
      <c r="BF854" s="57">
        <f ca="1">IFERROR(VLOOKUP($BE854,$BD$5:$BF853,3,0)*$AE854,VLOOKUP($C854,Demanda!$A:$B,2,0)*$AE854)*IF(AT854="Phantom Alt",$BC854,TRUE)</f>
        <v>1000</v>
      </c>
      <c r="BG854" s="57">
        <f ca="1">BF854*(AP854/100)</f>
        <v>0</v>
      </c>
      <c r="BH854" s="57">
        <f>SUMIF(Invoice!A:A,F854,Invoice!B:B)</f>
        <v>0</v>
      </c>
      <c r="BI854" s="57">
        <f ca="1">SUMIF(AS:AS,AS854,BG:BG)</f>
        <v>1000</v>
      </c>
      <c r="BJ854" s="57">
        <f ca="1">MIN((BI854-SUMIF($AS$5:AS853,AS854,$BJ$5:BJ853)),MAX(0,BH854-SUMIF($F$5:F853,F854,$BJ$5:BJ853)))</f>
        <v>0</v>
      </c>
      <c r="BK854" s="57">
        <f ca="1">(-SUMIF(AS:AS,AS854,BG:BG)+SUMIF(AS:AS,AS854,BJ:BJ))*(AP854=100)*AR854</f>
        <v>0</v>
      </c>
      <c r="BL854" s="57">
        <f ca="1">MAX(0,SUMIF(Invoice!A:A,F854,Invoice!B:B)-SUMIF(F:F,F854,BJ:BJ))*(COUNTIF(F:F,F854)=COUNTIF($F$5:F854,F854))</f>
        <v>0</v>
      </c>
    </row>
    <row r="855" spans="1:64" hidden="1">
      <c r="A855" s="43">
        <v>855</v>
      </c>
      <c r="B855" s="13" t="s">
        <v>147</v>
      </c>
      <c r="C855" s="13" t="s">
        <v>146</v>
      </c>
      <c r="D855" s="13">
        <v>2</v>
      </c>
      <c r="E855" s="13">
        <v>2810</v>
      </c>
      <c r="F855" s="71" t="s">
        <v>1964</v>
      </c>
      <c r="G855" s="71" t="s">
        <v>1965</v>
      </c>
      <c r="H855" s="13" t="s">
        <v>1966</v>
      </c>
      <c r="I855" s="13" t="s">
        <v>54</v>
      </c>
      <c r="J855" s="28">
        <v>100</v>
      </c>
      <c r="K855" s="13" t="s">
        <v>150</v>
      </c>
      <c r="L855" s="13" t="s">
        <v>53</v>
      </c>
      <c r="M855" s="13">
        <v>3</v>
      </c>
      <c r="N855" s="13">
        <v>3</v>
      </c>
      <c r="O855" s="13">
        <v>1</v>
      </c>
      <c r="P855" s="13">
        <v>2</v>
      </c>
      <c r="Q855" s="13">
        <v>1</v>
      </c>
      <c r="R855" s="13" t="s">
        <v>73</v>
      </c>
      <c r="S855" s="13" t="s">
        <v>73</v>
      </c>
      <c r="T855" s="13">
        <v>44901</v>
      </c>
      <c r="U855" s="13">
        <v>2958465</v>
      </c>
      <c r="V855" s="13" t="s">
        <v>282</v>
      </c>
      <c r="W855" s="13" t="s">
        <v>145</v>
      </c>
      <c r="Y855" s="13" t="s">
        <v>143</v>
      </c>
      <c r="Z855" s="13">
        <v>7589154</v>
      </c>
      <c r="AA855" s="13">
        <v>1598</v>
      </c>
      <c r="AB855" s="13">
        <v>799</v>
      </c>
      <c r="AE855" s="51">
        <f>M855/O855</f>
        <v>3</v>
      </c>
      <c r="AG855" s="6" t="str">
        <f>C855</f>
        <v>90MB1BJ0-C1BAY0</v>
      </c>
      <c r="AH855" s="6" t="str">
        <f>IF($D855&lt;=AH$4,"",IF(AND($D854=AH$4,$D855&gt;AH$4),$F854,AH854))</f>
        <v>59MB1BJB-MB0A02S</v>
      </c>
      <c r="AI855" s="6" t="str">
        <f>IF($D855&lt;=AI$4,"",IF(AND($D854=AI$4,$D855&gt;AI$4),$F854,AI854))</f>
        <v/>
      </c>
      <c r="AJ855" s="6" t="str">
        <f>IF($D855&lt;=AJ$4,"",IF(AND($D854=AJ$4,$D855&gt;AJ$4),$F854,AJ854))</f>
        <v/>
      </c>
      <c r="AK855" s="6" t="str">
        <f>IF($D855&lt;=AK$4,"",IF(AND($D854=AK$4,$D855&gt;AK$4),$F854,AK854))</f>
        <v/>
      </c>
      <c r="AL855" s="6" t="str">
        <f>IF($D855&lt;=AL$4,"",IF(AND($D854=AL$4,$D855&gt;AL$4),$F854,AL854))</f>
        <v/>
      </c>
      <c r="AM855" s="6" t="str">
        <f>IF($D855&lt;=AM$4,"",IF(AND($D854=AM$4,$D855&gt;AM$4),$F854,AM854))</f>
        <v/>
      </c>
      <c r="AN855" s="6" t="str">
        <f>IF($D855&lt;=AN$4,"",IF(AND($D854=AN$4,$D855&gt;AN$4),$F854,AN854))</f>
        <v/>
      </c>
      <c r="AO855" s="6" t="str">
        <f>CONCATENATE(AG855," | ",AH855," | ",AI855," | ",AJ855," | ",AK855," | ",AL855," | ",AM855," | ",AN855)</f>
        <v xml:space="preserve">90MB1BJ0-C1BAY0 | 59MB1BJB-MB0A02S |  |  |  |  |  | </v>
      </c>
      <c r="AP855" s="6">
        <f>IF(TRIM(H855)="",100,J855)</f>
        <v>100</v>
      </c>
      <c r="AQ855" s="4"/>
      <c r="AR855" s="6" t="b">
        <f>NOT(TRIM(W855)&lt;&gt;"F")</f>
        <v>1</v>
      </c>
      <c r="AS855" s="6" t="str">
        <f>$B855&amp;" | "&amp;$AO855&amp;" | "&amp;IF(TRIM(H855)="","uniq"&amp;ROW(),TRIM(H855))</f>
        <v>461E | 90MB1BJ0-C1BAY0 | 59MB1BJB-MB0A02S |  |  |  |  |  |  | S1</v>
      </c>
      <c r="AT855" s="63">
        <f>IF(NOT(AR855),IF(TRIM($H855)="","Assembly","Phantom Alt"),VLOOKUP(F855,ZPCS04!B:G,6,0))</f>
        <v>649</v>
      </c>
      <c r="AU855" s="7"/>
      <c r="AV855" s="38">
        <f ca="1">IF(TRIM($W855)="F",OFFSET($A$5,MATCH($AS855,$AS$5:$AS855,0)-1,0),$A855)</f>
        <v>855</v>
      </c>
      <c r="AW855" s="38">
        <f ca="1">IFERROR(OFFSET(ZPCS04!$A$1,MATCH(F855,ZPCS04!B:B,0)-1,0),100)</f>
        <v>1.99999997</v>
      </c>
      <c r="AX855" s="7"/>
      <c r="AY855" s="6" t="b">
        <f>SUMIF(AS:AS,AS855,AP:AP)=100</f>
        <v>1</v>
      </c>
      <c r="AZ855" s="6" t="b">
        <f>SUMIF(AS:AS,AS855,AE:AE)/COUNTIF(AS:AS,AS855)=AE855</f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>C855&amp;" | "&amp;F855</f>
        <v>90MB1BJ0-C1BAY0 | 12006-00151800</v>
      </c>
      <c r="BE855" s="55" t="str">
        <f ca="1">C855&amp;" | "&amp;OFFSET($AF855,0,8-COUNTBLANK($AG855:$AN855))</f>
        <v>90MB1BJ0-C1BAY0 | 59MB1BJB-MB0A02S</v>
      </c>
      <c r="BF855" s="57">
        <f ca="1">IFERROR(VLOOKUP($BE855,$BD$5:$BF854,3,0)*$AE855,VLOOKUP($C855,Demanda!$A:$B,2,0)*$AE855)*IF(AT855="Phantom Alt",$BC855,TRUE)</f>
        <v>3000</v>
      </c>
      <c r="BG855" s="57">
        <f ca="1">BF855*(AP855/100)</f>
        <v>3000</v>
      </c>
      <c r="BH855" s="57">
        <f>SUMIF(Invoice!A:A,F855,Invoice!B:B)</f>
        <v>3000</v>
      </c>
      <c r="BI855" s="57">
        <f ca="1">SUMIF(AS:AS,AS855,BG:BG)</f>
        <v>3000</v>
      </c>
      <c r="BJ855" s="57">
        <f ca="1">MIN((BI855-SUMIF($AS$5:AS854,AS855,$BJ$5:BJ854)),MAX(0,BH855-SUMIF($F$5:F854,F855,$BJ$5:BJ854)))</f>
        <v>3000</v>
      </c>
      <c r="BK855" s="57">
        <f ca="1">(-SUMIF(AS:AS,AS855,BG:BG)+SUMIF(AS:AS,AS855,BJ:BJ))*(AP855=100)*AR855</f>
        <v>0</v>
      </c>
      <c r="BL855" s="57">
        <f ca="1">MAX(0,SUMIF(Invoice!A:A,F855,Invoice!B:B)-SUMIF(F:F,F855,BJ:BJ))*(COUNTIF(F:F,F855)=COUNTIF($F$5:F855,F855))</f>
        <v>0</v>
      </c>
    </row>
    <row r="856" spans="1:64" hidden="1">
      <c r="A856" s="43">
        <v>856</v>
      </c>
      <c r="B856" s="13" t="s">
        <v>147</v>
      </c>
      <c r="C856" s="13" t="s">
        <v>146</v>
      </c>
      <c r="D856" s="13">
        <v>2</v>
      </c>
      <c r="E856" s="13">
        <v>2810</v>
      </c>
      <c r="F856" s="71" t="s">
        <v>1967</v>
      </c>
      <c r="G856" s="71" t="s">
        <v>1968</v>
      </c>
      <c r="H856" s="13" t="s">
        <v>1966</v>
      </c>
      <c r="I856" s="13" t="s">
        <v>55</v>
      </c>
      <c r="J856" s="28">
        <v>0</v>
      </c>
      <c r="K856" s="13" t="s">
        <v>150</v>
      </c>
      <c r="L856" s="13" t="s">
        <v>53</v>
      </c>
      <c r="M856" s="13">
        <v>3</v>
      </c>
      <c r="O856" s="13">
        <v>1</v>
      </c>
      <c r="P856" s="13">
        <v>2</v>
      </c>
      <c r="Q856" s="13">
        <v>2</v>
      </c>
      <c r="R856" s="13" t="s">
        <v>73</v>
      </c>
      <c r="S856" s="13" t="s">
        <v>73</v>
      </c>
      <c r="T856" s="13">
        <v>44901</v>
      </c>
      <c r="U856" s="13">
        <v>2958465</v>
      </c>
      <c r="V856" s="13" t="s">
        <v>282</v>
      </c>
      <c r="W856" s="13" t="s">
        <v>145</v>
      </c>
      <c r="Y856" s="13" t="s">
        <v>143</v>
      </c>
      <c r="Z856" s="13">
        <v>7589154</v>
      </c>
      <c r="AA856" s="13">
        <v>1600</v>
      </c>
      <c r="AB856" s="13">
        <v>800</v>
      </c>
      <c r="AE856" s="51">
        <f>M856/O856</f>
        <v>3</v>
      </c>
      <c r="AG856" s="6" t="str">
        <f>C856</f>
        <v>90MB1BJ0-C1BAY0</v>
      </c>
      <c r="AH856" s="6" t="str">
        <f>IF($D856&lt;=AH$4,"",IF(AND($D855=AH$4,$D856&gt;AH$4),$F855,AH855))</f>
        <v>59MB1BJB-MB0A02S</v>
      </c>
      <c r="AI856" s="6" t="str">
        <f>IF($D856&lt;=AI$4,"",IF(AND($D855=AI$4,$D856&gt;AI$4),$F855,AI855))</f>
        <v/>
      </c>
      <c r="AJ856" s="6" t="str">
        <f>IF($D856&lt;=AJ$4,"",IF(AND($D855=AJ$4,$D856&gt;AJ$4),$F855,AJ855))</f>
        <v/>
      </c>
      <c r="AK856" s="6" t="str">
        <f>IF($D856&lt;=AK$4,"",IF(AND($D855=AK$4,$D856&gt;AK$4),$F855,AK855))</f>
        <v/>
      </c>
      <c r="AL856" s="6" t="str">
        <f>IF($D856&lt;=AL$4,"",IF(AND($D855=AL$4,$D856&gt;AL$4),$F855,AL855))</f>
        <v/>
      </c>
      <c r="AM856" s="6" t="str">
        <f>IF($D856&lt;=AM$4,"",IF(AND($D855=AM$4,$D856&gt;AM$4),$F855,AM855))</f>
        <v/>
      </c>
      <c r="AN856" s="6" t="str">
        <f>IF($D856&lt;=AN$4,"",IF(AND($D855=AN$4,$D856&gt;AN$4),$F855,AN855))</f>
        <v/>
      </c>
      <c r="AO856" s="6" t="str">
        <f>CONCATENATE(AG856," | ",AH856," | ",AI856," | ",AJ856," | ",AK856," | ",AL856," | ",AM856," | ",AN856)</f>
        <v xml:space="preserve">90MB1BJ0-C1BAY0 | 59MB1BJB-MB0A02S |  |  |  |  |  | </v>
      </c>
      <c r="AP856" s="6">
        <f>IF(TRIM(H856)="",100,J856)</f>
        <v>0</v>
      </c>
      <c r="AQ856" s="4"/>
      <c r="AR856" s="6" t="b">
        <f>NOT(TRIM(W856)&lt;&gt;"F")</f>
        <v>1</v>
      </c>
      <c r="AS856" s="6" t="str">
        <f>$B856&amp;" | "&amp;$AO856&amp;" | "&amp;IF(TRIM(H856)="","uniq"&amp;ROW(),TRIM(H856))</f>
        <v>461E | 90MB1BJ0-C1BAY0 | 59MB1BJB-MB0A02S |  |  |  |  |  |  | S1</v>
      </c>
      <c r="AT856" s="63">
        <f>IF(NOT(AR856),IF(TRIM($H856)="","Assembly","Phantom Alt"),VLOOKUP(F856,ZPCS04!B:G,6,0))</f>
        <v>649</v>
      </c>
      <c r="AU856" s="7"/>
      <c r="AV856" s="38">
        <f ca="1">IF(TRIM($W856)="F",OFFSET($A$5,MATCH($AS856,$AS$5:$AS856,0)-1,0),$A856)</f>
        <v>855</v>
      </c>
      <c r="AW856" s="38">
        <f ca="1">IFERROR(OFFSET(ZPCS04!$A$1,MATCH(F856,ZPCS04!B:B,0)-1,0),100)</f>
        <v>2</v>
      </c>
      <c r="AX856" s="7"/>
      <c r="AY856" s="6" t="b">
        <f>SUMIF(AS:AS,AS856,AP:AP)=100</f>
        <v>1</v>
      </c>
      <c r="AZ856" s="6" t="b">
        <f>SUMIF(AS:AS,AS856,AE:AE)/COUNTIF(AS:AS,AS856)=AE856</f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>C856&amp;" | "&amp;F856</f>
        <v>90MB1BJ0-C1BAY0 | 12006-00152100</v>
      </c>
      <c r="BE856" s="55" t="str">
        <f ca="1">C856&amp;" | "&amp;OFFSET($AF856,0,8-COUNTBLANK($AG856:$AN856))</f>
        <v>90MB1BJ0-C1BAY0 | 59MB1BJB-MB0A02S</v>
      </c>
      <c r="BF856" s="57">
        <f ca="1">IFERROR(VLOOKUP($BE856,$BD$5:$BF855,3,0)*$AE856,VLOOKUP($C856,Demanda!$A:$B,2,0)*$AE856)*IF(AT856="Phantom Alt",$BC856,TRUE)</f>
        <v>3000</v>
      </c>
      <c r="BG856" s="57">
        <f ca="1">BF856*(AP856/100)</f>
        <v>0</v>
      </c>
      <c r="BH856" s="57">
        <f>SUMIF(Invoice!A:A,F856,Invoice!B:B)</f>
        <v>0</v>
      </c>
      <c r="BI856" s="57">
        <f ca="1">SUMIF(AS:AS,AS856,BG:BG)</f>
        <v>3000</v>
      </c>
      <c r="BJ856" s="57">
        <f ca="1">MIN((BI856-SUMIF($AS$5:AS855,AS856,$BJ$5:BJ855)),MAX(0,BH856-SUMIF($F$5:F855,F856,$BJ$5:BJ855)))</f>
        <v>0</v>
      </c>
      <c r="BK856" s="57">
        <f ca="1">(-SUMIF(AS:AS,AS856,BG:BG)+SUMIF(AS:AS,AS856,BJ:BJ))*(AP856=100)*AR856</f>
        <v>0</v>
      </c>
      <c r="BL856" s="57">
        <f ca="1">MAX(0,SUMIF(Invoice!A:A,F856,Invoice!B:B)-SUMIF(F:F,F856,BJ:BJ))*(COUNTIF(F:F,F856)=COUNTIF($F$5:F856,F856))</f>
        <v>0</v>
      </c>
    </row>
    <row r="857" spans="1:64" hidden="1">
      <c r="A857" s="43">
        <v>859</v>
      </c>
      <c r="B857" s="13" t="s">
        <v>147</v>
      </c>
      <c r="C857" s="13" t="s">
        <v>146</v>
      </c>
      <c r="D857" s="13">
        <v>2</v>
      </c>
      <c r="E857" s="13">
        <v>2820</v>
      </c>
      <c r="F857" s="71" t="s">
        <v>1974</v>
      </c>
      <c r="G857" s="71" t="s">
        <v>1975</v>
      </c>
      <c r="H857" s="13" t="s">
        <v>1971</v>
      </c>
      <c r="I857" s="13" t="s">
        <v>55</v>
      </c>
      <c r="J857" s="28">
        <v>0</v>
      </c>
      <c r="K857" s="13" t="s">
        <v>150</v>
      </c>
      <c r="L857" s="13" t="s">
        <v>53</v>
      </c>
      <c r="M857" s="13">
        <v>2</v>
      </c>
      <c r="O857" s="13">
        <v>1</v>
      </c>
      <c r="P857" s="13">
        <v>2</v>
      </c>
      <c r="Q857" s="13">
        <v>2</v>
      </c>
      <c r="R857" s="13" t="s">
        <v>73</v>
      </c>
      <c r="S857" s="13" t="s">
        <v>73</v>
      </c>
      <c r="T857" s="13">
        <v>44901</v>
      </c>
      <c r="U857" s="13">
        <v>2958465</v>
      </c>
      <c r="V857" s="13" t="s">
        <v>282</v>
      </c>
      <c r="W857" s="13" t="s">
        <v>145</v>
      </c>
      <c r="Y857" s="13" t="s">
        <v>143</v>
      </c>
      <c r="Z857" s="13">
        <v>7589154</v>
      </c>
      <c r="AA857" s="13">
        <v>1604</v>
      </c>
      <c r="AB857" s="13">
        <v>802</v>
      </c>
      <c r="AE857" s="51">
        <f>M857/O857</f>
        <v>2</v>
      </c>
      <c r="AG857" s="6" t="str">
        <f>C857</f>
        <v>90MB1BJ0-C1BAY0</v>
      </c>
      <c r="AH857" s="6" t="str">
        <f>IF($D857&lt;=AH$4,"",IF(AND($D856=AH$4,$D857&gt;AH$4),$F856,AH856))</f>
        <v>59MB1BJB-MB0A02S</v>
      </c>
      <c r="AI857" s="6" t="str">
        <f>IF($D857&lt;=AI$4,"",IF(AND($D856=AI$4,$D857&gt;AI$4),$F856,AI856))</f>
        <v/>
      </c>
      <c r="AJ857" s="6" t="str">
        <f>IF($D857&lt;=AJ$4,"",IF(AND($D856=AJ$4,$D857&gt;AJ$4),$F856,AJ856))</f>
        <v/>
      </c>
      <c r="AK857" s="6" t="str">
        <f>IF($D857&lt;=AK$4,"",IF(AND($D856=AK$4,$D857&gt;AK$4),$F856,AK856))</f>
        <v/>
      </c>
      <c r="AL857" s="6" t="str">
        <f>IF($D857&lt;=AL$4,"",IF(AND($D856=AL$4,$D857&gt;AL$4),$F856,AL856))</f>
        <v/>
      </c>
      <c r="AM857" s="6" t="str">
        <f>IF($D857&lt;=AM$4,"",IF(AND($D856=AM$4,$D857&gt;AM$4),$F856,AM856))</f>
        <v/>
      </c>
      <c r="AN857" s="6" t="str">
        <f>IF($D857&lt;=AN$4,"",IF(AND($D856=AN$4,$D857&gt;AN$4),$F856,AN856))</f>
        <v/>
      </c>
      <c r="AO857" s="6" t="str">
        <f>CONCATENATE(AG857," | ",AH857," | ",AI857," | ",AJ857," | ",AK857," | ",AL857," | ",AM857," | ",AN857)</f>
        <v xml:space="preserve">90MB1BJ0-C1BAY0 | 59MB1BJB-MB0A02S |  |  |  |  |  | </v>
      </c>
      <c r="AP857" s="6">
        <f>IF(TRIM(H857)="",100,J857)</f>
        <v>0</v>
      </c>
      <c r="AQ857" s="4"/>
      <c r="AR857" s="6" t="b">
        <f>NOT(TRIM(W857)&lt;&gt;"F")</f>
        <v>1</v>
      </c>
      <c r="AS857" s="6" t="str">
        <f>$B857&amp;" | "&amp;$AO857&amp;" | "&amp;IF(TRIM(H857)="","uniq"&amp;ROW(),TRIM(H857))</f>
        <v>461E | 90MB1BJ0-C1BAY0 | 59MB1BJB-MB0A02S |  |  |  |  |  |  | S2</v>
      </c>
      <c r="AT857" s="63">
        <f>IF(NOT(AR857),IF(TRIM($H857)="","Assembly","Phantom Alt"),VLOOKUP(F857,ZPCS04!B:G,6,0))</f>
        <v>910</v>
      </c>
      <c r="AU857" s="7"/>
      <c r="AV857" s="38">
        <f ca="1">IF(TRIM($W857)="F",OFFSET($A$5,MATCH($AS857,$AS$5:$AS857,0)-1,0),$A857)</f>
        <v>859</v>
      </c>
      <c r="AW857" s="38">
        <f ca="1">IFERROR(OFFSET(ZPCS04!$A$1,MATCH(F857,ZPCS04!B:B,0)-1,0),100)</f>
        <v>1.9999999800000001</v>
      </c>
      <c r="AX857" s="7"/>
      <c r="AY857" s="6" t="b">
        <f>SUMIF(AS:AS,AS857,AP:AP)=100</f>
        <v>1</v>
      </c>
      <c r="AZ857" s="6" t="b">
        <f>SUMIF(AS:AS,AS857,AE:AE)/COUNTIF(AS:AS,AS857)=AE857</f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>C857&amp;" | "&amp;F857</f>
        <v>90MB1BJ0-C1BAY0 | 12006-00161400</v>
      </c>
      <c r="BE857" s="55" t="str">
        <f ca="1">C857&amp;" | "&amp;OFFSET($AF857,0,8-COUNTBLANK($AG857:$AN857))</f>
        <v>90MB1BJ0-C1BAY0 | 59MB1BJB-MB0A02S</v>
      </c>
      <c r="BF857" s="57">
        <f ca="1">IFERROR(VLOOKUP($BE857,$BD$5:$BF856,3,0)*$AE857,VLOOKUP($C857,Demanda!$A:$B,2,0)*$AE857)*IF(AT857="Phantom Alt",$BC857,TRUE)</f>
        <v>2000</v>
      </c>
      <c r="BG857" s="57">
        <f ca="1">BF857*(AP857/100)</f>
        <v>0</v>
      </c>
      <c r="BH857" s="57">
        <f>SUMIF(Invoice!A:A,F857,Invoice!B:B)</f>
        <v>2000</v>
      </c>
      <c r="BI857" s="57">
        <f ca="1">SUMIF(AS:AS,AS857,BG:BG)</f>
        <v>2000</v>
      </c>
      <c r="BJ857" s="57">
        <f ca="1">MIN((BI857-SUMIF($AS$5:AS856,AS857,$BJ$5:BJ856)),MAX(0,BH857-SUMIF($F$5:F856,F857,$BJ$5:BJ856)))</f>
        <v>2000</v>
      </c>
      <c r="BK857" s="57">
        <f ca="1">(-SUMIF(AS:AS,AS857,BG:BG)+SUMIF(AS:AS,AS857,BJ:BJ))*(AP857=100)*AR857</f>
        <v>0</v>
      </c>
      <c r="BL857" s="57">
        <f ca="1">MAX(0,SUMIF(Invoice!A:A,F857,Invoice!B:B)-SUMIF(F:F,F857,BJ:BJ))*(COUNTIF(F:F,F857)=COUNTIF($F$5:F857,F857))</f>
        <v>0</v>
      </c>
    </row>
    <row r="858" spans="1:64" hidden="1">
      <c r="A858" s="43">
        <v>857</v>
      </c>
      <c r="B858" s="13" t="s">
        <v>147</v>
      </c>
      <c r="C858" s="13" t="s">
        <v>146</v>
      </c>
      <c r="D858" s="13">
        <v>2</v>
      </c>
      <c r="E858" s="13">
        <v>2820</v>
      </c>
      <c r="F858" s="71" t="s">
        <v>1969</v>
      </c>
      <c r="G858" s="71" t="s">
        <v>1970</v>
      </c>
      <c r="H858" s="13" t="s">
        <v>1971</v>
      </c>
      <c r="I858" s="13" t="s">
        <v>54</v>
      </c>
      <c r="J858" s="28">
        <v>100</v>
      </c>
      <c r="K858" s="13" t="s">
        <v>150</v>
      </c>
      <c r="L858" s="13" t="s">
        <v>53</v>
      </c>
      <c r="M858" s="13">
        <v>2</v>
      </c>
      <c r="N858" s="13">
        <v>2</v>
      </c>
      <c r="O858" s="13">
        <v>1</v>
      </c>
      <c r="P858" s="13">
        <v>2</v>
      </c>
      <c r="Q858" s="13">
        <v>1</v>
      </c>
      <c r="R858" s="13" t="s">
        <v>73</v>
      </c>
      <c r="S858" s="13" t="s">
        <v>73</v>
      </c>
      <c r="T858" s="13">
        <v>44901</v>
      </c>
      <c r="U858" s="13">
        <v>2958465</v>
      </c>
      <c r="V858" s="13" t="s">
        <v>282</v>
      </c>
      <c r="W858" s="13" t="s">
        <v>145</v>
      </c>
      <c r="Y858" s="13" t="s">
        <v>143</v>
      </c>
      <c r="Z858" s="13">
        <v>7589154</v>
      </c>
      <c r="AA858" s="13">
        <v>1602</v>
      </c>
      <c r="AB858" s="13">
        <v>801</v>
      </c>
      <c r="AE858" s="51">
        <f>M858/O858</f>
        <v>2</v>
      </c>
      <c r="AG858" s="6" t="str">
        <f>C858</f>
        <v>90MB1BJ0-C1BAY0</v>
      </c>
      <c r="AH858" s="6" t="str">
        <f>IF($D858&lt;=AH$4,"",IF(AND($D857=AH$4,$D858&gt;AH$4),$F857,AH857))</f>
        <v>59MB1BJB-MB0A02S</v>
      </c>
      <c r="AI858" s="6" t="str">
        <f>IF($D858&lt;=AI$4,"",IF(AND($D857=AI$4,$D858&gt;AI$4),$F857,AI857))</f>
        <v/>
      </c>
      <c r="AJ858" s="6" t="str">
        <f>IF($D858&lt;=AJ$4,"",IF(AND($D857=AJ$4,$D858&gt;AJ$4),$F857,AJ857))</f>
        <v/>
      </c>
      <c r="AK858" s="6" t="str">
        <f>IF($D858&lt;=AK$4,"",IF(AND($D857=AK$4,$D858&gt;AK$4),$F857,AK857))</f>
        <v/>
      </c>
      <c r="AL858" s="6" t="str">
        <f>IF($D858&lt;=AL$4,"",IF(AND($D857=AL$4,$D858&gt;AL$4),$F857,AL857))</f>
        <v/>
      </c>
      <c r="AM858" s="6" t="str">
        <f>IF($D858&lt;=AM$4,"",IF(AND($D857=AM$4,$D858&gt;AM$4),$F857,AM857))</f>
        <v/>
      </c>
      <c r="AN858" s="6" t="str">
        <f>IF($D858&lt;=AN$4,"",IF(AND($D857=AN$4,$D858&gt;AN$4),$F857,AN857))</f>
        <v/>
      </c>
      <c r="AO858" s="6" t="str">
        <f>CONCATENATE(AG858," | ",AH858," | ",AI858," | ",AJ858," | ",AK858," | ",AL858," | ",AM858," | ",AN858)</f>
        <v xml:space="preserve">90MB1BJ0-C1BAY0 | 59MB1BJB-MB0A02S |  |  |  |  |  | </v>
      </c>
      <c r="AP858" s="6">
        <f>IF(TRIM(H858)="",100,J858)</f>
        <v>100</v>
      </c>
      <c r="AQ858" s="4"/>
      <c r="AR858" s="6" t="b">
        <f>NOT(TRIM(W858)&lt;&gt;"F")</f>
        <v>1</v>
      </c>
      <c r="AS858" s="6" t="str">
        <f>$B858&amp;" | "&amp;$AO858&amp;" | "&amp;IF(TRIM(H858)="","uniq"&amp;ROW(),TRIM(H858))</f>
        <v>461E | 90MB1BJ0-C1BAY0 | 59MB1BJB-MB0A02S |  |  |  |  |  |  | S2</v>
      </c>
      <c r="AT858" s="63">
        <f>IF(NOT(AR858),IF(TRIM($H858)="","Assembly","Phantom Alt"),VLOOKUP(F858,ZPCS04!B:G,6,0))</f>
        <v>910</v>
      </c>
      <c r="AU858" s="7"/>
      <c r="AV858" s="38">
        <f ca="1">IF(TRIM($W858)="F",OFFSET($A$5,MATCH($AS858,$AS$5:$AS858,0)-1,0),$A858)</f>
        <v>859</v>
      </c>
      <c r="AW858" s="38">
        <f ca="1">IFERROR(OFFSET(ZPCS04!$A$1,MATCH(F858,ZPCS04!B:B,0)-1,0),100)</f>
        <v>2</v>
      </c>
      <c r="AX858" s="7"/>
      <c r="AY858" s="6" t="b">
        <f>SUMIF(AS:AS,AS858,AP:AP)=100</f>
        <v>1</v>
      </c>
      <c r="AZ858" s="6" t="b">
        <f>SUMIF(AS:AS,AS858,AE:AE)/COUNTIF(AS:AS,AS858)=AE858</f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>C858&amp;" | "&amp;F858</f>
        <v>90MB1BJ0-C1BAY0 | 12006-00161100</v>
      </c>
      <c r="BE858" s="55" t="str">
        <f ca="1">C858&amp;" | "&amp;OFFSET($AF858,0,8-COUNTBLANK($AG858:$AN858))</f>
        <v>90MB1BJ0-C1BAY0 | 59MB1BJB-MB0A02S</v>
      </c>
      <c r="BF858" s="57">
        <f ca="1">IFERROR(VLOOKUP($BE858,$BD$5:$BF857,3,0)*$AE858,VLOOKUP($C858,Demanda!$A:$B,2,0)*$AE858)*IF(AT858="Phantom Alt",$BC858,TRUE)</f>
        <v>2000</v>
      </c>
      <c r="BG858" s="57">
        <f ca="1">BF858*(AP858/100)</f>
        <v>2000</v>
      </c>
      <c r="BH858" s="57">
        <f>SUMIF(Invoice!A:A,F858,Invoice!B:B)</f>
        <v>0</v>
      </c>
      <c r="BI858" s="57">
        <f ca="1">SUMIF(AS:AS,AS858,BG:BG)</f>
        <v>2000</v>
      </c>
      <c r="BJ858" s="57">
        <f ca="1">MIN((BI858-SUMIF($AS$5:AS857,AS858,$BJ$5:BJ857)),MAX(0,BH858-SUMIF($F$5:F857,F858,$BJ$5:BJ857)))</f>
        <v>0</v>
      </c>
      <c r="BK858" s="57">
        <f ca="1">(-SUMIF(AS:AS,AS858,BG:BG)+SUMIF(AS:AS,AS858,BJ:BJ))*(AP858=100)*AR858</f>
        <v>0</v>
      </c>
      <c r="BL858" s="57">
        <f ca="1">MAX(0,SUMIF(Invoice!A:A,F858,Invoice!B:B)-SUMIF(F:F,F858,BJ:BJ))*(COUNTIF(F:F,F858)=COUNTIF($F$5:F858,F858))</f>
        <v>0</v>
      </c>
    </row>
    <row r="859" spans="1:64" hidden="1">
      <c r="A859" s="43">
        <v>858</v>
      </c>
      <c r="B859" s="13" t="s">
        <v>147</v>
      </c>
      <c r="C859" s="13" t="s">
        <v>146</v>
      </c>
      <c r="D859" s="13">
        <v>2</v>
      </c>
      <c r="E859" s="13">
        <v>2820</v>
      </c>
      <c r="F859" s="71" t="s">
        <v>1972</v>
      </c>
      <c r="G859" s="71" t="s">
        <v>1973</v>
      </c>
      <c r="H859" s="13" t="s">
        <v>1971</v>
      </c>
      <c r="I859" s="13" t="s">
        <v>55</v>
      </c>
      <c r="J859" s="28">
        <v>0</v>
      </c>
      <c r="K859" s="13" t="s">
        <v>150</v>
      </c>
      <c r="L859" s="13" t="s">
        <v>53</v>
      </c>
      <c r="M859" s="13">
        <v>2</v>
      </c>
      <c r="O859" s="13">
        <v>1</v>
      </c>
      <c r="P859" s="13">
        <v>2</v>
      </c>
      <c r="Q859" s="13">
        <v>3</v>
      </c>
      <c r="R859" s="13" t="s">
        <v>73</v>
      </c>
      <c r="S859" s="13" t="s">
        <v>73</v>
      </c>
      <c r="T859" s="13">
        <v>44901</v>
      </c>
      <c r="U859" s="13">
        <v>2958465</v>
      </c>
      <c r="V859" s="13" t="s">
        <v>282</v>
      </c>
      <c r="W859" s="13" t="s">
        <v>145</v>
      </c>
      <c r="Y859" s="13" t="s">
        <v>143</v>
      </c>
      <c r="Z859" s="13">
        <v>7589154</v>
      </c>
      <c r="AA859" s="13">
        <v>1606</v>
      </c>
      <c r="AB859" s="13">
        <v>803</v>
      </c>
      <c r="AE859" s="51">
        <f>M859/O859</f>
        <v>2</v>
      </c>
      <c r="AG859" s="6" t="str">
        <f>C859</f>
        <v>90MB1BJ0-C1BAY0</v>
      </c>
      <c r="AH859" s="6" t="str">
        <f>IF($D859&lt;=AH$4,"",IF(AND($D858=AH$4,$D859&gt;AH$4),$F858,AH858))</f>
        <v>59MB1BJB-MB0A02S</v>
      </c>
      <c r="AI859" s="6" t="str">
        <f>IF($D859&lt;=AI$4,"",IF(AND($D858=AI$4,$D859&gt;AI$4),$F858,AI858))</f>
        <v/>
      </c>
      <c r="AJ859" s="6" t="str">
        <f>IF($D859&lt;=AJ$4,"",IF(AND($D858=AJ$4,$D859&gt;AJ$4),$F858,AJ858))</f>
        <v/>
      </c>
      <c r="AK859" s="6" t="str">
        <f>IF($D859&lt;=AK$4,"",IF(AND($D858=AK$4,$D859&gt;AK$4),$F858,AK858))</f>
        <v/>
      </c>
      <c r="AL859" s="6" t="str">
        <f>IF($D859&lt;=AL$4,"",IF(AND($D858=AL$4,$D859&gt;AL$4),$F858,AL858))</f>
        <v/>
      </c>
      <c r="AM859" s="6" t="str">
        <f>IF($D859&lt;=AM$4,"",IF(AND($D858=AM$4,$D859&gt;AM$4),$F858,AM858))</f>
        <v/>
      </c>
      <c r="AN859" s="6" t="str">
        <f>IF($D859&lt;=AN$4,"",IF(AND($D858=AN$4,$D859&gt;AN$4),$F858,AN858))</f>
        <v/>
      </c>
      <c r="AO859" s="6" t="str">
        <f>CONCATENATE(AG859," | ",AH859," | ",AI859," | ",AJ859," | ",AK859," | ",AL859," | ",AM859," | ",AN859)</f>
        <v xml:space="preserve">90MB1BJ0-C1BAY0 | 59MB1BJB-MB0A02S |  |  |  |  |  | </v>
      </c>
      <c r="AP859" s="6">
        <f>IF(TRIM(H859)="",100,J859)</f>
        <v>0</v>
      </c>
      <c r="AQ859" s="4"/>
      <c r="AR859" s="6" t="b">
        <f>NOT(TRIM(W859)&lt;&gt;"F")</f>
        <v>1</v>
      </c>
      <c r="AS859" s="6" t="str">
        <f>$B859&amp;" | "&amp;$AO859&amp;" | "&amp;IF(TRIM(H859)="","uniq"&amp;ROW(),TRIM(H859))</f>
        <v>461E | 90MB1BJ0-C1BAY0 | 59MB1BJB-MB0A02S |  |  |  |  |  |  | S2</v>
      </c>
      <c r="AT859" s="63">
        <f>IF(NOT(AR859),IF(TRIM($H859)="","Assembly","Phantom Alt"),VLOOKUP(F859,ZPCS04!B:G,6,0))</f>
        <v>910</v>
      </c>
      <c r="AU859" s="7"/>
      <c r="AV859" s="38">
        <f ca="1">IF(TRIM($W859)="F",OFFSET($A$5,MATCH($AS859,$AS$5:$AS859,0)-1,0),$A859)</f>
        <v>859</v>
      </c>
      <c r="AW859" s="38">
        <f ca="1">IFERROR(OFFSET(ZPCS04!$A$1,MATCH(F859,ZPCS04!B:B,0)-1,0),100)</f>
        <v>2</v>
      </c>
      <c r="AX859" s="7"/>
      <c r="AY859" s="6" t="b">
        <f>SUMIF(AS:AS,AS859,AP:AP)=100</f>
        <v>1</v>
      </c>
      <c r="AZ859" s="6" t="b">
        <f>SUMIF(AS:AS,AS859,AE:AE)/COUNTIF(AS:AS,AS859)=AE859</f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>C859&amp;" | "&amp;F859</f>
        <v>90MB1BJ0-C1BAY0 | 12006-00161200</v>
      </c>
      <c r="BE859" s="55" t="str">
        <f ca="1">C859&amp;" | "&amp;OFFSET($AF859,0,8-COUNTBLANK($AG859:$AN859))</f>
        <v>90MB1BJ0-C1BAY0 | 59MB1BJB-MB0A02S</v>
      </c>
      <c r="BF859" s="57">
        <f ca="1">IFERROR(VLOOKUP($BE859,$BD$5:$BF858,3,0)*$AE859,VLOOKUP($C859,Demanda!$A:$B,2,0)*$AE859)*IF(AT859="Phantom Alt",$BC859,TRUE)</f>
        <v>2000</v>
      </c>
      <c r="BG859" s="57">
        <f ca="1">BF859*(AP859/100)</f>
        <v>0</v>
      </c>
      <c r="BH859" s="57">
        <f>SUMIF(Invoice!A:A,F859,Invoice!B:B)</f>
        <v>0</v>
      </c>
      <c r="BI859" s="57">
        <f ca="1">SUMIF(AS:AS,AS859,BG:BG)</f>
        <v>2000</v>
      </c>
      <c r="BJ859" s="57">
        <f ca="1">MIN((BI859-SUMIF($AS$5:AS858,AS859,$BJ$5:BJ858)),MAX(0,BH859-SUMIF($F$5:F858,F859,$BJ$5:BJ858)))</f>
        <v>0</v>
      </c>
      <c r="BK859" s="57">
        <f ca="1">(-SUMIF(AS:AS,AS859,BG:BG)+SUMIF(AS:AS,AS859,BJ:BJ))*(AP859=100)*AR859</f>
        <v>0</v>
      </c>
      <c r="BL859" s="57">
        <f ca="1">MAX(0,SUMIF(Invoice!A:A,F859,Invoice!B:B)-SUMIF(F:F,F859,BJ:BJ))*(COUNTIF(F:F,F859)=COUNTIF($F$5:F859,F859))</f>
        <v>0</v>
      </c>
    </row>
    <row r="860" spans="1:64" hidden="1">
      <c r="A860" s="43">
        <v>860</v>
      </c>
      <c r="B860" s="13" t="s">
        <v>147</v>
      </c>
      <c r="C860" s="13" t="s">
        <v>146</v>
      </c>
      <c r="D860" s="13">
        <v>2</v>
      </c>
      <c r="E860" s="13">
        <v>2830</v>
      </c>
      <c r="F860" s="71" t="s">
        <v>1976</v>
      </c>
      <c r="G860" s="71" t="s">
        <v>1977</v>
      </c>
      <c r="H860" s="13" t="s">
        <v>1978</v>
      </c>
      <c r="I860" s="13" t="s">
        <v>55</v>
      </c>
      <c r="J860" s="28">
        <v>0</v>
      </c>
      <c r="K860" s="13" t="s">
        <v>150</v>
      </c>
      <c r="L860" s="13" t="s">
        <v>53</v>
      </c>
      <c r="M860" s="13">
        <v>1</v>
      </c>
      <c r="O860" s="13">
        <v>1</v>
      </c>
      <c r="P860" s="13">
        <v>2</v>
      </c>
      <c r="Q860" s="13">
        <v>2</v>
      </c>
      <c r="R860" s="13" t="s">
        <v>73</v>
      </c>
      <c r="S860" s="13" t="s">
        <v>73</v>
      </c>
      <c r="T860" s="13">
        <v>44901</v>
      </c>
      <c r="U860" s="13">
        <v>2958465</v>
      </c>
      <c r="V860" s="13" t="s">
        <v>282</v>
      </c>
      <c r="W860" s="13" t="s">
        <v>145</v>
      </c>
      <c r="Y860" s="13" t="s">
        <v>143</v>
      </c>
      <c r="Z860" s="13">
        <v>7589154</v>
      </c>
      <c r="AA860" s="13">
        <v>1610</v>
      </c>
      <c r="AB860" s="13">
        <v>805</v>
      </c>
      <c r="AE860" s="51">
        <f>M860/O860</f>
        <v>1</v>
      </c>
      <c r="AG860" s="6" t="str">
        <f>C860</f>
        <v>90MB1BJ0-C1BAY0</v>
      </c>
      <c r="AH860" s="6" t="str">
        <f>IF($D860&lt;=AH$4,"",IF(AND($D859=AH$4,$D860&gt;AH$4),$F859,AH859))</f>
        <v>59MB1BJB-MB0A02S</v>
      </c>
      <c r="AI860" s="6" t="str">
        <f>IF($D860&lt;=AI$4,"",IF(AND($D859=AI$4,$D860&gt;AI$4),$F859,AI859))</f>
        <v/>
      </c>
      <c r="AJ860" s="6" t="str">
        <f>IF($D860&lt;=AJ$4,"",IF(AND($D859=AJ$4,$D860&gt;AJ$4),$F859,AJ859))</f>
        <v/>
      </c>
      <c r="AK860" s="6" t="str">
        <f>IF($D860&lt;=AK$4,"",IF(AND($D859=AK$4,$D860&gt;AK$4),$F859,AK859))</f>
        <v/>
      </c>
      <c r="AL860" s="6" t="str">
        <f>IF($D860&lt;=AL$4,"",IF(AND($D859=AL$4,$D860&gt;AL$4),$F859,AL859))</f>
        <v/>
      </c>
      <c r="AM860" s="6" t="str">
        <f>IF($D860&lt;=AM$4,"",IF(AND($D859=AM$4,$D860&gt;AM$4),$F859,AM859))</f>
        <v/>
      </c>
      <c r="AN860" s="6" t="str">
        <f>IF($D860&lt;=AN$4,"",IF(AND($D859=AN$4,$D860&gt;AN$4),$F859,AN859))</f>
        <v/>
      </c>
      <c r="AO860" s="6" t="str">
        <f>CONCATENATE(AG860," | ",AH860," | ",AI860," | ",AJ860," | ",AK860," | ",AL860," | ",AM860," | ",AN860)</f>
        <v xml:space="preserve">90MB1BJ0-C1BAY0 | 59MB1BJB-MB0A02S |  |  |  |  |  | </v>
      </c>
      <c r="AP860" s="6">
        <f>IF(TRIM(H860)="",100,J860)</f>
        <v>0</v>
      </c>
      <c r="AQ860" s="4"/>
      <c r="AR860" s="6" t="b">
        <f>NOT(TRIM(W860)&lt;&gt;"F")</f>
        <v>1</v>
      </c>
      <c r="AS860" s="6" t="str">
        <f>$B860&amp;" | "&amp;$AO860&amp;" | "&amp;IF(TRIM(H860)="","uniq"&amp;ROW(),TRIM(H860))</f>
        <v>461E | 90MB1BJ0-C1BAY0 | 59MB1BJB-MB0A02S |  |  |  |  |  |  | S3</v>
      </c>
      <c r="AT860" s="63">
        <f>IF(NOT(AR860),IF(TRIM($H860)="","Assembly","Phantom Alt"),VLOOKUP(F860,ZPCS04!B:G,6,0))</f>
        <v>832</v>
      </c>
      <c r="AU860" s="7"/>
      <c r="AV860" s="38">
        <f ca="1">IF(TRIM($W860)="F",OFFSET($A$5,MATCH($AS860,$AS$5:$AS860,0)-1,0),$A860)</f>
        <v>860</v>
      </c>
      <c r="AW860" s="38">
        <f ca="1">IFERROR(OFFSET(ZPCS04!$A$1,MATCH(F860,ZPCS04!B:B,0)-1,0),100)</f>
        <v>1.9999999900000001</v>
      </c>
      <c r="AX860" s="7"/>
      <c r="AY860" s="6" t="b">
        <f>SUMIF(AS:AS,AS860,AP:AP)=100</f>
        <v>1</v>
      </c>
      <c r="AZ860" s="6" t="b">
        <f>SUMIF(AS:AS,AS860,AE:AE)/COUNTIF(AS:AS,AS860)=AE860</f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>C860&amp;" | "&amp;F860</f>
        <v>90MB1BJ0-C1BAY0 | 12006-00201700</v>
      </c>
      <c r="BE860" s="55" t="str">
        <f ca="1">C860&amp;" | "&amp;OFFSET($AF860,0,8-COUNTBLANK($AG860:$AN860))</f>
        <v>90MB1BJ0-C1BAY0 | 59MB1BJB-MB0A02S</v>
      </c>
      <c r="BF860" s="57">
        <f ca="1">IFERROR(VLOOKUP($BE860,$BD$5:$BF859,3,0)*$AE860,VLOOKUP($C860,Demanda!$A:$B,2,0)*$AE860)*IF(AT860="Phantom Alt",$BC860,TRUE)</f>
        <v>1000</v>
      </c>
      <c r="BG860" s="57">
        <f ca="1">BF860*(AP860/100)</f>
        <v>0</v>
      </c>
      <c r="BH860" s="57">
        <f>SUMIF(Invoice!A:A,F860,Invoice!B:B)</f>
        <v>1000</v>
      </c>
      <c r="BI860" s="57">
        <f ca="1">SUMIF(AS:AS,AS860,BG:BG)</f>
        <v>1000</v>
      </c>
      <c r="BJ860" s="57">
        <f ca="1">MIN((BI860-SUMIF($AS$5:AS859,AS860,$BJ$5:BJ859)),MAX(0,BH860-SUMIF($F$5:F859,F860,$BJ$5:BJ859)))</f>
        <v>1000</v>
      </c>
      <c r="BK860" s="57">
        <f ca="1">(-SUMIF(AS:AS,AS860,BG:BG)+SUMIF(AS:AS,AS860,BJ:BJ))*(AP860=100)*AR860</f>
        <v>0</v>
      </c>
      <c r="BL860" s="57">
        <f ca="1">MAX(0,SUMIF(Invoice!A:A,F860,Invoice!B:B)-SUMIF(F:F,F860,BJ:BJ))*(COUNTIF(F:F,F860)=COUNTIF($F$5:F860,F860))</f>
        <v>0</v>
      </c>
    </row>
    <row r="861" spans="1:64" hidden="1">
      <c r="A861" s="43">
        <v>861</v>
      </c>
      <c r="B861" s="13" t="s">
        <v>147</v>
      </c>
      <c r="C861" s="13" t="s">
        <v>146</v>
      </c>
      <c r="D861" s="13">
        <v>2</v>
      </c>
      <c r="E861" s="13">
        <v>2830</v>
      </c>
      <c r="F861" s="71" t="s">
        <v>1979</v>
      </c>
      <c r="G861" s="71" t="s">
        <v>1980</v>
      </c>
      <c r="H861" s="13" t="s">
        <v>1978</v>
      </c>
      <c r="I861" s="13" t="s">
        <v>55</v>
      </c>
      <c r="J861" s="28">
        <v>0</v>
      </c>
      <c r="K861" s="13" t="s">
        <v>150</v>
      </c>
      <c r="L861" s="13" t="s">
        <v>53</v>
      </c>
      <c r="M861" s="13">
        <v>1</v>
      </c>
      <c r="O861" s="13">
        <v>1</v>
      </c>
      <c r="P861" s="13">
        <v>2</v>
      </c>
      <c r="Q861" s="13">
        <v>3</v>
      </c>
      <c r="R861" s="13" t="s">
        <v>73</v>
      </c>
      <c r="S861" s="13" t="s">
        <v>73</v>
      </c>
      <c r="T861" s="13">
        <v>44901</v>
      </c>
      <c r="U861" s="13">
        <v>2958465</v>
      </c>
      <c r="V861" s="13" t="s">
        <v>282</v>
      </c>
      <c r="W861" s="13" t="s">
        <v>145</v>
      </c>
      <c r="Y861" s="13" t="s">
        <v>143</v>
      </c>
      <c r="Z861" s="13">
        <v>7589154</v>
      </c>
      <c r="AA861" s="13">
        <v>1612</v>
      </c>
      <c r="AB861" s="13">
        <v>806</v>
      </c>
      <c r="AE861" s="51">
        <f>M861/O861</f>
        <v>1</v>
      </c>
      <c r="AG861" s="6" t="str">
        <f>C861</f>
        <v>90MB1BJ0-C1BAY0</v>
      </c>
      <c r="AH861" s="6" t="str">
        <f>IF($D861&lt;=AH$4,"",IF(AND($D860=AH$4,$D861&gt;AH$4),$F860,AH860))</f>
        <v>59MB1BJB-MB0A02S</v>
      </c>
      <c r="AI861" s="6" t="str">
        <f>IF($D861&lt;=AI$4,"",IF(AND($D860=AI$4,$D861&gt;AI$4),$F860,AI860))</f>
        <v/>
      </c>
      <c r="AJ861" s="6" t="str">
        <f>IF($D861&lt;=AJ$4,"",IF(AND($D860=AJ$4,$D861&gt;AJ$4),$F860,AJ860))</f>
        <v/>
      </c>
      <c r="AK861" s="6" t="str">
        <f>IF($D861&lt;=AK$4,"",IF(AND($D860=AK$4,$D861&gt;AK$4),$F860,AK860))</f>
        <v/>
      </c>
      <c r="AL861" s="6" t="str">
        <f>IF($D861&lt;=AL$4,"",IF(AND($D860=AL$4,$D861&gt;AL$4),$F860,AL860))</f>
        <v/>
      </c>
      <c r="AM861" s="6" t="str">
        <f>IF($D861&lt;=AM$4,"",IF(AND($D860=AM$4,$D861&gt;AM$4),$F860,AM860))</f>
        <v/>
      </c>
      <c r="AN861" s="6" t="str">
        <f>IF($D861&lt;=AN$4,"",IF(AND($D860=AN$4,$D861&gt;AN$4),$F860,AN860))</f>
        <v/>
      </c>
      <c r="AO861" s="6" t="str">
        <f>CONCATENATE(AG861," | ",AH861," | ",AI861," | ",AJ861," | ",AK861," | ",AL861," | ",AM861," | ",AN861)</f>
        <v xml:space="preserve">90MB1BJ0-C1BAY0 | 59MB1BJB-MB0A02S |  |  |  |  |  | </v>
      </c>
      <c r="AP861" s="6">
        <f>IF(TRIM(H861)="",100,J861)</f>
        <v>0</v>
      </c>
      <c r="AQ861" s="4"/>
      <c r="AR861" s="6" t="b">
        <f>NOT(TRIM(W861)&lt;&gt;"F")</f>
        <v>1</v>
      </c>
      <c r="AS861" s="6" t="str">
        <f>$B861&amp;" | "&amp;$AO861&amp;" | "&amp;IF(TRIM(H861)="","uniq"&amp;ROW(),TRIM(H861))</f>
        <v>461E | 90MB1BJ0-C1BAY0 | 59MB1BJB-MB0A02S |  |  |  |  |  |  | S3</v>
      </c>
      <c r="AT861" s="63">
        <f>IF(NOT(AR861),IF(TRIM($H861)="","Assembly","Phantom Alt"),VLOOKUP(F861,ZPCS04!B:G,6,0))</f>
        <v>832</v>
      </c>
      <c r="AU861" s="7"/>
      <c r="AV861" s="38">
        <f ca="1">IF(TRIM($W861)="F",OFFSET($A$5,MATCH($AS861,$AS$5:$AS861,0)-1,0),$A861)</f>
        <v>860</v>
      </c>
      <c r="AW861" s="38">
        <f ca="1">IFERROR(OFFSET(ZPCS04!$A$1,MATCH(F861,ZPCS04!B:B,0)-1,0),100)</f>
        <v>2</v>
      </c>
      <c r="AX861" s="7"/>
      <c r="AY861" s="6" t="b">
        <f>SUMIF(AS:AS,AS861,AP:AP)=100</f>
        <v>1</v>
      </c>
      <c r="AZ861" s="6" t="b">
        <f>SUMIF(AS:AS,AS861,AE:AE)/COUNTIF(AS:AS,AS861)=AE861</f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>C861&amp;" | "&amp;F861</f>
        <v>90MB1BJ0-C1BAY0 | 12006-00201800</v>
      </c>
      <c r="BE861" s="55" t="str">
        <f ca="1">C861&amp;" | "&amp;OFFSET($AF861,0,8-COUNTBLANK($AG861:$AN861))</f>
        <v>90MB1BJ0-C1BAY0 | 59MB1BJB-MB0A02S</v>
      </c>
      <c r="BF861" s="57">
        <f ca="1">IFERROR(VLOOKUP($BE861,$BD$5:$BF860,3,0)*$AE861,VLOOKUP($C861,Demanda!$A:$B,2,0)*$AE861)*IF(AT861="Phantom Alt",$BC861,TRUE)</f>
        <v>1000</v>
      </c>
      <c r="BG861" s="57">
        <f ca="1">BF861*(AP861/100)</f>
        <v>0</v>
      </c>
      <c r="BH861" s="57">
        <f>SUMIF(Invoice!A:A,F861,Invoice!B:B)</f>
        <v>0</v>
      </c>
      <c r="BI861" s="57">
        <f ca="1">SUMIF(AS:AS,AS861,BG:BG)</f>
        <v>1000</v>
      </c>
      <c r="BJ861" s="57">
        <f ca="1">MIN((BI861-SUMIF($AS$5:AS860,AS861,$BJ$5:BJ860)),MAX(0,BH861-SUMIF($F$5:F860,F861,$BJ$5:BJ860)))</f>
        <v>0</v>
      </c>
      <c r="BK861" s="57">
        <f ca="1">(-SUMIF(AS:AS,AS861,BG:BG)+SUMIF(AS:AS,AS861,BJ:BJ))*(AP861=100)*AR861</f>
        <v>0</v>
      </c>
      <c r="BL861" s="57">
        <f ca="1">MAX(0,SUMIF(Invoice!A:A,F861,Invoice!B:B)-SUMIF(F:F,F861,BJ:BJ))*(COUNTIF(F:F,F861)=COUNTIF($F$5:F861,F861))</f>
        <v>0</v>
      </c>
    </row>
    <row r="862" spans="1:64" hidden="1">
      <c r="A862" s="43">
        <v>862</v>
      </c>
      <c r="B862" s="13" t="s">
        <v>147</v>
      </c>
      <c r="C862" s="13" t="s">
        <v>146</v>
      </c>
      <c r="D862" s="13">
        <v>2</v>
      </c>
      <c r="E862" s="13">
        <v>2830</v>
      </c>
      <c r="F862" s="71" t="s">
        <v>1981</v>
      </c>
      <c r="G862" s="71" t="s">
        <v>1982</v>
      </c>
      <c r="H862" s="13" t="s">
        <v>1978</v>
      </c>
      <c r="I862" s="13" t="s">
        <v>54</v>
      </c>
      <c r="J862" s="28">
        <v>100</v>
      </c>
      <c r="K862" s="13" t="s">
        <v>150</v>
      </c>
      <c r="L862" s="13" t="s">
        <v>53</v>
      </c>
      <c r="M862" s="13">
        <v>1</v>
      </c>
      <c r="N862" s="13">
        <v>1</v>
      </c>
      <c r="O862" s="13">
        <v>1</v>
      </c>
      <c r="P862" s="13">
        <v>2</v>
      </c>
      <c r="Q862" s="13">
        <v>1</v>
      </c>
      <c r="R862" s="13" t="s">
        <v>73</v>
      </c>
      <c r="S862" s="13" t="s">
        <v>73</v>
      </c>
      <c r="T862" s="13">
        <v>44901</v>
      </c>
      <c r="U862" s="13">
        <v>2958465</v>
      </c>
      <c r="V862" s="13" t="s">
        <v>282</v>
      </c>
      <c r="W862" s="13" t="s">
        <v>145</v>
      </c>
      <c r="Y862" s="13" t="s">
        <v>143</v>
      </c>
      <c r="Z862" s="13">
        <v>7589154</v>
      </c>
      <c r="AA862" s="13">
        <v>1608</v>
      </c>
      <c r="AB862" s="13">
        <v>804</v>
      </c>
      <c r="AE862" s="51">
        <f>M862/O862</f>
        <v>1</v>
      </c>
      <c r="AG862" s="6" t="str">
        <f>C862</f>
        <v>90MB1BJ0-C1BAY0</v>
      </c>
      <c r="AH862" s="6" t="str">
        <f>IF($D862&lt;=AH$4,"",IF(AND($D861=AH$4,$D862&gt;AH$4),$F861,AH861))</f>
        <v>59MB1BJB-MB0A02S</v>
      </c>
      <c r="AI862" s="6" t="str">
        <f>IF($D862&lt;=AI$4,"",IF(AND($D861=AI$4,$D862&gt;AI$4),$F861,AI861))</f>
        <v/>
      </c>
      <c r="AJ862" s="6" t="str">
        <f>IF($D862&lt;=AJ$4,"",IF(AND($D861=AJ$4,$D862&gt;AJ$4),$F861,AJ861))</f>
        <v/>
      </c>
      <c r="AK862" s="6" t="str">
        <f>IF($D862&lt;=AK$4,"",IF(AND($D861=AK$4,$D862&gt;AK$4),$F861,AK861))</f>
        <v/>
      </c>
      <c r="AL862" s="6" t="str">
        <f>IF($D862&lt;=AL$4,"",IF(AND($D861=AL$4,$D862&gt;AL$4),$F861,AL861))</f>
        <v/>
      </c>
      <c r="AM862" s="6" t="str">
        <f>IF($D862&lt;=AM$4,"",IF(AND($D861=AM$4,$D862&gt;AM$4),$F861,AM861))</f>
        <v/>
      </c>
      <c r="AN862" s="6" t="str">
        <f>IF($D862&lt;=AN$4,"",IF(AND($D861=AN$4,$D862&gt;AN$4),$F861,AN861))</f>
        <v/>
      </c>
      <c r="AO862" s="6" t="str">
        <f>CONCATENATE(AG862," | ",AH862," | ",AI862," | ",AJ862," | ",AK862," | ",AL862," | ",AM862," | ",AN862)</f>
        <v xml:space="preserve">90MB1BJ0-C1BAY0 | 59MB1BJB-MB0A02S |  |  |  |  |  | </v>
      </c>
      <c r="AP862" s="6">
        <f>IF(TRIM(H862)="",100,J862)</f>
        <v>100</v>
      </c>
      <c r="AQ862" s="4"/>
      <c r="AR862" s="6" t="b">
        <f>NOT(TRIM(W862)&lt;&gt;"F")</f>
        <v>1</v>
      </c>
      <c r="AS862" s="6" t="str">
        <f>$B862&amp;" | "&amp;$AO862&amp;" | "&amp;IF(TRIM(H862)="","uniq"&amp;ROW(),TRIM(H862))</f>
        <v>461E | 90MB1BJ0-C1BAY0 | 59MB1BJB-MB0A02S |  |  |  |  |  |  | S3</v>
      </c>
      <c r="AT862" s="63">
        <f>IF(NOT(AR862),IF(TRIM($H862)="","Assembly","Phantom Alt"),VLOOKUP(F862,ZPCS04!B:G,6,0))</f>
        <v>832</v>
      </c>
      <c r="AU862" s="7"/>
      <c r="AV862" s="38">
        <f ca="1">IF(TRIM($W862)="F",OFFSET($A$5,MATCH($AS862,$AS$5:$AS862,0)-1,0),$A862)</f>
        <v>860</v>
      </c>
      <c r="AW862" s="38">
        <f ca="1">IFERROR(OFFSET(ZPCS04!$A$1,MATCH(F862,ZPCS04!B:B,0)-1,0),100)</f>
        <v>2</v>
      </c>
      <c r="AX862" s="7"/>
      <c r="AY862" s="6" t="b">
        <f>SUMIF(AS:AS,AS862,AP:AP)=100</f>
        <v>1</v>
      </c>
      <c r="AZ862" s="6" t="b">
        <f>SUMIF(AS:AS,AS862,AE:AE)/COUNTIF(AS:AS,AS862)=AE862</f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>C862&amp;" | "&amp;F862</f>
        <v>90MB1BJ0-C1BAY0 | 12006-00202200</v>
      </c>
      <c r="BE862" s="55" t="str">
        <f ca="1">C862&amp;" | "&amp;OFFSET($AF862,0,8-COUNTBLANK($AG862:$AN862))</f>
        <v>90MB1BJ0-C1BAY0 | 59MB1BJB-MB0A02S</v>
      </c>
      <c r="BF862" s="57">
        <f ca="1">IFERROR(VLOOKUP($BE862,$BD$5:$BF861,3,0)*$AE862,VLOOKUP($C862,Demanda!$A:$B,2,0)*$AE862)*IF(AT862="Phantom Alt",$BC862,TRUE)</f>
        <v>1000</v>
      </c>
      <c r="BG862" s="57">
        <f ca="1">BF862*(AP862/100)</f>
        <v>1000</v>
      </c>
      <c r="BH862" s="57">
        <f>SUMIF(Invoice!A:A,F862,Invoice!B:B)</f>
        <v>0</v>
      </c>
      <c r="BI862" s="57">
        <f ca="1">SUMIF(AS:AS,AS862,BG:BG)</f>
        <v>1000</v>
      </c>
      <c r="BJ862" s="57">
        <f ca="1">MIN((BI862-SUMIF($AS$5:AS861,AS862,$BJ$5:BJ861)),MAX(0,BH862-SUMIF($F$5:F861,F862,$BJ$5:BJ861)))</f>
        <v>0</v>
      </c>
      <c r="BK862" s="57">
        <f ca="1">(-SUMIF(AS:AS,AS862,BG:BG)+SUMIF(AS:AS,AS862,BJ:BJ))*(AP862=100)*AR862</f>
        <v>0</v>
      </c>
      <c r="BL862" s="57">
        <f ca="1">MAX(0,SUMIF(Invoice!A:A,F862,Invoice!B:B)-SUMIF(F:F,F862,BJ:BJ))*(COUNTIF(F:F,F862)=COUNTIF($F$5:F862,F862))</f>
        <v>0</v>
      </c>
    </row>
    <row r="863" spans="1:64" hidden="1">
      <c r="A863" s="43">
        <v>863</v>
      </c>
      <c r="B863" s="13" t="s">
        <v>147</v>
      </c>
      <c r="C863" s="13" t="s">
        <v>146</v>
      </c>
      <c r="D863" s="13">
        <v>2</v>
      </c>
      <c r="E863" s="13">
        <v>2840</v>
      </c>
      <c r="F863" s="71" t="s">
        <v>1983</v>
      </c>
      <c r="G863" s="71" t="s">
        <v>1984</v>
      </c>
      <c r="H863" s="13" t="s">
        <v>1985</v>
      </c>
      <c r="I863" s="13" t="s">
        <v>54</v>
      </c>
      <c r="J863" s="28">
        <v>100</v>
      </c>
      <c r="K863" s="13" t="s">
        <v>150</v>
      </c>
      <c r="L863" s="13" t="s">
        <v>53</v>
      </c>
      <c r="M863" s="13">
        <v>1</v>
      </c>
      <c r="N863" s="13">
        <v>1</v>
      </c>
      <c r="O863" s="13">
        <v>1</v>
      </c>
      <c r="P863" s="13">
        <v>2</v>
      </c>
      <c r="Q863" s="13">
        <v>1</v>
      </c>
      <c r="R863" s="13" t="s">
        <v>73</v>
      </c>
      <c r="S863" s="13" t="s">
        <v>73</v>
      </c>
      <c r="T863" s="13">
        <v>44901</v>
      </c>
      <c r="U863" s="13">
        <v>2958465</v>
      </c>
      <c r="V863" s="13" t="s">
        <v>282</v>
      </c>
      <c r="W863" s="13" t="s">
        <v>145</v>
      </c>
      <c r="Y863" s="13" t="s">
        <v>143</v>
      </c>
      <c r="Z863" s="13">
        <v>7589154</v>
      </c>
      <c r="AA863" s="13">
        <v>1614</v>
      </c>
      <c r="AB863" s="13">
        <v>807</v>
      </c>
      <c r="AE863" s="51">
        <f>M863/O863</f>
        <v>1</v>
      </c>
      <c r="AG863" s="6" t="str">
        <f>C863</f>
        <v>90MB1BJ0-C1BAY0</v>
      </c>
      <c r="AH863" s="6" t="str">
        <f>IF($D863&lt;=AH$4,"",IF(AND($D862=AH$4,$D863&gt;AH$4),$F862,AH862))</f>
        <v>59MB1BJB-MB0A02S</v>
      </c>
      <c r="AI863" s="6" t="str">
        <f>IF($D863&lt;=AI$4,"",IF(AND($D862=AI$4,$D863&gt;AI$4),$F862,AI862))</f>
        <v/>
      </c>
      <c r="AJ863" s="6" t="str">
        <f>IF($D863&lt;=AJ$4,"",IF(AND($D862=AJ$4,$D863&gt;AJ$4),$F862,AJ862))</f>
        <v/>
      </c>
      <c r="AK863" s="6" t="str">
        <f>IF($D863&lt;=AK$4,"",IF(AND($D862=AK$4,$D863&gt;AK$4),$F862,AK862))</f>
        <v/>
      </c>
      <c r="AL863" s="6" t="str">
        <f>IF($D863&lt;=AL$4,"",IF(AND($D862=AL$4,$D863&gt;AL$4),$F862,AL862))</f>
        <v/>
      </c>
      <c r="AM863" s="6" t="str">
        <f>IF($D863&lt;=AM$4,"",IF(AND($D862=AM$4,$D863&gt;AM$4),$F862,AM862))</f>
        <v/>
      </c>
      <c r="AN863" s="6" t="str">
        <f>IF($D863&lt;=AN$4,"",IF(AND($D862=AN$4,$D863&gt;AN$4),$F862,AN862))</f>
        <v/>
      </c>
      <c r="AO863" s="6" t="str">
        <f>CONCATENATE(AG863," | ",AH863," | ",AI863," | ",AJ863," | ",AK863," | ",AL863," | ",AM863," | ",AN863)</f>
        <v xml:space="preserve">90MB1BJ0-C1BAY0 | 59MB1BJB-MB0A02S |  |  |  |  |  | </v>
      </c>
      <c r="AP863" s="6">
        <f>IF(TRIM(H863)="",100,J863)</f>
        <v>100</v>
      </c>
      <c r="AQ863" s="4"/>
      <c r="AR863" s="6" t="b">
        <f>NOT(TRIM(W863)&lt;&gt;"F")</f>
        <v>1</v>
      </c>
      <c r="AS863" s="6" t="str">
        <f>$B863&amp;" | "&amp;$AO863&amp;" | "&amp;IF(TRIM(H863)="","uniq"&amp;ROW(),TRIM(H863))</f>
        <v>461E | 90MB1BJ0-C1BAY0 | 59MB1BJB-MB0A02S |  |  |  |  |  |  | S4</v>
      </c>
      <c r="AT863" s="63">
        <f>IF(NOT(AR863),IF(TRIM($H863)="","Assembly","Phantom Alt"),VLOOKUP(F863,ZPCS04!B:G,6,0))</f>
        <v>1240</v>
      </c>
      <c r="AU863" s="7"/>
      <c r="AV863" s="38">
        <f ca="1">IF(TRIM($W863)="F",OFFSET($A$5,MATCH($AS863,$AS$5:$AS863,0)-1,0),$A863)</f>
        <v>863</v>
      </c>
      <c r="AW863" s="38">
        <f ca="1">IFERROR(OFFSET(ZPCS04!$A$1,MATCH(F863,ZPCS04!B:B,0)-1,0),100)</f>
        <v>1.9999999900000001</v>
      </c>
      <c r="AX863" s="7"/>
      <c r="AY863" s="6" t="b">
        <f>SUMIF(AS:AS,AS863,AP:AP)=100</f>
        <v>1</v>
      </c>
      <c r="AZ863" s="6" t="b">
        <f>SUMIF(AS:AS,AS863,AE:AE)/COUNTIF(AS:AS,AS863)=AE863</f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>C863&amp;" | "&amp;F863</f>
        <v>90MB1BJ0-C1BAY0 | 12006-00322100</v>
      </c>
      <c r="BE863" s="55" t="str">
        <f ca="1">C863&amp;" | "&amp;OFFSET($AF863,0,8-COUNTBLANK($AG863:$AN863))</f>
        <v>90MB1BJ0-C1BAY0 | 59MB1BJB-MB0A02S</v>
      </c>
      <c r="BF863" s="57">
        <f ca="1">IFERROR(VLOOKUP($BE863,$BD$5:$BF862,3,0)*$AE863,VLOOKUP($C863,Demanda!$A:$B,2,0)*$AE863)*IF(AT863="Phantom Alt",$BC863,TRUE)</f>
        <v>1000</v>
      </c>
      <c r="BG863" s="57">
        <f ca="1">BF863*(AP863/100)</f>
        <v>1000</v>
      </c>
      <c r="BH863" s="57">
        <f>SUMIF(Invoice!A:A,F863,Invoice!B:B)</f>
        <v>1000</v>
      </c>
      <c r="BI863" s="57">
        <f ca="1">SUMIF(AS:AS,AS863,BG:BG)</f>
        <v>1000</v>
      </c>
      <c r="BJ863" s="57">
        <f ca="1">MIN((BI863-SUMIF($AS$5:AS862,AS863,$BJ$5:BJ862)),MAX(0,BH863-SUMIF($F$5:F862,F863,$BJ$5:BJ862)))</f>
        <v>1000</v>
      </c>
      <c r="BK863" s="57">
        <f ca="1">(-SUMIF(AS:AS,AS863,BG:BG)+SUMIF(AS:AS,AS863,BJ:BJ))*(AP863=100)*AR863</f>
        <v>0</v>
      </c>
      <c r="BL863" s="57">
        <f ca="1">MAX(0,SUMIF(Invoice!A:A,F863,Invoice!B:B)-SUMIF(F:F,F863,BJ:BJ))*(COUNTIF(F:F,F863)=COUNTIF($F$5:F863,F863))</f>
        <v>0</v>
      </c>
    </row>
    <row r="864" spans="1:64" hidden="1">
      <c r="A864" s="43">
        <v>864</v>
      </c>
      <c r="B864" s="13" t="s">
        <v>147</v>
      </c>
      <c r="C864" s="13" t="s">
        <v>146</v>
      </c>
      <c r="D864" s="13">
        <v>2</v>
      </c>
      <c r="E864" s="13">
        <v>2840</v>
      </c>
      <c r="F864" s="71" t="s">
        <v>1986</v>
      </c>
      <c r="G864" s="71" t="s">
        <v>1984</v>
      </c>
      <c r="H864" s="13" t="s">
        <v>1985</v>
      </c>
      <c r="I864" s="13" t="s">
        <v>55</v>
      </c>
      <c r="J864" s="28">
        <v>0</v>
      </c>
      <c r="K864" s="13" t="s">
        <v>150</v>
      </c>
      <c r="L864" s="13" t="s">
        <v>53</v>
      </c>
      <c r="M864" s="13">
        <v>1</v>
      </c>
      <c r="O864" s="13">
        <v>1</v>
      </c>
      <c r="P864" s="13">
        <v>2</v>
      </c>
      <c r="Q864" s="13">
        <v>2</v>
      </c>
      <c r="R864" s="13" t="s">
        <v>73</v>
      </c>
      <c r="S864" s="13" t="s">
        <v>73</v>
      </c>
      <c r="T864" s="13">
        <v>44901</v>
      </c>
      <c r="U864" s="13">
        <v>2958465</v>
      </c>
      <c r="V864" s="13" t="s">
        <v>282</v>
      </c>
      <c r="W864" s="13" t="s">
        <v>145</v>
      </c>
      <c r="Y864" s="13" t="s">
        <v>143</v>
      </c>
      <c r="Z864" s="13">
        <v>7589154</v>
      </c>
      <c r="AA864" s="13">
        <v>1616</v>
      </c>
      <c r="AB864" s="13">
        <v>808</v>
      </c>
      <c r="AE864" s="51">
        <f>M864/O864</f>
        <v>1</v>
      </c>
      <c r="AG864" s="6" t="str">
        <f>C864</f>
        <v>90MB1BJ0-C1BAY0</v>
      </c>
      <c r="AH864" s="6" t="str">
        <f>IF($D864&lt;=AH$4,"",IF(AND($D863=AH$4,$D864&gt;AH$4),$F863,AH863))</f>
        <v>59MB1BJB-MB0A02S</v>
      </c>
      <c r="AI864" s="6" t="str">
        <f>IF($D864&lt;=AI$4,"",IF(AND($D863=AI$4,$D864&gt;AI$4),$F863,AI863))</f>
        <v/>
      </c>
      <c r="AJ864" s="6" t="str">
        <f>IF($D864&lt;=AJ$4,"",IF(AND($D863=AJ$4,$D864&gt;AJ$4),$F863,AJ863))</f>
        <v/>
      </c>
      <c r="AK864" s="6" t="str">
        <f>IF($D864&lt;=AK$4,"",IF(AND($D863=AK$4,$D864&gt;AK$4),$F863,AK863))</f>
        <v/>
      </c>
      <c r="AL864" s="6" t="str">
        <f>IF($D864&lt;=AL$4,"",IF(AND($D863=AL$4,$D864&gt;AL$4),$F863,AL863))</f>
        <v/>
      </c>
      <c r="AM864" s="6" t="str">
        <f>IF($D864&lt;=AM$4,"",IF(AND($D863=AM$4,$D864&gt;AM$4),$F863,AM863))</f>
        <v/>
      </c>
      <c r="AN864" s="6" t="str">
        <f>IF($D864&lt;=AN$4,"",IF(AND($D863=AN$4,$D864&gt;AN$4),$F863,AN863))</f>
        <v/>
      </c>
      <c r="AO864" s="6" t="str">
        <f>CONCATENATE(AG864," | ",AH864," | ",AI864," | ",AJ864," | ",AK864," | ",AL864," | ",AM864," | ",AN864)</f>
        <v xml:space="preserve">90MB1BJ0-C1BAY0 | 59MB1BJB-MB0A02S |  |  |  |  |  | </v>
      </c>
      <c r="AP864" s="6">
        <f>IF(TRIM(H864)="",100,J864)</f>
        <v>0</v>
      </c>
      <c r="AQ864" s="4"/>
      <c r="AR864" s="6" t="b">
        <f>NOT(TRIM(W864)&lt;&gt;"F")</f>
        <v>1</v>
      </c>
      <c r="AS864" s="6" t="str">
        <f>$B864&amp;" | "&amp;$AO864&amp;" | "&amp;IF(TRIM(H864)="","uniq"&amp;ROW(),TRIM(H864))</f>
        <v>461E | 90MB1BJ0-C1BAY0 | 59MB1BJB-MB0A02S |  |  |  |  |  |  | S4</v>
      </c>
      <c r="AT864" s="63">
        <f>IF(NOT(AR864),IF(TRIM($H864)="","Assembly","Phantom Alt"),VLOOKUP(F864,ZPCS04!B:G,6,0))</f>
        <v>1240</v>
      </c>
      <c r="AU864" s="7"/>
      <c r="AV864" s="38">
        <f ca="1">IF(TRIM($W864)="F",OFFSET($A$5,MATCH($AS864,$AS$5:$AS864,0)-1,0),$A864)</f>
        <v>863</v>
      </c>
      <c r="AW864" s="38">
        <f ca="1">IFERROR(OFFSET(ZPCS04!$A$1,MATCH(F864,ZPCS04!B:B,0)-1,0),100)</f>
        <v>2</v>
      </c>
      <c r="AX864" s="7"/>
      <c r="AY864" s="6" t="b">
        <f>SUMIF(AS:AS,AS864,AP:AP)=100</f>
        <v>1</v>
      </c>
      <c r="AZ864" s="6" t="b">
        <f>SUMIF(AS:AS,AS864,AE:AE)/COUNTIF(AS:AS,AS864)=AE864</f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>C864&amp;" | "&amp;F864</f>
        <v>90MB1BJ0-C1BAY0 | 12006-00322400</v>
      </c>
      <c r="BE864" s="55" t="str">
        <f ca="1">C864&amp;" | "&amp;OFFSET($AF864,0,8-COUNTBLANK($AG864:$AN864))</f>
        <v>90MB1BJ0-C1BAY0 | 59MB1BJB-MB0A02S</v>
      </c>
      <c r="BF864" s="57">
        <f ca="1">IFERROR(VLOOKUP($BE864,$BD$5:$BF863,3,0)*$AE864,VLOOKUP($C864,Demanda!$A:$B,2,0)*$AE864)*IF(AT864="Phantom Alt",$BC864,TRUE)</f>
        <v>1000</v>
      </c>
      <c r="BG864" s="57">
        <f ca="1">BF864*(AP864/100)</f>
        <v>0</v>
      </c>
      <c r="BH864" s="57">
        <f>SUMIF(Invoice!A:A,F864,Invoice!B:B)</f>
        <v>0</v>
      </c>
      <c r="BI864" s="57">
        <f ca="1">SUMIF(AS:AS,AS864,BG:BG)</f>
        <v>1000</v>
      </c>
      <c r="BJ864" s="57">
        <f ca="1">MIN((BI864-SUMIF($AS$5:AS863,AS864,$BJ$5:BJ863)),MAX(0,BH864-SUMIF($F$5:F863,F864,$BJ$5:BJ863)))</f>
        <v>0</v>
      </c>
      <c r="BK864" s="57">
        <f ca="1">(-SUMIF(AS:AS,AS864,BG:BG)+SUMIF(AS:AS,AS864,BJ:BJ))*(AP864=100)*AR864</f>
        <v>0</v>
      </c>
      <c r="BL864" s="57">
        <f ca="1">MAX(0,SUMIF(Invoice!A:A,F864,Invoice!B:B)-SUMIF(F:F,F864,BJ:BJ))*(COUNTIF(F:F,F864)=COUNTIF($F$5:F864,F864))</f>
        <v>0</v>
      </c>
    </row>
    <row r="865" spans="1:64" hidden="1">
      <c r="A865" s="43">
        <v>865</v>
      </c>
      <c r="B865" s="13" t="s">
        <v>147</v>
      </c>
      <c r="C865" s="13" t="s">
        <v>146</v>
      </c>
      <c r="D865" s="13">
        <v>2</v>
      </c>
      <c r="E865" s="13">
        <v>2850</v>
      </c>
      <c r="F865" s="71" t="s">
        <v>1987</v>
      </c>
      <c r="G865" s="71" t="s">
        <v>1988</v>
      </c>
      <c r="H865" s="13" t="s">
        <v>1989</v>
      </c>
      <c r="I865" s="13" t="s">
        <v>54</v>
      </c>
      <c r="J865" s="28">
        <v>100</v>
      </c>
      <c r="K865" s="13" t="s">
        <v>150</v>
      </c>
      <c r="L865" s="13" t="s">
        <v>53</v>
      </c>
      <c r="M865" s="13">
        <v>1</v>
      </c>
      <c r="N865" s="13">
        <v>1</v>
      </c>
      <c r="O865" s="13">
        <v>1</v>
      </c>
      <c r="P865" s="13">
        <v>2</v>
      </c>
      <c r="Q865" s="13">
        <v>1</v>
      </c>
      <c r="R865" s="13" t="s">
        <v>73</v>
      </c>
      <c r="S865" s="13" t="s">
        <v>73</v>
      </c>
      <c r="T865" s="13">
        <v>44901</v>
      </c>
      <c r="U865" s="13">
        <v>2958465</v>
      </c>
      <c r="V865" s="13" t="s">
        <v>282</v>
      </c>
      <c r="W865" s="13" t="s">
        <v>145</v>
      </c>
      <c r="Y865" s="13" t="s">
        <v>143</v>
      </c>
      <c r="Z865" s="13">
        <v>7589154</v>
      </c>
      <c r="AA865" s="13">
        <v>1618</v>
      </c>
      <c r="AB865" s="13">
        <v>809</v>
      </c>
      <c r="AE865" s="51">
        <f>M865/O865</f>
        <v>1</v>
      </c>
      <c r="AG865" s="6" t="str">
        <f>C865</f>
        <v>90MB1BJ0-C1BAY0</v>
      </c>
      <c r="AH865" s="6" t="str">
        <f>IF($D865&lt;=AH$4,"",IF(AND($D864=AH$4,$D865&gt;AH$4),$F864,AH864))</f>
        <v>59MB1BJB-MB0A02S</v>
      </c>
      <c r="AI865" s="6" t="str">
        <f>IF($D865&lt;=AI$4,"",IF(AND($D864=AI$4,$D865&gt;AI$4),$F864,AI864))</f>
        <v/>
      </c>
      <c r="AJ865" s="6" t="str">
        <f>IF($D865&lt;=AJ$4,"",IF(AND($D864=AJ$4,$D865&gt;AJ$4),$F864,AJ864))</f>
        <v/>
      </c>
      <c r="AK865" s="6" t="str">
        <f>IF($D865&lt;=AK$4,"",IF(AND($D864=AK$4,$D865&gt;AK$4),$F864,AK864))</f>
        <v/>
      </c>
      <c r="AL865" s="6" t="str">
        <f>IF($D865&lt;=AL$4,"",IF(AND($D864=AL$4,$D865&gt;AL$4),$F864,AL864))</f>
        <v/>
      </c>
      <c r="AM865" s="6" t="str">
        <f>IF($D865&lt;=AM$4,"",IF(AND($D864=AM$4,$D865&gt;AM$4),$F864,AM864))</f>
        <v/>
      </c>
      <c r="AN865" s="6" t="str">
        <f>IF($D865&lt;=AN$4,"",IF(AND($D864=AN$4,$D865&gt;AN$4),$F864,AN864))</f>
        <v/>
      </c>
      <c r="AO865" s="6" t="str">
        <f>CONCATENATE(AG865," | ",AH865," | ",AI865," | ",AJ865," | ",AK865," | ",AL865," | ",AM865," | ",AN865)</f>
        <v xml:space="preserve">90MB1BJ0-C1BAY0 | 59MB1BJB-MB0A02S |  |  |  |  |  | </v>
      </c>
      <c r="AP865" s="6">
        <f>IF(TRIM(H865)="",100,J865)</f>
        <v>100</v>
      </c>
      <c r="AQ865" s="4"/>
      <c r="AR865" s="6" t="b">
        <f>NOT(TRIM(W865)&lt;&gt;"F")</f>
        <v>1</v>
      </c>
      <c r="AS865" s="6" t="str">
        <f>$B865&amp;" | "&amp;$AO865&amp;" | "&amp;IF(TRIM(H865)="","uniq"&amp;ROW(),TRIM(H865))</f>
        <v>461E | 90MB1BJ0-C1BAY0 | 59MB1BJB-MB0A02S |  |  |  |  |  |  | S5</v>
      </c>
      <c r="AT865" s="63">
        <f>IF(NOT(AR865),IF(TRIM($H865)="","Assembly","Phantom Alt"),VLOOKUP(F865,ZPCS04!B:G,6,0))</f>
        <v>781</v>
      </c>
      <c r="AU865" s="7"/>
      <c r="AV865" s="38">
        <f ca="1">IF(TRIM($W865)="F",OFFSET($A$5,MATCH($AS865,$AS$5:$AS865,0)-1,0),$A865)</f>
        <v>865</v>
      </c>
      <c r="AW865" s="38">
        <f ca="1">IFERROR(OFFSET(ZPCS04!$A$1,MATCH(F865,ZPCS04!B:B,0)-1,0),100)</f>
        <v>1.9999999900000001</v>
      </c>
      <c r="AX865" s="7"/>
      <c r="AY865" s="6" t="b">
        <f>SUMIF(AS:AS,AS865,AP:AP)=100</f>
        <v>1</v>
      </c>
      <c r="AZ865" s="6" t="b">
        <f>SUMIF(AS:AS,AS865,AE:AE)/COUNTIF(AS:AS,AS865)=AE865</f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>C865&amp;" | "&amp;F865</f>
        <v>90MB1BJ0-C1BAY0 | 12006-00322500</v>
      </c>
      <c r="BE865" s="55" t="str">
        <f ca="1">C865&amp;" | "&amp;OFFSET($AF865,0,8-COUNTBLANK($AG865:$AN865))</f>
        <v>90MB1BJ0-C1BAY0 | 59MB1BJB-MB0A02S</v>
      </c>
      <c r="BF865" s="57">
        <f ca="1">IFERROR(VLOOKUP($BE865,$BD$5:$BF864,3,0)*$AE865,VLOOKUP($C865,Demanda!$A:$B,2,0)*$AE865)*IF(AT865="Phantom Alt",$BC865,TRUE)</f>
        <v>1000</v>
      </c>
      <c r="BG865" s="57">
        <f ca="1">BF865*(AP865/100)</f>
        <v>1000</v>
      </c>
      <c r="BH865" s="57">
        <f>SUMIF(Invoice!A:A,F865,Invoice!B:B)</f>
        <v>1000</v>
      </c>
      <c r="BI865" s="57">
        <f ca="1">SUMIF(AS:AS,AS865,BG:BG)</f>
        <v>1000</v>
      </c>
      <c r="BJ865" s="57">
        <f ca="1">MIN((BI865-SUMIF($AS$5:AS864,AS865,$BJ$5:BJ864)),MAX(0,BH865-SUMIF($F$5:F864,F865,$BJ$5:BJ864)))</f>
        <v>1000</v>
      </c>
      <c r="BK865" s="57">
        <f ca="1">(-SUMIF(AS:AS,AS865,BG:BG)+SUMIF(AS:AS,AS865,BJ:BJ))*(AP865=100)*AR865</f>
        <v>0</v>
      </c>
      <c r="BL865" s="57">
        <f ca="1">MAX(0,SUMIF(Invoice!A:A,F865,Invoice!B:B)-SUMIF(F:F,F865,BJ:BJ))*(COUNTIF(F:F,F865)=COUNTIF($F$5:F865,F865))</f>
        <v>0</v>
      </c>
    </row>
    <row r="866" spans="1:64" hidden="1">
      <c r="A866" s="43">
        <v>866</v>
      </c>
      <c r="B866" s="13" t="s">
        <v>147</v>
      </c>
      <c r="C866" s="13" t="s">
        <v>146</v>
      </c>
      <c r="D866" s="13">
        <v>2</v>
      </c>
      <c r="E866" s="13">
        <v>2850</v>
      </c>
      <c r="F866" s="71" t="s">
        <v>1990</v>
      </c>
      <c r="G866" s="71" t="s">
        <v>1988</v>
      </c>
      <c r="H866" s="13" t="s">
        <v>1989</v>
      </c>
      <c r="I866" s="13" t="s">
        <v>55</v>
      </c>
      <c r="J866" s="28">
        <v>0</v>
      </c>
      <c r="K866" s="13" t="s">
        <v>150</v>
      </c>
      <c r="L866" s="13" t="s">
        <v>53</v>
      </c>
      <c r="M866" s="13">
        <v>1</v>
      </c>
      <c r="O866" s="13">
        <v>1</v>
      </c>
      <c r="P866" s="13">
        <v>2</v>
      </c>
      <c r="Q866" s="13">
        <v>3</v>
      </c>
      <c r="R866" s="13" t="s">
        <v>73</v>
      </c>
      <c r="S866" s="13" t="s">
        <v>73</v>
      </c>
      <c r="T866" s="13">
        <v>44901</v>
      </c>
      <c r="U866" s="13">
        <v>2958465</v>
      </c>
      <c r="V866" s="13" t="s">
        <v>282</v>
      </c>
      <c r="W866" s="13" t="s">
        <v>145</v>
      </c>
      <c r="Y866" s="13" t="s">
        <v>143</v>
      </c>
      <c r="Z866" s="13">
        <v>7589154</v>
      </c>
      <c r="AA866" s="13">
        <v>1622</v>
      </c>
      <c r="AB866" s="13">
        <v>811</v>
      </c>
      <c r="AE866" s="51">
        <f>M866/O866</f>
        <v>1</v>
      </c>
      <c r="AG866" s="6" t="str">
        <f>C866</f>
        <v>90MB1BJ0-C1BAY0</v>
      </c>
      <c r="AH866" s="6" t="str">
        <f>IF($D866&lt;=AH$4,"",IF(AND($D865=AH$4,$D866&gt;AH$4),$F865,AH865))</f>
        <v>59MB1BJB-MB0A02S</v>
      </c>
      <c r="AI866" s="6" t="str">
        <f>IF($D866&lt;=AI$4,"",IF(AND($D865=AI$4,$D866&gt;AI$4),$F865,AI865))</f>
        <v/>
      </c>
      <c r="AJ866" s="6" t="str">
        <f>IF($D866&lt;=AJ$4,"",IF(AND($D865=AJ$4,$D866&gt;AJ$4),$F865,AJ865))</f>
        <v/>
      </c>
      <c r="AK866" s="6" t="str">
        <f>IF($D866&lt;=AK$4,"",IF(AND($D865=AK$4,$D866&gt;AK$4),$F865,AK865))</f>
        <v/>
      </c>
      <c r="AL866" s="6" t="str">
        <f>IF($D866&lt;=AL$4,"",IF(AND($D865=AL$4,$D866&gt;AL$4),$F865,AL865))</f>
        <v/>
      </c>
      <c r="AM866" s="6" t="str">
        <f>IF($D866&lt;=AM$4,"",IF(AND($D865=AM$4,$D866&gt;AM$4),$F865,AM865))</f>
        <v/>
      </c>
      <c r="AN866" s="6" t="str">
        <f>IF($D866&lt;=AN$4,"",IF(AND($D865=AN$4,$D866&gt;AN$4),$F865,AN865))</f>
        <v/>
      </c>
      <c r="AO866" s="6" t="str">
        <f>CONCATENATE(AG866," | ",AH866," | ",AI866," | ",AJ866," | ",AK866," | ",AL866," | ",AM866," | ",AN866)</f>
        <v xml:space="preserve">90MB1BJ0-C1BAY0 | 59MB1BJB-MB0A02S |  |  |  |  |  | </v>
      </c>
      <c r="AP866" s="6">
        <f>IF(TRIM(H866)="",100,J866)</f>
        <v>0</v>
      </c>
      <c r="AQ866" s="4"/>
      <c r="AR866" s="6" t="b">
        <f>NOT(TRIM(W866)&lt;&gt;"F")</f>
        <v>1</v>
      </c>
      <c r="AS866" s="6" t="str">
        <f>$B866&amp;" | "&amp;$AO866&amp;" | "&amp;IF(TRIM(H866)="","uniq"&amp;ROW(),TRIM(H866))</f>
        <v>461E | 90MB1BJ0-C1BAY0 | 59MB1BJB-MB0A02S |  |  |  |  |  |  | S5</v>
      </c>
      <c r="AT866" s="63">
        <f>IF(NOT(AR866),IF(TRIM($H866)="","Assembly","Phantom Alt"),VLOOKUP(F866,ZPCS04!B:G,6,0))</f>
        <v>781</v>
      </c>
      <c r="AU866" s="7"/>
      <c r="AV866" s="38">
        <f ca="1">IF(TRIM($W866)="F",OFFSET($A$5,MATCH($AS866,$AS$5:$AS866,0)-1,0),$A866)</f>
        <v>865</v>
      </c>
      <c r="AW866" s="38">
        <f ca="1">IFERROR(OFFSET(ZPCS04!$A$1,MATCH(F866,ZPCS04!B:B,0)-1,0),100)</f>
        <v>2</v>
      </c>
      <c r="AX866" s="7"/>
      <c r="AY866" s="6" t="b">
        <f>SUMIF(AS:AS,AS866,AP:AP)=100</f>
        <v>1</v>
      </c>
      <c r="AZ866" s="6" t="b">
        <f>SUMIF(AS:AS,AS866,AE:AE)/COUNTIF(AS:AS,AS866)=AE866</f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>C866&amp;" | "&amp;F866</f>
        <v>90MB1BJ0-C1BAY0 | 12006-00322600</v>
      </c>
      <c r="BE866" s="55" t="str">
        <f ca="1">C866&amp;" | "&amp;OFFSET($AF866,0,8-COUNTBLANK($AG866:$AN866))</f>
        <v>90MB1BJ0-C1BAY0 | 59MB1BJB-MB0A02S</v>
      </c>
      <c r="BF866" s="57">
        <f ca="1">IFERROR(VLOOKUP($BE866,$BD$5:$BF865,3,0)*$AE866,VLOOKUP($C866,Demanda!$A:$B,2,0)*$AE866)*IF(AT866="Phantom Alt",$BC866,TRUE)</f>
        <v>1000</v>
      </c>
      <c r="BG866" s="57">
        <f ca="1">BF866*(AP866/100)</f>
        <v>0</v>
      </c>
      <c r="BH866" s="57">
        <f>SUMIF(Invoice!A:A,F866,Invoice!B:B)</f>
        <v>0</v>
      </c>
      <c r="BI866" s="57">
        <f ca="1">SUMIF(AS:AS,AS866,BG:BG)</f>
        <v>1000</v>
      </c>
      <c r="BJ866" s="57">
        <f ca="1">MIN((BI866-SUMIF($AS$5:AS865,AS866,$BJ$5:BJ865)),MAX(0,BH866-SUMIF($F$5:F865,F866,$BJ$5:BJ865)))</f>
        <v>0</v>
      </c>
      <c r="BK866" s="57">
        <f ca="1">(-SUMIF(AS:AS,AS866,BG:BG)+SUMIF(AS:AS,AS866,BJ:BJ))*(AP866=100)*AR866</f>
        <v>0</v>
      </c>
      <c r="BL866" s="57">
        <f ca="1">MAX(0,SUMIF(Invoice!A:A,F866,Invoice!B:B)-SUMIF(F:F,F866,BJ:BJ))*(COUNTIF(F:F,F866)=COUNTIF($F$5:F866,F866))</f>
        <v>0</v>
      </c>
    </row>
    <row r="867" spans="1:64" hidden="1">
      <c r="A867" s="43">
        <v>867</v>
      </c>
      <c r="B867" s="13" t="s">
        <v>147</v>
      </c>
      <c r="C867" s="13" t="s">
        <v>146</v>
      </c>
      <c r="D867" s="13">
        <v>2</v>
      </c>
      <c r="E867" s="13">
        <v>2850</v>
      </c>
      <c r="F867" s="71" t="s">
        <v>1991</v>
      </c>
      <c r="G867" s="71" t="s">
        <v>1988</v>
      </c>
      <c r="H867" s="13" t="s">
        <v>1989</v>
      </c>
      <c r="I867" s="13" t="s">
        <v>55</v>
      </c>
      <c r="J867" s="28">
        <v>0</v>
      </c>
      <c r="K867" s="13" t="s">
        <v>150</v>
      </c>
      <c r="L867" s="13" t="s">
        <v>53</v>
      </c>
      <c r="M867" s="13">
        <v>1</v>
      </c>
      <c r="O867" s="13">
        <v>1</v>
      </c>
      <c r="P867" s="13">
        <v>2</v>
      </c>
      <c r="Q867" s="13">
        <v>2</v>
      </c>
      <c r="R867" s="13" t="s">
        <v>73</v>
      </c>
      <c r="S867" s="13" t="s">
        <v>73</v>
      </c>
      <c r="T867" s="13">
        <v>44901</v>
      </c>
      <c r="U867" s="13">
        <v>2958465</v>
      </c>
      <c r="V867" s="13" t="s">
        <v>282</v>
      </c>
      <c r="W867" s="13" t="s">
        <v>145</v>
      </c>
      <c r="Y867" s="13" t="s">
        <v>143</v>
      </c>
      <c r="Z867" s="13">
        <v>7589154</v>
      </c>
      <c r="AA867" s="13">
        <v>1620</v>
      </c>
      <c r="AB867" s="13">
        <v>810</v>
      </c>
      <c r="AE867" s="51">
        <f>M867/O867</f>
        <v>1</v>
      </c>
      <c r="AG867" s="6" t="str">
        <f>C867</f>
        <v>90MB1BJ0-C1BAY0</v>
      </c>
      <c r="AH867" s="6" t="str">
        <f>IF($D867&lt;=AH$4,"",IF(AND($D866=AH$4,$D867&gt;AH$4),$F866,AH866))</f>
        <v>59MB1BJB-MB0A02S</v>
      </c>
      <c r="AI867" s="6" t="str">
        <f>IF($D867&lt;=AI$4,"",IF(AND($D866=AI$4,$D867&gt;AI$4),$F866,AI866))</f>
        <v/>
      </c>
      <c r="AJ867" s="6" t="str">
        <f>IF($D867&lt;=AJ$4,"",IF(AND($D866=AJ$4,$D867&gt;AJ$4),$F866,AJ866))</f>
        <v/>
      </c>
      <c r="AK867" s="6" t="str">
        <f>IF($D867&lt;=AK$4,"",IF(AND($D866=AK$4,$D867&gt;AK$4),$F866,AK866))</f>
        <v/>
      </c>
      <c r="AL867" s="6" t="str">
        <f>IF($D867&lt;=AL$4,"",IF(AND($D866=AL$4,$D867&gt;AL$4),$F866,AL866))</f>
        <v/>
      </c>
      <c r="AM867" s="6" t="str">
        <f>IF($D867&lt;=AM$4,"",IF(AND($D866=AM$4,$D867&gt;AM$4),$F866,AM866))</f>
        <v/>
      </c>
      <c r="AN867" s="6" t="str">
        <f>IF($D867&lt;=AN$4,"",IF(AND($D866=AN$4,$D867&gt;AN$4),$F866,AN866))</f>
        <v/>
      </c>
      <c r="AO867" s="6" t="str">
        <f>CONCATENATE(AG867," | ",AH867," | ",AI867," | ",AJ867," | ",AK867," | ",AL867," | ",AM867," | ",AN867)</f>
        <v xml:space="preserve">90MB1BJ0-C1BAY0 | 59MB1BJB-MB0A02S |  |  |  |  |  | </v>
      </c>
      <c r="AP867" s="6">
        <f>IF(TRIM(H867)="",100,J867)</f>
        <v>0</v>
      </c>
      <c r="AQ867" s="4"/>
      <c r="AR867" s="6" t="b">
        <f>NOT(TRIM(W867)&lt;&gt;"F")</f>
        <v>1</v>
      </c>
      <c r="AS867" s="6" t="str">
        <f>$B867&amp;" | "&amp;$AO867&amp;" | "&amp;IF(TRIM(H867)="","uniq"&amp;ROW(),TRIM(H867))</f>
        <v>461E | 90MB1BJ0-C1BAY0 | 59MB1BJB-MB0A02S |  |  |  |  |  |  | S5</v>
      </c>
      <c r="AT867" s="63">
        <f>IF(NOT(AR867),IF(TRIM($H867)="","Assembly","Phantom Alt"),VLOOKUP(F867,ZPCS04!B:G,6,0))</f>
        <v>781</v>
      </c>
      <c r="AU867" s="7"/>
      <c r="AV867" s="38">
        <f ca="1">IF(TRIM($W867)="F",OFFSET($A$5,MATCH($AS867,$AS$5:$AS867,0)-1,0),$A867)</f>
        <v>865</v>
      </c>
      <c r="AW867" s="38">
        <f ca="1">IFERROR(OFFSET(ZPCS04!$A$1,MATCH(F867,ZPCS04!B:B,0)-1,0),100)</f>
        <v>2</v>
      </c>
      <c r="AX867" s="7"/>
      <c r="AY867" s="6" t="b">
        <f>SUMIF(AS:AS,AS867,AP:AP)=100</f>
        <v>1</v>
      </c>
      <c r="AZ867" s="6" t="b">
        <f>SUMIF(AS:AS,AS867,AE:AE)/COUNTIF(AS:AS,AS867)=AE867</f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>C867&amp;" | "&amp;F867</f>
        <v>90MB1BJ0-C1BAY0 | 12006-00322700</v>
      </c>
      <c r="BE867" s="55" t="str">
        <f ca="1">C867&amp;" | "&amp;OFFSET($AF867,0,8-COUNTBLANK($AG867:$AN867))</f>
        <v>90MB1BJ0-C1BAY0 | 59MB1BJB-MB0A02S</v>
      </c>
      <c r="BF867" s="57">
        <f ca="1">IFERROR(VLOOKUP($BE867,$BD$5:$BF866,3,0)*$AE867,VLOOKUP($C867,Demanda!$A:$B,2,0)*$AE867)*IF(AT867="Phantom Alt",$BC867,TRUE)</f>
        <v>1000</v>
      </c>
      <c r="BG867" s="57">
        <f ca="1">BF867*(AP867/100)</f>
        <v>0</v>
      </c>
      <c r="BH867" s="57">
        <f>SUMIF(Invoice!A:A,F867,Invoice!B:B)</f>
        <v>0</v>
      </c>
      <c r="BI867" s="57">
        <f ca="1">SUMIF(AS:AS,AS867,BG:BG)</f>
        <v>1000</v>
      </c>
      <c r="BJ867" s="57">
        <f ca="1">MIN((BI867-SUMIF($AS$5:AS866,AS867,$BJ$5:BJ866)),MAX(0,BH867-SUMIF($F$5:F866,F867,$BJ$5:BJ866)))</f>
        <v>0</v>
      </c>
      <c r="BK867" s="57">
        <f ca="1">(-SUMIF(AS:AS,AS867,BG:BG)+SUMIF(AS:AS,AS867,BJ:BJ))*(AP867=100)*AR867</f>
        <v>0</v>
      </c>
      <c r="BL867" s="57">
        <f ca="1">MAX(0,SUMIF(Invoice!A:A,F867,Invoice!B:B)-SUMIF(F:F,F867,BJ:BJ))*(COUNTIF(F:F,F867)=COUNTIF($F$5:F867,F867))</f>
        <v>0</v>
      </c>
    </row>
    <row r="868" spans="1:64" hidden="1">
      <c r="A868" s="43">
        <v>870</v>
      </c>
      <c r="B868" s="13" t="s">
        <v>147</v>
      </c>
      <c r="C868" s="13" t="s">
        <v>146</v>
      </c>
      <c r="D868" s="13">
        <v>2</v>
      </c>
      <c r="E868" s="13">
        <v>2860</v>
      </c>
      <c r="F868" s="71" t="s">
        <v>1997</v>
      </c>
      <c r="G868" s="71" t="s">
        <v>1998</v>
      </c>
      <c r="H868" s="13" t="s">
        <v>1994</v>
      </c>
      <c r="I868" s="13" t="s">
        <v>54</v>
      </c>
      <c r="J868" s="28">
        <v>100</v>
      </c>
      <c r="K868" s="13" t="s">
        <v>150</v>
      </c>
      <c r="L868" s="13" t="s">
        <v>53</v>
      </c>
      <c r="M868" s="13">
        <v>1</v>
      </c>
      <c r="N868" s="13">
        <v>1</v>
      </c>
      <c r="O868" s="13">
        <v>1</v>
      </c>
      <c r="P868" s="13">
        <v>2</v>
      </c>
      <c r="Q868" s="13">
        <v>1</v>
      </c>
      <c r="R868" s="13" t="s">
        <v>73</v>
      </c>
      <c r="S868" s="13" t="s">
        <v>73</v>
      </c>
      <c r="T868" s="13">
        <v>44901</v>
      </c>
      <c r="U868" s="13">
        <v>2958465</v>
      </c>
      <c r="V868" s="13" t="s">
        <v>282</v>
      </c>
      <c r="W868" s="13" t="s">
        <v>145</v>
      </c>
      <c r="Y868" s="13" t="s">
        <v>143</v>
      </c>
      <c r="Z868" s="13">
        <v>7589154</v>
      </c>
      <c r="AA868" s="13">
        <v>1624</v>
      </c>
      <c r="AB868" s="13">
        <v>812</v>
      </c>
      <c r="AE868" s="51">
        <f>M868/O868</f>
        <v>1</v>
      </c>
      <c r="AG868" s="6" t="str">
        <f>C868</f>
        <v>90MB1BJ0-C1BAY0</v>
      </c>
      <c r="AH868" s="6" t="str">
        <f>IF($D868&lt;=AH$4,"",IF(AND($D867=AH$4,$D868&gt;AH$4),$F867,AH867))</f>
        <v>59MB1BJB-MB0A02S</v>
      </c>
      <c r="AI868" s="6" t="str">
        <f>IF($D868&lt;=AI$4,"",IF(AND($D867=AI$4,$D868&gt;AI$4),$F867,AI867))</f>
        <v/>
      </c>
      <c r="AJ868" s="6" t="str">
        <f>IF($D868&lt;=AJ$4,"",IF(AND($D867=AJ$4,$D868&gt;AJ$4),$F867,AJ867))</f>
        <v/>
      </c>
      <c r="AK868" s="6" t="str">
        <f>IF($D868&lt;=AK$4,"",IF(AND($D867=AK$4,$D868&gt;AK$4),$F867,AK867))</f>
        <v/>
      </c>
      <c r="AL868" s="6" t="str">
        <f>IF($D868&lt;=AL$4,"",IF(AND($D867=AL$4,$D868&gt;AL$4),$F867,AL867))</f>
        <v/>
      </c>
      <c r="AM868" s="6" t="str">
        <f>IF($D868&lt;=AM$4,"",IF(AND($D867=AM$4,$D868&gt;AM$4),$F867,AM867))</f>
        <v/>
      </c>
      <c r="AN868" s="6" t="str">
        <f>IF($D868&lt;=AN$4,"",IF(AND($D867=AN$4,$D868&gt;AN$4),$F867,AN867))</f>
        <v/>
      </c>
      <c r="AO868" s="6" t="str">
        <f>CONCATENATE(AG868," | ",AH868," | ",AI868," | ",AJ868," | ",AK868," | ",AL868," | ",AM868," | ",AN868)</f>
        <v xml:space="preserve">90MB1BJ0-C1BAY0 | 59MB1BJB-MB0A02S |  |  |  |  |  | </v>
      </c>
      <c r="AP868" s="6">
        <f>IF(TRIM(H868)="",100,J868)</f>
        <v>100</v>
      </c>
      <c r="AQ868" s="4"/>
      <c r="AR868" s="6" t="b">
        <f>NOT(TRIM(W868)&lt;&gt;"F")</f>
        <v>1</v>
      </c>
      <c r="AS868" s="6" t="str">
        <f>$B868&amp;" | "&amp;$AO868&amp;" | "&amp;IF(TRIM(H868)="","uniq"&amp;ROW(),TRIM(H868))</f>
        <v>461E | 90MB1BJ0-C1BAY0 | 59MB1BJB-MB0A02S |  |  |  |  |  |  | S6</v>
      </c>
      <c r="AT868" s="63">
        <f>IF(NOT(AR868),IF(TRIM($H868)="","Assembly","Phantom Alt"),VLOOKUP(F868,ZPCS04!B:G,6,0))</f>
        <v>912</v>
      </c>
      <c r="AU868" s="7"/>
      <c r="AV868" s="38">
        <f ca="1">IF(TRIM($W868)="F",OFFSET($A$5,MATCH($AS868,$AS$5:$AS868,0)-1,0),$A868)</f>
        <v>870</v>
      </c>
      <c r="AW868" s="38">
        <f ca="1">IFERROR(OFFSET(ZPCS04!$A$1,MATCH(F868,ZPCS04!B:B,0)-1,0),100)</f>
        <v>1.9999999819999998</v>
      </c>
      <c r="AX868" s="7"/>
      <c r="AY868" s="6" t="b">
        <f>SUMIF(AS:AS,AS868,AP:AP)=100</f>
        <v>1</v>
      </c>
      <c r="AZ868" s="6" t="b">
        <f>SUMIF(AS:AS,AS868,AE:AE)/COUNTIF(AS:AS,AS868)=AE868</f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>C868&amp;" | "&amp;F868</f>
        <v>90MB1BJ0-C1BAY0 | 12007-00016300</v>
      </c>
      <c r="BE868" s="55" t="str">
        <f ca="1">C868&amp;" | "&amp;OFFSET($AF868,0,8-COUNTBLANK($AG868:$AN868))</f>
        <v>90MB1BJ0-C1BAY0 | 59MB1BJB-MB0A02S</v>
      </c>
      <c r="BF868" s="57">
        <f ca="1">IFERROR(VLOOKUP($BE868,$BD$5:$BF867,3,0)*$AE868,VLOOKUP($C868,Demanda!$A:$B,2,0)*$AE868)*IF(AT868="Phantom Alt",$BC868,TRUE)</f>
        <v>1000</v>
      </c>
      <c r="BG868" s="57">
        <f ca="1">BF868*(AP868/100)</f>
        <v>1000</v>
      </c>
      <c r="BH868" s="57">
        <f>SUMIF(Invoice!A:A,F868,Invoice!B:B)</f>
        <v>1800</v>
      </c>
      <c r="BI868" s="57">
        <f ca="1">SUMIF(AS:AS,AS868,BG:BG)</f>
        <v>1000</v>
      </c>
      <c r="BJ868" s="57">
        <f ca="1">MIN((BI868-SUMIF($AS$5:AS867,AS868,$BJ$5:BJ867)),MAX(0,BH868-SUMIF($F$5:F867,F868,$BJ$5:BJ867)))</f>
        <v>1000</v>
      </c>
      <c r="BK868" s="57">
        <f ca="1">(-SUMIF(AS:AS,AS868,BG:BG)+SUMIF(AS:AS,AS868,BJ:BJ))*(AP868=100)*AR868</f>
        <v>0</v>
      </c>
      <c r="BL868" s="57">
        <f ca="1">MAX(0,SUMIF(Invoice!A:A,F868,Invoice!B:B)-SUMIF(F:F,F868,BJ:BJ))*(COUNTIF(F:F,F868)=COUNTIF($F$5:F868,F868))</f>
        <v>800</v>
      </c>
    </row>
    <row r="869" spans="1:64" hidden="1">
      <c r="A869" s="43">
        <v>868</v>
      </c>
      <c r="B869" s="13" t="s">
        <v>147</v>
      </c>
      <c r="C869" s="13" t="s">
        <v>146</v>
      </c>
      <c r="D869" s="13">
        <v>2</v>
      </c>
      <c r="E869" s="13">
        <v>2860</v>
      </c>
      <c r="F869" s="71" t="s">
        <v>1992</v>
      </c>
      <c r="G869" s="71" t="s">
        <v>1993</v>
      </c>
      <c r="H869" s="13" t="s">
        <v>1994</v>
      </c>
      <c r="I869" s="13" t="s">
        <v>55</v>
      </c>
      <c r="J869" s="28">
        <v>0</v>
      </c>
      <c r="K869" s="13" t="s">
        <v>150</v>
      </c>
      <c r="L869" s="13" t="s">
        <v>53</v>
      </c>
      <c r="M869" s="13">
        <v>1</v>
      </c>
      <c r="O869" s="13">
        <v>1</v>
      </c>
      <c r="P869" s="13">
        <v>2</v>
      </c>
      <c r="Q869" s="13">
        <v>2</v>
      </c>
      <c r="R869" s="13" t="s">
        <v>73</v>
      </c>
      <c r="S869" s="13" t="s">
        <v>73</v>
      </c>
      <c r="T869" s="13">
        <v>44901</v>
      </c>
      <c r="U869" s="13">
        <v>2958465</v>
      </c>
      <c r="V869" s="13" t="s">
        <v>282</v>
      </c>
      <c r="W869" s="13" t="s">
        <v>145</v>
      </c>
      <c r="Y869" s="13" t="s">
        <v>143</v>
      </c>
      <c r="Z869" s="13">
        <v>7589154</v>
      </c>
      <c r="AA869" s="13">
        <v>1626</v>
      </c>
      <c r="AB869" s="13">
        <v>813</v>
      </c>
      <c r="AE869" s="51">
        <f>M869/O869</f>
        <v>1</v>
      </c>
      <c r="AG869" s="6" t="str">
        <f>C869</f>
        <v>90MB1BJ0-C1BAY0</v>
      </c>
      <c r="AH869" s="6" t="str">
        <f>IF($D869&lt;=AH$4,"",IF(AND($D868=AH$4,$D869&gt;AH$4),$F868,AH868))</f>
        <v>59MB1BJB-MB0A02S</v>
      </c>
      <c r="AI869" s="6" t="str">
        <f>IF($D869&lt;=AI$4,"",IF(AND($D868=AI$4,$D869&gt;AI$4),$F868,AI868))</f>
        <v/>
      </c>
      <c r="AJ869" s="6" t="str">
        <f>IF($D869&lt;=AJ$4,"",IF(AND($D868=AJ$4,$D869&gt;AJ$4),$F868,AJ868))</f>
        <v/>
      </c>
      <c r="AK869" s="6" t="str">
        <f>IF($D869&lt;=AK$4,"",IF(AND($D868=AK$4,$D869&gt;AK$4),$F868,AK868))</f>
        <v/>
      </c>
      <c r="AL869" s="6" t="str">
        <f>IF($D869&lt;=AL$4,"",IF(AND($D868=AL$4,$D869&gt;AL$4),$F868,AL868))</f>
        <v/>
      </c>
      <c r="AM869" s="6" t="str">
        <f>IF($D869&lt;=AM$4,"",IF(AND($D868=AM$4,$D869&gt;AM$4),$F868,AM868))</f>
        <v/>
      </c>
      <c r="AN869" s="6" t="str">
        <f>IF($D869&lt;=AN$4,"",IF(AND($D868=AN$4,$D869&gt;AN$4),$F868,AN868))</f>
        <v/>
      </c>
      <c r="AO869" s="6" t="str">
        <f>CONCATENATE(AG869," | ",AH869," | ",AI869," | ",AJ869," | ",AK869," | ",AL869," | ",AM869," | ",AN869)</f>
        <v xml:space="preserve">90MB1BJ0-C1BAY0 | 59MB1BJB-MB0A02S |  |  |  |  |  | </v>
      </c>
      <c r="AP869" s="6">
        <f>IF(TRIM(H869)="",100,J869)</f>
        <v>0</v>
      </c>
      <c r="AQ869" s="4"/>
      <c r="AR869" s="6" t="b">
        <f>NOT(TRIM(W869)&lt;&gt;"F")</f>
        <v>1</v>
      </c>
      <c r="AS869" s="6" t="str">
        <f>$B869&amp;" | "&amp;$AO869&amp;" | "&amp;IF(TRIM(H869)="","uniq"&amp;ROW(),TRIM(H869))</f>
        <v>461E | 90MB1BJ0-C1BAY0 | 59MB1BJB-MB0A02S |  |  |  |  |  |  | S6</v>
      </c>
      <c r="AT869" s="63">
        <f>IF(NOT(AR869),IF(TRIM($H869)="","Assembly","Phantom Alt"),VLOOKUP(F869,ZPCS04!B:G,6,0))</f>
        <v>912</v>
      </c>
      <c r="AU869" s="7"/>
      <c r="AV869" s="38">
        <f ca="1">IF(TRIM($W869)="F",OFFSET($A$5,MATCH($AS869,$AS$5:$AS869,0)-1,0),$A869)</f>
        <v>870</v>
      </c>
      <c r="AW869" s="38">
        <f ca="1">IFERROR(OFFSET(ZPCS04!$A$1,MATCH(F869,ZPCS04!B:B,0)-1,0),100)</f>
        <v>2</v>
      </c>
      <c r="AX869" s="7"/>
      <c r="AY869" s="6" t="b">
        <f>SUMIF(AS:AS,AS869,AP:AP)=100</f>
        <v>1</v>
      </c>
      <c r="AZ869" s="6" t="b">
        <f>SUMIF(AS:AS,AS869,AE:AE)/COUNTIF(AS:AS,AS869)=AE869</f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>C869&amp;" | "&amp;F869</f>
        <v>90MB1BJ0-C1BAY0 | 12007-00016000</v>
      </c>
      <c r="BE869" s="55" t="str">
        <f ca="1">C869&amp;" | "&amp;OFFSET($AF869,0,8-COUNTBLANK($AG869:$AN869))</f>
        <v>90MB1BJ0-C1BAY0 | 59MB1BJB-MB0A02S</v>
      </c>
      <c r="BF869" s="57">
        <f ca="1">IFERROR(VLOOKUP($BE869,$BD$5:$BF868,3,0)*$AE869,VLOOKUP($C869,Demanda!$A:$B,2,0)*$AE869)*IF(AT869="Phantom Alt",$BC869,TRUE)</f>
        <v>1000</v>
      </c>
      <c r="BG869" s="57">
        <f ca="1">BF869*(AP869/100)</f>
        <v>0</v>
      </c>
      <c r="BH869" s="57">
        <f>SUMIF(Invoice!A:A,F869,Invoice!B:B)</f>
        <v>0</v>
      </c>
      <c r="BI869" s="57">
        <f ca="1">SUMIF(AS:AS,AS869,BG:BG)</f>
        <v>1000</v>
      </c>
      <c r="BJ869" s="57">
        <f ca="1">MIN((BI869-SUMIF($AS$5:AS868,AS869,$BJ$5:BJ868)),MAX(0,BH869-SUMIF($F$5:F868,F869,$BJ$5:BJ868)))</f>
        <v>0</v>
      </c>
      <c r="BK869" s="57">
        <f ca="1">(-SUMIF(AS:AS,AS869,BG:BG)+SUMIF(AS:AS,AS869,BJ:BJ))*(AP869=100)*AR869</f>
        <v>0</v>
      </c>
      <c r="BL869" s="57">
        <f ca="1">MAX(0,SUMIF(Invoice!A:A,F869,Invoice!B:B)-SUMIF(F:F,F869,BJ:BJ))*(COUNTIF(F:F,F869)=COUNTIF($F$5:F869,F869))</f>
        <v>0</v>
      </c>
    </row>
    <row r="870" spans="1:64" hidden="1">
      <c r="A870" s="43">
        <v>869</v>
      </c>
      <c r="B870" s="13" t="s">
        <v>147</v>
      </c>
      <c r="C870" s="13" t="s">
        <v>146</v>
      </c>
      <c r="D870" s="13">
        <v>2</v>
      </c>
      <c r="E870" s="13">
        <v>2860</v>
      </c>
      <c r="F870" s="71" t="s">
        <v>1995</v>
      </c>
      <c r="G870" s="71" t="s">
        <v>1996</v>
      </c>
      <c r="H870" s="13" t="s">
        <v>1994</v>
      </c>
      <c r="I870" s="13" t="s">
        <v>55</v>
      </c>
      <c r="J870" s="28">
        <v>0</v>
      </c>
      <c r="K870" s="13" t="s">
        <v>150</v>
      </c>
      <c r="L870" s="13" t="s">
        <v>53</v>
      </c>
      <c r="M870" s="13">
        <v>1</v>
      </c>
      <c r="O870" s="13">
        <v>1</v>
      </c>
      <c r="P870" s="13">
        <v>2</v>
      </c>
      <c r="Q870" s="13">
        <v>3</v>
      </c>
      <c r="R870" s="13" t="s">
        <v>73</v>
      </c>
      <c r="S870" s="13" t="s">
        <v>73</v>
      </c>
      <c r="T870" s="13">
        <v>44901</v>
      </c>
      <c r="U870" s="13">
        <v>2958465</v>
      </c>
      <c r="V870" s="13" t="s">
        <v>282</v>
      </c>
      <c r="W870" s="13" t="s">
        <v>145</v>
      </c>
      <c r="Y870" s="13" t="s">
        <v>143</v>
      </c>
      <c r="Z870" s="13">
        <v>7589154</v>
      </c>
      <c r="AA870" s="13">
        <v>1628</v>
      </c>
      <c r="AB870" s="13">
        <v>814</v>
      </c>
      <c r="AE870" s="51">
        <f>M870/O870</f>
        <v>1</v>
      </c>
      <c r="AG870" s="6" t="str">
        <f>C870</f>
        <v>90MB1BJ0-C1BAY0</v>
      </c>
      <c r="AH870" s="6" t="str">
        <f>IF($D870&lt;=AH$4,"",IF(AND($D869=AH$4,$D870&gt;AH$4),$F869,AH869))</f>
        <v>59MB1BJB-MB0A02S</v>
      </c>
      <c r="AI870" s="6" t="str">
        <f>IF($D870&lt;=AI$4,"",IF(AND($D869=AI$4,$D870&gt;AI$4),$F869,AI869))</f>
        <v/>
      </c>
      <c r="AJ870" s="6" t="str">
        <f>IF($D870&lt;=AJ$4,"",IF(AND($D869=AJ$4,$D870&gt;AJ$4),$F869,AJ869))</f>
        <v/>
      </c>
      <c r="AK870" s="6" t="str">
        <f>IF($D870&lt;=AK$4,"",IF(AND($D869=AK$4,$D870&gt;AK$4),$F869,AK869))</f>
        <v/>
      </c>
      <c r="AL870" s="6" t="str">
        <f>IF($D870&lt;=AL$4,"",IF(AND($D869=AL$4,$D870&gt;AL$4),$F869,AL869))</f>
        <v/>
      </c>
      <c r="AM870" s="6" t="str">
        <f>IF($D870&lt;=AM$4,"",IF(AND($D869=AM$4,$D870&gt;AM$4),$F869,AM869))</f>
        <v/>
      </c>
      <c r="AN870" s="6" t="str">
        <f>IF($D870&lt;=AN$4,"",IF(AND($D869=AN$4,$D870&gt;AN$4),$F869,AN869))</f>
        <v/>
      </c>
      <c r="AO870" s="6" t="str">
        <f>CONCATENATE(AG870," | ",AH870," | ",AI870," | ",AJ870," | ",AK870," | ",AL870," | ",AM870," | ",AN870)</f>
        <v xml:space="preserve">90MB1BJ0-C1BAY0 | 59MB1BJB-MB0A02S |  |  |  |  |  | </v>
      </c>
      <c r="AP870" s="6">
        <f>IF(TRIM(H870)="",100,J870)</f>
        <v>0</v>
      </c>
      <c r="AQ870" s="4"/>
      <c r="AR870" s="6" t="b">
        <f>NOT(TRIM(W870)&lt;&gt;"F")</f>
        <v>1</v>
      </c>
      <c r="AS870" s="6" t="str">
        <f>$B870&amp;" | "&amp;$AO870&amp;" | "&amp;IF(TRIM(H870)="","uniq"&amp;ROW(),TRIM(H870))</f>
        <v>461E | 90MB1BJ0-C1BAY0 | 59MB1BJB-MB0A02S |  |  |  |  |  |  | S6</v>
      </c>
      <c r="AT870" s="63">
        <f>IF(NOT(AR870),IF(TRIM($H870)="","Assembly","Phantom Alt"),VLOOKUP(F870,ZPCS04!B:G,6,0))</f>
        <v>912</v>
      </c>
      <c r="AU870" s="7"/>
      <c r="AV870" s="38">
        <f ca="1">IF(TRIM($W870)="F",OFFSET($A$5,MATCH($AS870,$AS$5:$AS870,0)-1,0),$A870)</f>
        <v>870</v>
      </c>
      <c r="AW870" s="38">
        <f ca="1">IFERROR(OFFSET(ZPCS04!$A$1,MATCH(F870,ZPCS04!B:B,0)-1,0),100)</f>
        <v>2</v>
      </c>
      <c r="AX870" s="7"/>
      <c r="AY870" s="6" t="b">
        <f>SUMIF(AS:AS,AS870,AP:AP)=100</f>
        <v>1</v>
      </c>
      <c r="AZ870" s="6" t="b">
        <f>SUMIF(AS:AS,AS870,AE:AE)/COUNTIF(AS:AS,AS870)=AE870</f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>C870&amp;" | "&amp;F870</f>
        <v>90MB1BJ0-C1BAY0 | 12007-00016200</v>
      </c>
      <c r="BE870" s="55" t="str">
        <f ca="1">C870&amp;" | "&amp;OFFSET($AF870,0,8-COUNTBLANK($AG870:$AN870))</f>
        <v>90MB1BJ0-C1BAY0 | 59MB1BJB-MB0A02S</v>
      </c>
      <c r="BF870" s="57">
        <f ca="1">IFERROR(VLOOKUP($BE870,$BD$5:$BF869,3,0)*$AE870,VLOOKUP($C870,Demanda!$A:$B,2,0)*$AE870)*IF(AT870="Phantom Alt",$BC870,TRUE)</f>
        <v>1000</v>
      </c>
      <c r="BG870" s="57">
        <f ca="1">BF870*(AP870/100)</f>
        <v>0</v>
      </c>
      <c r="BH870" s="57">
        <f>SUMIF(Invoice!A:A,F870,Invoice!B:B)</f>
        <v>0</v>
      </c>
      <c r="BI870" s="57">
        <f ca="1">SUMIF(AS:AS,AS870,BG:BG)</f>
        <v>1000</v>
      </c>
      <c r="BJ870" s="57">
        <f ca="1">MIN((BI870-SUMIF($AS$5:AS869,AS870,$BJ$5:BJ869)),MAX(0,BH870-SUMIF($F$5:F869,F870,$BJ$5:BJ869)))</f>
        <v>0</v>
      </c>
      <c r="BK870" s="57">
        <f ca="1">(-SUMIF(AS:AS,AS870,BG:BG)+SUMIF(AS:AS,AS870,BJ:BJ))*(AP870=100)*AR870</f>
        <v>0</v>
      </c>
      <c r="BL870" s="57">
        <f ca="1">MAX(0,SUMIF(Invoice!A:A,F870,Invoice!B:B)-SUMIF(F:F,F870,BJ:BJ))*(COUNTIF(F:F,F870)=COUNTIF($F$5:F870,F870))</f>
        <v>0</v>
      </c>
    </row>
    <row r="871" spans="1:64" hidden="1">
      <c r="A871" s="43">
        <v>871</v>
      </c>
      <c r="B871" s="13" t="s">
        <v>147</v>
      </c>
      <c r="C871" s="13" t="s">
        <v>146</v>
      </c>
      <c r="D871" s="13">
        <v>2</v>
      </c>
      <c r="E871" s="13">
        <v>2870</v>
      </c>
      <c r="F871" s="71" t="s">
        <v>1999</v>
      </c>
      <c r="G871" s="71" t="s">
        <v>2000</v>
      </c>
      <c r="H871" s="13" t="s">
        <v>2001</v>
      </c>
      <c r="I871" s="13" t="s">
        <v>54</v>
      </c>
      <c r="J871" s="28">
        <v>100</v>
      </c>
      <c r="K871" s="13" t="s">
        <v>150</v>
      </c>
      <c r="L871" s="13" t="s">
        <v>53</v>
      </c>
      <c r="M871" s="13">
        <v>1</v>
      </c>
      <c r="N871" s="13">
        <v>1</v>
      </c>
      <c r="O871" s="13">
        <v>1</v>
      </c>
      <c r="P871" s="13">
        <v>2</v>
      </c>
      <c r="Q871" s="13">
        <v>1</v>
      </c>
      <c r="R871" s="13" t="s">
        <v>73</v>
      </c>
      <c r="S871" s="13" t="s">
        <v>73</v>
      </c>
      <c r="T871" s="13">
        <v>44901</v>
      </c>
      <c r="U871" s="13">
        <v>2958465</v>
      </c>
      <c r="V871" s="13" t="s">
        <v>282</v>
      </c>
      <c r="W871" s="13" t="s">
        <v>145</v>
      </c>
      <c r="Y871" s="13" t="s">
        <v>143</v>
      </c>
      <c r="Z871" s="13">
        <v>7589154</v>
      </c>
      <c r="AA871" s="13">
        <v>1630</v>
      </c>
      <c r="AB871" s="13">
        <v>815</v>
      </c>
      <c r="AE871" s="51">
        <f>M871/O871</f>
        <v>1</v>
      </c>
      <c r="AG871" s="6" t="str">
        <f>C871</f>
        <v>90MB1BJ0-C1BAY0</v>
      </c>
      <c r="AH871" s="6" t="str">
        <f>IF($D871&lt;=AH$4,"",IF(AND($D870=AH$4,$D871&gt;AH$4),$F870,AH870))</f>
        <v>59MB1BJB-MB0A02S</v>
      </c>
      <c r="AI871" s="6" t="str">
        <f>IF($D871&lt;=AI$4,"",IF(AND($D870=AI$4,$D871&gt;AI$4),$F870,AI870))</f>
        <v/>
      </c>
      <c r="AJ871" s="6" t="str">
        <f>IF($D871&lt;=AJ$4,"",IF(AND($D870=AJ$4,$D871&gt;AJ$4),$F870,AJ870))</f>
        <v/>
      </c>
      <c r="AK871" s="6" t="str">
        <f>IF($D871&lt;=AK$4,"",IF(AND($D870=AK$4,$D871&gt;AK$4),$F870,AK870))</f>
        <v/>
      </c>
      <c r="AL871" s="6" t="str">
        <f>IF($D871&lt;=AL$4,"",IF(AND($D870=AL$4,$D871&gt;AL$4),$F870,AL870))</f>
        <v/>
      </c>
      <c r="AM871" s="6" t="str">
        <f>IF($D871&lt;=AM$4,"",IF(AND($D870=AM$4,$D871&gt;AM$4),$F870,AM870))</f>
        <v/>
      </c>
      <c r="AN871" s="6" t="str">
        <f>IF($D871&lt;=AN$4,"",IF(AND($D870=AN$4,$D871&gt;AN$4),$F870,AN870))</f>
        <v/>
      </c>
      <c r="AO871" s="6" t="str">
        <f>CONCATENATE(AG871," | ",AH871," | ",AI871," | ",AJ871," | ",AK871," | ",AL871," | ",AM871," | ",AN871)</f>
        <v xml:space="preserve">90MB1BJ0-C1BAY0 | 59MB1BJB-MB0A02S |  |  |  |  |  | </v>
      </c>
      <c r="AP871" s="6">
        <f>IF(TRIM(H871)="",100,J871)</f>
        <v>100</v>
      </c>
      <c r="AQ871" s="4"/>
      <c r="AR871" s="6" t="b">
        <f>NOT(TRIM(W871)&lt;&gt;"F")</f>
        <v>1</v>
      </c>
      <c r="AS871" s="6" t="str">
        <f>$B871&amp;" | "&amp;$AO871&amp;" | "&amp;IF(TRIM(H871)="","uniq"&amp;ROW(),TRIM(H871))</f>
        <v>461E | 90MB1BJ0-C1BAY0 | 59MB1BJB-MB0A02S |  |  |  |  |  |  | S7</v>
      </c>
      <c r="AT871" s="63">
        <f>IF(NOT(AR871),IF(TRIM($H871)="","Assembly","Phantom Alt"),VLOOKUP(F871,ZPCS04!B:G,6,0))</f>
        <v>1008</v>
      </c>
      <c r="AU871" s="7"/>
      <c r="AV871" s="38">
        <f ca="1">IF(TRIM($W871)="F",OFFSET($A$5,MATCH($AS871,$AS$5:$AS871,0)-1,0),$A871)</f>
        <v>871</v>
      </c>
      <c r="AW871" s="38">
        <f ca="1">IFERROR(OFFSET(ZPCS04!$A$1,MATCH(F871,ZPCS04!B:B,0)-1,0),100)</f>
        <v>1.999999935</v>
      </c>
      <c r="AX871" s="7"/>
      <c r="AY871" s="6" t="b">
        <f>SUMIF(AS:AS,AS871,AP:AP)=100</f>
        <v>1</v>
      </c>
      <c r="AZ871" s="6" t="b">
        <f>SUMIF(AS:AS,AS871,AE:AE)/COUNTIF(AS:AS,AS871)=AE871</f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>C871&amp;" | "&amp;F871</f>
        <v>90MB1BJ0-C1BAY0 | 12007-00033200</v>
      </c>
      <c r="BE871" s="55" t="str">
        <f ca="1">C871&amp;" | "&amp;OFFSET($AF871,0,8-COUNTBLANK($AG871:$AN871))</f>
        <v>90MB1BJ0-C1BAY0 | 59MB1BJB-MB0A02S</v>
      </c>
      <c r="BF871" s="57">
        <f ca="1">IFERROR(VLOOKUP($BE871,$BD$5:$BF870,3,0)*$AE871,VLOOKUP($C871,Demanda!$A:$B,2,0)*$AE871)*IF(AT871="Phantom Alt",$BC871,TRUE)</f>
        <v>1000</v>
      </c>
      <c r="BG871" s="57">
        <f ca="1">BF871*(AP871/100)</f>
        <v>1000</v>
      </c>
      <c r="BH871" s="57">
        <f>SUMIF(Invoice!A:A,F871,Invoice!B:B)</f>
        <v>6500</v>
      </c>
      <c r="BI871" s="57">
        <f ca="1">SUMIF(AS:AS,AS871,BG:BG)</f>
        <v>1000</v>
      </c>
      <c r="BJ871" s="57">
        <f ca="1">MIN((BI871-SUMIF($AS$5:AS870,AS871,$BJ$5:BJ870)),MAX(0,BH871-SUMIF($F$5:F870,F871,$BJ$5:BJ870)))</f>
        <v>1000</v>
      </c>
      <c r="BK871" s="57">
        <f ca="1">(-SUMIF(AS:AS,AS871,BG:BG)+SUMIF(AS:AS,AS871,BJ:BJ))*(AP871=100)*AR871</f>
        <v>0</v>
      </c>
      <c r="BL871" s="57">
        <f ca="1">MAX(0,SUMIF(Invoice!A:A,F871,Invoice!B:B)-SUMIF(F:F,F871,BJ:BJ))*(COUNTIF(F:F,F871)=COUNTIF($F$5:F871,F871))</f>
        <v>5500</v>
      </c>
    </row>
    <row r="872" spans="1:64" hidden="1">
      <c r="A872" s="43">
        <v>872</v>
      </c>
      <c r="B872" s="13" t="s">
        <v>147</v>
      </c>
      <c r="C872" s="13" t="s">
        <v>146</v>
      </c>
      <c r="D872" s="13">
        <v>2</v>
      </c>
      <c r="E872" s="13">
        <v>2870</v>
      </c>
      <c r="F872" s="71" t="s">
        <v>2002</v>
      </c>
      <c r="G872" s="71" t="s">
        <v>2003</v>
      </c>
      <c r="H872" s="13" t="s">
        <v>2001</v>
      </c>
      <c r="I872" s="13" t="s">
        <v>55</v>
      </c>
      <c r="J872" s="28">
        <v>0</v>
      </c>
      <c r="K872" s="13" t="s">
        <v>150</v>
      </c>
      <c r="L872" s="13" t="s">
        <v>53</v>
      </c>
      <c r="M872" s="13">
        <v>1</v>
      </c>
      <c r="O872" s="13">
        <v>1</v>
      </c>
      <c r="P872" s="13">
        <v>2</v>
      </c>
      <c r="Q872" s="13">
        <v>3</v>
      </c>
      <c r="R872" s="13" t="s">
        <v>73</v>
      </c>
      <c r="S872" s="13" t="s">
        <v>73</v>
      </c>
      <c r="T872" s="13">
        <v>44901</v>
      </c>
      <c r="U872" s="13">
        <v>2958465</v>
      </c>
      <c r="V872" s="13" t="s">
        <v>282</v>
      </c>
      <c r="W872" s="13" t="s">
        <v>145</v>
      </c>
      <c r="Y872" s="13" t="s">
        <v>143</v>
      </c>
      <c r="Z872" s="13">
        <v>7589154</v>
      </c>
      <c r="AA872" s="13">
        <v>1634</v>
      </c>
      <c r="AB872" s="13">
        <v>817</v>
      </c>
      <c r="AE872" s="51">
        <f>M872/O872</f>
        <v>1</v>
      </c>
      <c r="AG872" s="6" t="str">
        <f>C872</f>
        <v>90MB1BJ0-C1BAY0</v>
      </c>
      <c r="AH872" s="6" t="str">
        <f>IF($D872&lt;=AH$4,"",IF(AND($D871=AH$4,$D872&gt;AH$4),$F871,AH871))</f>
        <v>59MB1BJB-MB0A02S</v>
      </c>
      <c r="AI872" s="6" t="str">
        <f>IF($D872&lt;=AI$4,"",IF(AND($D871=AI$4,$D872&gt;AI$4),$F871,AI871))</f>
        <v/>
      </c>
      <c r="AJ872" s="6" t="str">
        <f>IF($D872&lt;=AJ$4,"",IF(AND($D871=AJ$4,$D872&gt;AJ$4),$F871,AJ871))</f>
        <v/>
      </c>
      <c r="AK872" s="6" t="str">
        <f>IF($D872&lt;=AK$4,"",IF(AND($D871=AK$4,$D872&gt;AK$4),$F871,AK871))</f>
        <v/>
      </c>
      <c r="AL872" s="6" t="str">
        <f>IF($D872&lt;=AL$4,"",IF(AND($D871=AL$4,$D872&gt;AL$4),$F871,AL871))</f>
        <v/>
      </c>
      <c r="AM872" s="6" t="str">
        <f>IF($D872&lt;=AM$4,"",IF(AND($D871=AM$4,$D872&gt;AM$4),$F871,AM871))</f>
        <v/>
      </c>
      <c r="AN872" s="6" t="str">
        <f>IF($D872&lt;=AN$4,"",IF(AND($D871=AN$4,$D872&gt;AN$4),$F871,AN871))</f>
        <v/>
      </c>
      <c r="AO872" s="6" t="str">
        <f>CONCATENATE(AG872," | ",AH872," | ",AI872," | ",AJ872," | ",AK872," | ",AL872," | ",AM872," | ",AN872)</f>
        <v xml:space="preserve">90MB1BJ0-C1BAY0 | 59MB1BJB-MB0A02S |  |  |  |  |  | </v>
      </c>
      <c r="AP872" s="6">
        <f>IF(TRIM(H872)="",100,J872)</f>
        <v>0</v>
      </c>
      <c r="AQ872" s="4"/>
      <c r="AR872" s="6" t="b">
        <f>NOT(TRIM(W872)&lt;&gt;"F")</f>
        <v>1</v>
      </c>
      <c r="AS872" s="6" t="str">
        <f>$B872&amp;" | "&amp;$AO872&amp;" | "&amp;IF(TRIM(H872)="","uniq"&amp;ROW(),TRIM(H872))</f>
        <v>461E | 90MB1BJ0-C1BAY0 | 59MB1BJB-MB0A02S |  |  |  |  |  |  | S7</v>
      </c>
      <c r="AT872" s="63">
        <f>IF(NOT(AR872),IF(TRIM($H872)="","Assembly","Phantom Alt"),VLOOKUP(F872,ZPCS04!B:G,6,0))</f>
        <v>1008</v>
      </c>
      <c r="AU872" s="7"/>
      <c r="AV872" s="38">
        <f ca="1">IF(TRIM($W872)="F",OFFSET($A$5,MATCH($AS872,$AS$5:$AS872,0)-1,0),$A872)</f>
        <v>871</v>
      </c>
      <c r="AW872" s="38">
        <f ca="1">IFERROR(OFFSET(ZPCS04!$A$1,MATCH(F872,ZPCS04!B:B,0)-1,0),100)</f>
        <v>2</v>
      </c>
      <c r="AX872" s="7"/>
      <c r="AY872" s="6" t="b">
        <f>SUMIF(AS:AS,AS872,AP:AP)=100</f>
        <v>1</v>
      </c>
      <c r="AZ872" s="6" t="b">
        <f>SUMIF(AS:AS,AS872,AE:AE)/COUNTIF(AS:AS,AS872)=AE872</f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>C872&amp;" | "&amp;F872</f>
        <v>90MB1BJ0-C1BAY0 | 12007-00033400</v>
      </c>
      <c r="BE872" s="55" t="str">
        <f ca="1">C872&amp;" | "&amp;OFFSET($AF872,0,8-COUNTBLANK($AG872:$AN872))</f>
        <v>90MB1BJ0-C1BAY0 | 59MB1BJB-MB0A02S</v>
      </c>
      <c r="BF872" s="57">
        <f ca="1">IFERROR(VLOOKUP($BE872,$BD$5:$BF871,3,0)*$AE872,VLOOKUP($C872,Demanda!$A:$B,2,0)*$AE872)*IF(AT872="Phantom Alt",$BC872,TRUE)</f>
        <v>1000</v>
      </c>
      <c r="BG872" s="57">
        <f ca="1">BF872*(AP872/100)</f>
        <v>0</v>
      </c>
      <c r="BH872" s="57">
        <f>SUMIF(Invoice!A:A,F872,Invoice!B:B)</f>
        <v>0</v>
      </c>
      <c r="BI872" s="57">
        <f ca="1">SUMIF(AS:AS,AS872,BG:BG)</f>
        <v>1000</v>
      </c>
      <c r="BJ872" s="57">
        <f ca="1">MIN((BI872-SUMIF($AS$5:AS871,AS872,$BJ$5:BJ871)),MAX(0,BH872-SUMIF($F$5:F871,F872,$BJ$5:BJ871)))</f>
        <v>0</v>
      </c>
      <c r="BK872" s="57">
        <f ca="1">(-SUMIF(AS:AS,AS872,BG:BG)+SUMIF(AS:AS,AS872,BJ:BJ))*(AP872=100)*AR872</f>
        <v>0</v>
      </c>
      <c r="BL872" s="57">
        <f ca="1">MAX(0,SUMIF(Invoice!A:A,F872,Invoice!B:B)-SUMIF(F:F,F872,BJ:BJ))*(COUNTIF(F:F,F872)=COUNTIF($F$5:F872,F872))</f>
        <v>0</v>
      </c>
    </row>
    <row r="873" spans="1:64" hidden="1">
      <c r="A873" s="43">
        <v>873</v>
      </c>
      <c r="B873" s="13" t="s">
        <v>147</v>
      </c>
      <c r="C873" s="13" t="s">
        <v>146</v>
      </c>
      <c r="D873" s="13">
        <v>2</v>
      </c>
      <c r="E873" s="13">
        <v>2870</v>
      </c>
      <c r="F873" s="71" t="s">
        <v>2004</v>
      </c>
      <c r="G873" s="71" t="s">
        <v>2005</v>
      </c>
      <c r="H873" s="13" t="s">
        <v>2001</v>
      </c>
      <c r="I873" s="13" t="s">
        <v>55</v>
      </c>
      <c r="J873" s="28">
        <v>0</v>
      </c>
      <c r="K873" s="13" t="s">
        <v>150</v>
      </c>
      <c r="L873" s="13" t="s">
        <v>53</v>
      </c>
      <c r="M873" s="13">
        <v>1</v>
      </c>
      <c r="O873" s="13">
        <v>1</v>
      </c>
      <c r="P873" s="13">
        <v>2</v>
      </c>
      <c r="Q873" s="13">
        <v>2</v>
      </c>
      <c r="R873" s="13" t="s">
        <v>73</v>
      </c>
      <c r="S873" s="13" t="s">
        <v>73</v>
      </c>
      <c r="T873" s="13">
        <v>44901</v>
      </c>
      <c r="U873" s="13">
        <v>2958465</v>
      </c>
      <c r="V873" s="13" t="s">
        <v>282</v>
      </c>
      <c r="W873" s="13" t="s">
        <v>145</v>
      </c>
      <c r="Y873" s="13" t="s">
        <v>143</v>
      </c>
      <c r="Z873" s="13">
        <v>7589154</v>
      </c>
      <c r="AA873" s="13">
        <v>1632</v>
      </c>
      <c r="AB873" s="13">
        <v>816</v>
      </c>
      <c r="AE873" s="51">
        <f>M873/O873</f>
        <v>1</v>
      </c>
      <c r="AG873" s="6" t="str">
        <f>C873</f>
        <v>90MB1BJ0-C1BAY0</v>
      </c>
      <c r="AH873" s="6" t="str">
        <f>IF($D873&lt;=AH$4,"",IF(AND($D872=AH$4,$D873&gt;AH$4),$F872,AH872))</f>
        <v>59MB1BJB-MB0A02S</v>
      </c>
      <c r="AI873" s="6" t="str">
        <f>IF($D873&lt;=AI$4,"",IF(AND($D872=AI$4,$D873&gt;AI$4),$F872,AI872))</f>
        <v/>
      </c>
      <c r="AJ873" s="6" t="str">
        <f>IF($D873&lt;=AJ$4,"",IF(AND($D872=AJ$4,$D873&gt;AJ$4),$F872,AJ872))</f>
        <v/>
      </c>
      <c r="AK873" s="6" t="str">
        <f>IF($D873&lt;=AK$4,"",IF(AND($D872=AK$4,$D873&gt;AK$4),$F872,AK872))</f>
        <v/>
      </c>
      <c r="AL873" s="6" t="str">
        <f>IF($D873&lt;=AL$4,"",IF(AND($D872=AL$4,$D873&gt;AL$4),$F872,AL872))</f>
        <v/>
      </c>
      <c r="AM873" s="6" t="str">
        <f>IF($D873&lt;=AM$4,"",IF(AND($D872=AM$4,$D873&gt;AM$4),$F872,AM872))</f>
        <v/>
      </c>
      <c r="AN873" s="6" t="str">
        <f>IF($D873&lt;=AN$4,"",IF(AND($D872=AN$4,$D873&gt;AN$4),$F872,AN872))</f>
        <v/>
      </c>
      <c r="AO873" s="6" t="str">
        <f>CONCATENATE(AG873," | ",AH873," | ",AI873," | ",AJ873," | ",AK873," | ",AL873," | ",AM873," | ",AN873)</f>
        <v xml:space="preserve">90MB1BJ0-C1BAY0 | 59MB1BJB-MB0A02S |  |  |  |  |  | </v>
      </c>
      <c r="AP873" s="6">
        <f>IF(TRIM(H873)="",100,J873)</f>
        <v>0</v>
      </c>
      <c r="AQ873" s="4"/>
      <c r="AR873" s="6" t="b">
        <f>NOT(TRIM(W873)&lt;&gt;"F")</f>
        <v>1</v>
      </c>
      <c r="AS873" s="6" t="str">
        <f>$B873&amp;" | "&amp;$AO873&amp;" | "&amp;IF(TRIM(H873)="","uniq"&amp;ROW(),TRIM(H873))</f>
        <v>461E | 90MB1BJ0-C1BAY0 | 59MB1BJB-MB0A02S |  |  |  |  |  |  | S7</v>
      </c>
      <c r="AT873" s="63">
        <f>IF(NOT(AR873),IF(TRIM($H873)="","Assembly","Phantom Alt"),VLOOKUP(F873,ZPCS04!B:G,6,0))</f>
        <v>1008</v>
      </c>
      <c r="AU873" s="7"/>
      <c r="AV873" s="38">
        <f ca="1">IF(TRIM($W873)="F",OFFSET($A$5,MATCH($AS873,$AS$5:$AS873,0)-1,0),$A873)</f>
        <v>871</v>
      </c>
      <c r="AW873" s="38">
        <f ca="1">IFERROR(OFFSET(ZPCS04!$A$1,MATCH(F873,ZPCS04!B:B,0)-1,0),100)</f>
        <v>2</v>
      </c>
      <c r="AX873" s="7"/>
      <c r="AY873" s="6" t="b">
        <f>SUMIF(AS:AS,AS873,AP:AP)=100</f>
        <v>1</v>
      </c>
      <c r="AZ873" s="6" t="b">
        <f>SUMIF(AS:AS,AS873,AE:AE)/COUNTIF(AS:AS,AS873)=AE873</f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>C873&amp;" | "&amp;F873</f>
        <v>90MB1BJ0-C1BAY0 | 12007-00033600</v>
      </c>
      <c r="BE873" s="55" t="str">
        <f ca="1">C873&amp;" | "&amp;OFFSET($AF873,0,8-COUNTBLANK($AG873:$AN873))</f>
        <v>90MB1BJ0-C1BAY0 | 59MB1BJB-MB0A02S</v>
      </c>
      <c r="BF873" s="57">
        <f ca="1">IFERROR(VLOOKUP($BE873,$BD$5:$BF872,3,0)*$AE873,VLOOKUP($C873,Demanda!$A:$B,2,0)*$AE873)*IF(AT873="Phantom Alt",$BC873,TRUE)</f>
        <v>1000</v>
      </c>
      <c r="BG873" s="57">
        <f ca="1">BF873*(AP873/100)</f>
        <v>0</v>
      </c>
      <c r="BH873" s="57">
        <f>SUMIF(Invoice!A:A,F873,Invoice!B:B)</f>
        <v>0</v>
      </c>
      <c r="BI873" s="57">
        <f ca="1">SUMIF(AS:AS,AS873,BG:BG)</f>
        <v>1000</v>
      </c>
      <c r="BJ873" s="57">
        <f ca="1">MIN((BI873-SUMIF($AS$5:AS872,AS873,$BJ$5:BJ872)),MAX(0,BH873-SUMIF($F$5:F872,F873,$BJ$5:BJ872)))</f>
        <v>0</v>
      </c>
      <c r="BK873" s="57">
        <f ca="1">(-SUMIF(AS:AS,AS873,BG:BG)+SUMIF(AS:AS,AS873,BJ:BJ))*(AP873=100)*AR873</f>
        <v>0</v>
      </c>
      <c r="BL873" s="57">
        <f ca="1">MAX(0,SUMIF(Invoice!A:A,F873,Invoice!B:B)-SUMIF(F:F,F873,BJ:BJ))*(COUNTIF(F:F,F873)=COUNTIF($F$5:F873,F873))</f>
        <v>0</v>
      </c>
    </row>
    <row r="874" spans="1:64" hidden="1">
      <c r="A874" s="43">
        <v>875</v>
      </c>
      <c r="B874" s="13" t="s">
        <v>147</v>
      </c>
      <c r="C874" s="13" t="s">
        <v>146</v>
      </c>
      <c r="D874" s="13">
        <v>2</v>
      </c>
      <c r="E874" s="13">
        <v>2880</v>
      </c>
      <c r="F874" s="71" t="s">
        <v>2009</v>
      </c>
      <c r="G874" s="71" t="s">
        <v>2010</v>
      </c>
      <c r="H874" s="13" t="s">
        <v>2008</v>
      </c>
      <c r="I874" s="13" t="s">
        <v>54</v>
      </c>
      <c r="J874" s="28">
        <v>100</v>
      </c>
      <c r="K874" s="13" t="s">
        <v>150</v>
      </c>
      <c r="L874" s="13" t="s">
        <v>53</v>
      </c>
      <c r="M874" s="13">
        <v>3</v>
      </c>
      <c r="N874" s="13">
        <v>3</v>
      </c>
      <c r="O874" s="13">
        <v>1</v>
      </c>
      <c r="P874" s="13">
        <v>2</v>
      </c>
      <c r="Q874" s="13">
        <v>1</v>
      </c>
      <c r="R874" s="13" t="s">
        <v>73</v>
      </c>
      <c r="S874" s="13" t="s">
        <v>73</v>
      </c>
      <c r="T874" s="13">
        <v>44901</v>
      </c>
      <c r="U874" s="13">
        <v>2958465</v>
      </c>
      <c r="V874" s="13" t="s">
        <v>282</v>
      </c>
      <c r="W874" s="13" t="s">
        <v>145</v>
      </c>
      <c r="Y874" s="13" t="s">
        <v>143</v>
      </c>
      <c r="Z874" s="13">
        <v>7589154</v>
      </c>
      <c r="AA874" s="13">
        <v>1636</v>
      </c>
      <c r="AB874" s="13">
        <v>818</v>
      </c>
      <c r="AE874" s="51">
        <f>M874/O874</f>
        <v>3</v>
      </c>
      <c r="AG874" s="6" t="str">
        <f>C874</f>
        <v>90MB1BJ0-C1BAY0</v>
      </c>
      <c r="AH874" s="6" t="str">
        <f>IF($D874&lt;=AH$4,"",IF(AND($D873=AH$4,$D874&gt;AH$4),$F873,AH873))</f>
        <v>59MB1BJB-MB0A02S</v>
      </c>
      <c r="AI874" s="6" t="str">
        <f>IF($D874&lt;=AI$4,"",IF(AND($D873=AI$4,$D874&gt;AI$4),$F873,AI873))</f>
        <v/>
      </c>
      <c r="AJ874" s="6" t="str">
        <f>IF($D874&lt;=AJ$4,"",IF(AND($D873=AJ$4,$D874&gt;AJ$4),$F873,AJ873))</f>
        <v/>
      </c>
      <c r="AK874" s="6" t="str">
        <f>IF($D874&lt;=AK$4,"",IF(AND($D873=AK$4,$D874&gt;AK$4),$F873,AK873))</f>
        <v/>
      </c>
      <c r="AL874" s="6" t="str">
        <f>IF($D874&lt;=AL$4,"",IF(AND($D873=AL$4,$D874&gt;AL$4),$F873,AL873))</f>
        <v/>
      </c>
      <c r="AM874" s="6" t="str">
        <f>IF($D874&lt;=AM$4,"",IF(AND($D873=AM$4,$D874&gt;AM$4),$F873,AM873))</f>
        <v/>
      </c>
      <c r="AN874" s="6" t="str">
        <f>IF($D874&lt;=AN$4,"",IF(AND($D873=AN$4,$D874&gt;AN$4),$F873,AN873))</f>
        <v/>
      </c>
      <c r="AO874" s="6" t="str">
        <f>CONCATENATE(AG874," | ",AH874," | ",AI874," | ",AJ874," | ",AK874," | ",AL874," | ",AM874," | ",AN874)</f>
        <v xml:space="preserve">90MB1BJ0-C1BAY0 | 59MB1BJB-MB0A02S |  |  |  |  |  | </v>
      </c>
      <c r="AP874" s="6">
        <f>IF(TRIM(H874)="",100,J874)</f>
        <v>100</v>
      </c>
      <c r="AQ874" s="4"/>
      <c r="AR874" s="6" t="b">
        <f>NOT(TRIM(W874)&lt;&gt;"F")</f>
        <v>1</v>
      </c>
      <c r="AS874" s="6" t="str">
        <f>$B874&amp;" | "&amp;$AO874&amp;" | "&amp;IF(TRIM(H874)="","uniq"&amp;ROW(),TRIM(H874))</f>
        <v>461E | 90MB1BJ0-C1BAY0 | 59MB1BJB-MB0A02S |  |  |  |  |  |  | S8</v>
      </c>
      <c r="AT874" s="63">
        <f>IF(NOT(AR874),IF(TRIM($H874)="","Assembly","Phantom Alt"),VLOOKUP(F874,ZPCS04!B:G,6,0))</f>
        <v>905</v>
      </c>
      <c r="AU874" s="7"/>
      <c r="AV874" s="38">
        <f ca="1">IF(TRIM($W874)="F",OFFSET($A$5,MATCH($AS874,$AS$5:$AS874,0)-1,0),$A874)</f>
        <v>875</v>
      </c>
      <c r="AW874" s="38">
        <f ca="1">IFERROR(OFFSET(ZPCS04!$A$1,MATCH(F874,ZPCS04!B:B,0)-1,0),100)</f>
        <v>1.9999999100000001</v>
      </c>
      <c r="AX874" s="7"/>
      <c r="AY874" s="6" t="b">
        <f>SUMIF(AS:AS,AS874,AP:AP)=100</f>
        <v>1</v>
      </c>
      <c r="AZ874" s="6" t="b">
        <f>SUMIF(AS:AS,AS874,AE:AE)/COUNTIF(AS:AS,AS874)=AE874</f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>C874&amp;" | "&amp;F874</f>
        <v>90MB1BJ0-C1BAY0 | 12007-00033300</v>
      </c>
      <c r="BE874" s="55" t="str">
        <f ca="1">C874&amp;" | "&amp;OFFSET($AF874,0,8-COUNTBLANK($AG874:$AN874))</f>
        <v>90MB1BJ0-C1BAY0 | 59MB1BJB-MB0A02S</v>
      </c>
      <c r="BF874" s="57">
        <f ca="1">IFERROR(VLOOKUP($BE874,$BD$5:$BF873,3,0)*$AE874,VLOOKUP($C874,Demanda!$A:$B,2,0)*$AE874)*IF(AT874="Phantom Alt",$BC874,TRUE)</f>
        <v>3000</v>
      </c>
      <c r="BG874" s="57">
        <f ca="1">BF874*(AP874/100)</f>
        <v>3000</v>
      </c>
      <c r="BH874" s="57">
        <f>SUMIF(Invoice!A:A,F874,Invoice!B:B)</f>
        <v>9000</v>
      </c>
      <c r="BI874" s="57">
        <f ca="1">SUMIF(AS:AS,AS874,BG:BG)</f>
        <v>3000</v>
      </c>
      <c r="BJ874" s="57">
        <f ca="1">MIN((BI874-SUMIF($AS$5:AS873,AS874,$BJ$5:BJ873)),MAX(0,BH874-SUMIF($F$5:F873,F874,$BJ$5:BJ873)))</f>
        <v>3000</v>
      </c>
      <c r="BK874" s="57">
        <f ca="1">(-SUMIF(AS:AS,AS874,BG:BG)+SUMIF(AS:AS,AS874,BJ:BJ))*(AP874=100)*AR874</f>
        <v>0</v>
      </c>
      <c r="BL874" s="57">
        <f ca="1">MAX(0,SUMIF(Invoice!A:A,F874,Invoice!B:B)-SUMIF(F:F,F874,BJ:BJ))*(COUNTIF(F:F,F874)=COUNTIF($F$5:F874,F874))</f>
        <v>6000</v>
      </c>
    </row>
    <row r="875" spans="1:64" hidden="1">
      <c r="A875" s="43">
        <v>874</v>
      </c>
      <c r="B875" s="13" t="s">
        <v>147</v>
      </c>
      <c r="C875" s="13" t="s">
        <v>146</v>
      </c>
      <c r="D875" s="13">
        <v>2</v>
      </c>
      <c r="E875" s="13">
        <v>2880</v>
      </c>
      <c r="F875" s="71" t="s">
        <v>2006</v>
      </c>
      <c r="G875" s="71" t="s">
        <v>2007</v>
      </c>
      <c r="H875" s="13" t="s">
        <v>2008</v>
      </c>
      <c r="I875" s="13" t="s">
        <v>55</v>
      </c>
      <c r="J875" s="28">
        <v>0</v>
      </c>
      <c r="K875" s="13" t="s">
        <v>150</v>
      </c>
      <c r="L875" s="13" t="s">
        <v>53</v>
      </c>
      <c r="M875" s="13">
        <v>3</v>
      </c>
      <c r="O875" s="13">
        <v>1</v>
      </c>
      <c r="P875" s="13">
        <v>2</v>
      </c>
      <c r="Q875" s="13">
        <v>2</v>
      </c>
      <c r="R875" s="13" t="s">
        <v>73</v>
      </c>
      <c r="S875" s="13" t="s">
        <v>73</v>
      </c>
      <c r="T875" s="13">
        <v>44901</v>
      </c>
      <c r="U875" s="13">
        <v>2958465</v>
      </c>
      <c r="V875" s="13" t="s">
        <v>282</v>
      </c>
      <c r="W875" s="13" t="s">
        <v>145</v>
      </c>
      <c r="Y875" s="13" t="s">
        <v>143</v>
      </c>
      <c r="Z875" s="13">
        <v>7589154</v>
      </c>
      <c r="AA875" s="13">
        <v>1638</v>
      </c>
      <c r="AB875" s="13">
        <v>819</v>
      </c>
      <c r="AE875" s="51">
        <f>M875/O875</f>
        <v>3</v>
      </c>
      <c r="AG875" s="6" t="str">
        <f>C875</f>
        <v>90MB1BJ0-C1BAY0</v>
      </c>
      <c r="AH875" s="6" t="str">
        <f>IF($D875&lt;=AH$4,"",IF(AND($D874=AH$4,$D875&gt;AH$4),$F874,AH874))</f>
        <v>59MB1BJB-MB0A02S</v>
      </c>
      <c r="AI875" s="6" t="str">
        <f>IF($D875&lt;=AI$4,"",IF(AND($D874=AI$4,$D875&gt;AI$4),$F874,AI874))</f>
        <v/>
      </c>
      <c r="AJ875" s="6" t="str">
        <f>IF($D875&lt;=AJ$4,"",IF(AND($D874=AJ$4,$D875&gt;AJ$4),$F874,AJ874))</f>
        <v/>
      </c>
      <c r="AK875" s="6" t="str">
        <f>IF($D875&lt;=AK$4,"",IF(AND($D874=AK$4,$D875&gt;AK$4),$F874,AK874))</f>
        <v/>
      </c>
      <c r="AL875" s="6" t="str">
        <f>IF($D875&lt;=AL$4,"",IF(AND($D874=AL$4,$D875&gt;AL$4),$F874,AL874))</f>
        <v/>
      </c>
      <c r="AM875" s="6" t="str">
        <f>IF($D875&lt;=AM$4,"",IF(AND($D874=AM$4,$D875&gt;AM$4),$F874,AM874))</f>
        <v/>
      </c>
      <c r="AN875" s="6" t="str">
        <f>IF($D875&lt;=AN$4,"",IF(AND($D874=AN$4,$D875&gt;AN$4),$F874,AN874))</f>
        <v/>
      </c>
      <c r="AO875" s="6" t="str">
        <f>CONCATENATE(AG875," | ",AH875," | ",AI875," | ",AJ875," | ",AK875," | ",AL875," | ",AM875," | ",AN875)</f>
        <v xml:space="preserve">90MB1BJ0-C1BAY0 | 59MB1BJB-MB0A02S |  |  |  |  |  | </v>
      </c>
      <c r="AP875" s="6">
        <f>IF(TRIM(H875)="",100,J875)</f>
        <v>0</v>
      </c>
      <c r="AQ875" s="4"/>
      <c r="AR875" s="6" t="b">
        <f>NOT(TRIM(W875)&lt;&gt;"F")</f>
        <v>1</v>
      </c>
      <c r="AS875" s="6" t="str">
        <f>$B875&amp;" | "&amp;$AO875&amp;" | "&amp;IF(TRIM(H875)="","uniq"&amp;ROW(),TRIM(H875))</f>
        <v>461E | 90MB1BJ0-C1BAY0 | 59MB1BJB-MB0A02S |  |  |  |  |  |  | S8</v>
      </c>
      <c r="AT875" s="63">
        <f>IF(NOT(AR875),IF(TRIM($H875)="","Assembly","Phantom Alt"),VLOOKUP(F875,ZPCS04!B:G,6,0))</f>
        <v>905</v>
      </c>
      <c r="AU875" s="7"/>
      <c r="AV875" s="38">
        <f ca="1">IF(TRIM($W875)="F",OFFSET($A$5,MATCH($AS875,$AS$5:$AS875,0)-1,0),$A875)</f>
        <v>875</v>
      </c>
      <c r="AW875" s="38">
        <f ca="1">IFERROR(OFFSET(ZPCS04!$A$1,MATCH(F875,ZPCS04!B:B,0)-1,0),100)</f>
        <v>2</v>
      </c>
      <c r="AX875" s="7"/>
      <c r="AY875" s="6" t="b">
        <f>SUMIF(AS:AS,AS875,AP:AP)=100</f>
        <v>1</v>
      </c>
      <c r="AZ875" s="6" t="b">
        <f>SUMIF(AS:AS,AS875,AE:AE)/COUNTIF(AS:AS,AS875)=AE875</f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>C875&amp;" | "&amp;F875</f>
        <v>90MB1BJ0-C1BAY0 | 12007-00033100</v>
      </c>
      <c r="BE875" s="55" t="str">
        <f ca="1">C875&amp;" | "&amp;OFFSET($AF875,0,8-COUNTBLANK($AG875:$AN875))</f>
        <v>90MB1BJ0-C1BAY0 | 59MB1BJB-MB0A02S</v>
      </c>
      <c r="BF875" s="57">
        <f ca="1">IFERROR(VLOOKUP($BE875,$BD$5:$BF874,3,0)*$AE875,VLOOKUP($C875,Demanda!$A:$B,2,0)*$AE875)*IF(AT875="Phantom Alt",$BC875,TRUE)</f>
        <v>3000</v>
      </c>
      <c r="BG875" s="57">
        <f ca="1">BF875*(AP875/100)</f>
        <v>0</v>
      </c>
      <c r="BH875" s="57">
        <f>SUMIF(Invoice!A:A,F875,Invoice!B:B)</f>
        <v>0</v>
      </c>
      <c r="BI875" s="57">
        <f ca="1">SUMIF(AS:AS,AS875,BG:BG)</f>
        <v>3000</v>
      </c>
      <c r="BJ875" s="57">
        <f ca="1">MIN((BI875-SUMIF($AS$5:AS874,AS875,$BJ$5:BJ874)),MAX(0,BH875-SUMIF($F$5:F874,F875,$BJ$5:BJ874)))</f>
        <v>0</v>
      </c>
      <c r="BK875" s="57">
        <f ca="1">(-SUMIF(AS:AS,AS875,BG:BG)+SUMIF(AS:AS,AS875,BJ:BJ))*(AP875=100)*AR875</f>
        <v>0</v>
      </c>
      <c r="BL875" s="57">
        <f ca="1">MAX(0,SUMIF(Invoice!A:A,F875,Invoice!B:B)-SUMIF(F:F,F875,BJ:BJ))*(COUNTIF(F:F,F875)=COUNTIF($F$5:F875,F875))</f>
        <v>0</v>
      </c>
    </row>
    <row r="876" spans="1:64" hidden="1">
      <c r="A876" s="43">
        <v>876</v>
      </c>
      <c r="B876" s="13" t="s">
        <v>147</v>
      </c>
      <c r="C876" s="13" t="s">
        <v>146</v>
      </c>
      <c r="D876" s="13">
        <v>2</v>
      </c>
      <c r="E876" s="13">
        <v>2880</v>
      </c>
      <c r="F876" s="71" t="s">
        <v>2011</v>
      </c>
      <c r="G876" s="71" t="s">
        <v>2012</v>
      </c>
      <c r="H876" s="13" t="s">
        <v>2008</v>
      </c>
      <c r="I876" s="13" t="s">
        <v>55</v>
      </c>
      <c r="J876" s="28">
        <v>0</v>
      </c>
      <c r="K876" s="13" t="s">
        <v>150</v>
      </c>
      <c r="L876" s="13" t="s">
        <v>53</v>
      </c>
      <c r="M876" s="13">
        <v>3</v>
      </c>
      <c r="O876" s="13">
        <v>1</v>
      </c>
      <c r="P876" s="13">
        <v>2</v>
      </c>
      <c r="Q876" s="13">
        <v>3</v>
      </c>
      <c r="R876" s="13" t="s">
        <v>73</v>
      </c>
      <c r="S876" s="13" t="s">
        <v>73</v>
      </c>
      <c r="T876" s="13">
        <v>44901</v>
      </c>
      <c r="U876" s="13">
        <v>2958465</v>
      </c>
      <c r="V876" s="13" t="s">
        <v>282</v>
      </c>
      <c r="W876" s="13" t="s">
        <v>145</v>
      </c>
      <c r="Y876" s="13" t="s">
        <v>143</v>
      </c>
      <c r="Z876" s="13">
        <v>7589154</v>
      </c>
      <c r="AA876" s="13">
        <v>1640</v>
      </c>
      <c r="AB876" s="13">
        <v>820</v>
      </c>
      <c r="AE876" s="51">
        <f>M876/O876</f>
        <v>3</v>
      </c>
      <c r="AG876" s="6" t="str">
        <f>C876</f>
        <v>90MB1BJ0-C1BAY0</v>
      </c>
      <c r="AH876" s="6" t="str">
        <f>IF($D876&lt;=AH$4,"",IF(AND($D875=AH$4,$D876&gt;AH$4),$F875,AH875))</f>
        <v>59MB1BJB-MB0A02S</v>
      </c>
      <c r="AI876" s="6" t="str">
        <f>IF($D876&lt;=AI$4,"",IF(AND($D875=AI$4,$D876&gt;AI$4),$F875,AI875))</f>
        <v/>
      </c>
      <c r="AJ876" s="6" t="str">
        <f>IF($D876&lt;=AJ$4,"",IF(AND($D875=AJ$4,$D876&gt;AJ$4),$F875,AJ875))</f>
        <v/>
      </c>
      <c r="AK876" s="6" t="str">
        <f>IF($D876&lt;=AK$4,"",IF(AND($D875=AK$4,$D876&gt;AK$4),$F875,AK875))</f>
        <v/>
      </c>
      <c r="AL876" s="6" t="str">
        <f>IF($D876&lt;=AL$4,"",IF(AND($D875=AL$4,$D876&gt;AL$4),$F875,AL875))</f>
        <v/>
      </c>
      <c r="AM876" s="6" t="str">
        <f>IF($D876&lt;=AM$4,"",IF(AND($D875=AM$4,$D876&gt;AM$4),$F875,AM875))</f>
        <v/>
      </c>
      <c r="AN876" s="6" t="str">
        <f>IF($D876&lt;=AN$4,"",IF(AND($D875=AN$4,$D876&gt;AN$4),$F875,AN875))</f>
        <v/>
      </c>
      <c r="AO876" s="6" t="str">
        <f>CONCATENATE(AG876," | ",AH876," | ",AI876," | ",AJ876," | ",AK876," | ",AL876," | ",AM876," | ",AN876)</f>
        <v xml:space="preserve">90MB1BJ0-C1BAY0 | 59MB1BJB-MB0A02S |  |  |  |  |  | </v>
      </c>
      <c r="AP876" s="6">
        <f>IF(TRIM(H876)="",100,J876)</f>
        <v>0</v>
      </c>
      <c r="AQ876" s="4"/>
      <c r="AR876" s="6" t="b">
        <f>NOT(TRIM(W876)&lt;&gt;"F")</f>
        <v>1</v>
      </c>
      <c r="AS876" s="6" t="str">
        <f>$B876&amp;" | "&amp;$AO876&amp;" | "&amp;IF(TRIM(H876)="","uniq"&amp;ROW(),TRIM(H876))</f>
        <v>461E | 90MB1BJ0-C1BAY0 | 59MB1BJB-MB0A02S |  |  |  |  |  |  | S8</v>
      </c>
      <c r="AT876" s="63">
        <f>IF(NOT(AR876),IF(TRIM($H876)="","Assembly","Phantom Alt"),VLOOKUP(F876,ZPCS04!B:G,6,0))</f>
        <v>905</v>
      </c>
      <c r="AU876" s="7"/>
      <c r="AV876" s="38">
        <f ca="1">IF(TRIM($W876)="F",OFFSET($A$5,MATCH($AS876,$AS$5:$AS876,0)-1,0),$A876)</f>
        <v>875</v>
      </c>
      <c r="AW876" s="38">
        <f ca="1">IFERROR(OFFSET(ZPCS04!$A$1,MATCH(F876,ZPCS04!B:B,0)-1,0),100)</f>
        <v>2</v>
      </c>
      <c r="AX876" s="7"/>
      <c r="AY876" s="6" t="b">
        <f>SUMIF(AS:AS,AS876,AP:AP)=100</f>
        <v>1</v>
      </c>
      <c r="AZ876" s="6" t="b">
        <f>SUMIF(AS:AS,AS876,AE:AE)/COUNTIF(AS:AS,AS876)=AE876</f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>C876&amp;" | "&amp;F876</f>
        <v>90MB1BJ0-C1BAY0 | 12007-00033500</v>
      </c>
      <c r="BE876" s="55" t="str">
        <f ca="1">C876&amp;" | "&amp;OFFSET($AF876,0,8-COUNTBLANK($AG876:$AN876))</f>
        <v>90MB1BJ0-C1BAY0 | 59MB1BJB-MB0A02S</v>
      </c>
      <c r="BF876" s="57">
        <f ca="1">IFERROR(VLOOKUP($BE876,$BD$5:$BF875,3,0)*$AE876,VLOOKUP($C876,Demanda!$A:$B,2,0)*$AE876)*IF(AT876="Phantom Alt",$BC876,TRUE)</f>
        <v>3000</v>
      </c>
      <c r="BG876" s="57">
        <f ca="1">BF876*(AP876/100)</f>
        <v>0</v>
      </c>
      <c r="BH876" s="57">
        <f>SUMIF(Invoice!A:A,F876,Invoice!B:B)</f>
        <v>0</v>
      </c>
      <c r="BI876" s="57">
        <f ca="1">SUMIF(AS:AS,AS876,BG:BG)</f>
        <v>3000</v>
      </c>
      <c r="BJ876" s="57">
        <f ca="1">MIN((BI876-SUMIF($AS$5:AS875,AS876,$BJ$5:BJ875)),MAX(0,BH876-SUMIF($F$5:F875,F876,$BJ$5:BJ875)))</f>
        <v>0</v>
      </c>
      <c r="BK876" s="57">
        <f ca="1">(-SUMIF(AS:AS,AS876,BG:BG)+SUMIF(AS:AS,AS876,BJ:BJ))*(AP876=100)*AR876</f>
        <v>0</v>
      </c>
      <c r="BL876" s="57">
        <f ca="1">MAX(0,SUMIF(Invoice!A:A,F876,Invoice!B:B)-SUMIF(F:F,F876,BJ:BJ))*(COUNTIF(F:F,F876)=COUNTIF($F$5:F876,F876))</f>
        <v>0</v>
      </c>
    </row>
    <row r="877" spans="1:64" hidden="1">
      <c r="A877" s="43">
        <v>877</v>
      </c>
      <c r="B877" s="13" t="s">
        <v>147</v>
      </c>
      <c r="C877" s="13" t="s">
        <v>146</v>
      </c>
      <c r="D877" s="13">
        <v>2</v>
      </c>
      <c r="E877" s="13">
        <v>2890</v>
      </c>
      <c r="F877" s="71" t="s">
        <v>2013</v>
      </c>
      <c r="G877" s="71" t="s">
        <v>2014</v>
      </c>
      <c r="H877" s="13" t="s">
        <v>2015</v>
      </c>
      <c r="I877" s="13" t="s">
        <v>55</v>
      </c>
      <c r="J877" s="28">
        <v>0</v>
      </c>
      <c r="K877" s="13" t="s">
        <v>150</v>
      </c>
      <c r="L877" s="13" t="s">
        <v>53</v>
      </c>
      <c r="M877" s="13">
        <v>7</v>
      </c>
      <c r="O877" s="13">
        <v>1</v>
      </c>
      <c r="P877" s="13">
        <v>2</v>
      </c>
      <c r="Q877" s="13">
        <v>3</v>
      </c>
      <c r="R877" s="13" t="s">
        <v>73</v>
      </c>
      <c r="S877" s="13" t="s">
        <v>73</v>
      </c>
      <c r="T877" s="13">
        <v>44901</v>
      </c>
      <c r="U877" s="13">
        <v>2958465</v>
      </c>
      <c r="V877" s="13" t="s">
        <v>282</v>
      </c>
      <c r="W877" s="13" t="s">
        <v>145</v>
      </c>
      <c r="Y877" s="13" t="s">
        <v>143</v>
      </c>
      <c r="Z877" s="13">
        <v>7589154</v>
      </c>
      <c r="AA877" s="13">
        <v>1646</v>
      </c>
      <c r="AB877" s="13">
        <v>823</v>
      </c>
      <c r="AE877" s="51">
        <f>M877/O877</f>
        <v>7</v>
      </c>
      <c r="AG877" s="6" t="str">
        <f>C877</f>
        <v>90MB1BJ0-C1BAY0</v>
      </c>
      <c r="AH877" s="6" t="str">
        <f>IF($D877&lt;=AH$4,"",IF(AND($D876=AH$4,$D877&gt;AH$4),$F876,AH876))</f>
        <v>59MB1BJB-MB0A02S</v>
      </c>
      <c r="AI877" s="6" t="str">
        <f>IF($D877&lt;=AI$4,"",IF(AND($D876=AI$4,$D877&gt;AI$4),$F876,AI876))</f>
        <v/>
      </c>
      <c r="AJ877" s="6" t="str">
        <f>IF($D877&lt;=AJ$4,"",IF(AND($D876=AJ$4,$D877&gt;AJ$4),$F876,AJ876))</f>
        <v/>
      </c>
      <c r="AK877" s="6" t="str">
        <f>IF($D877&lt;=AK$4,"",IF(AND($D876=AK$4,$D877&gt;AK$4),$F876,AK876))</f>
        <v/>
      </c>
      <c r="AL877" s="6" t="str">
        <f>IF($D877&lt;=AL$4,"",IF(AND($D876=AL$4,$D877&gt;AL$4),$F876,AL876))</f>
        <v/>
      </c>
      <c r="AM877" s="6" t="str">
        <f>IF($D877&lt;=AM$4,"",IF(AND($D876=AM$4,$D877&gt;AM$4),$F876,AM876))</f>
        <v/>
      </c>
      <c r="AN877" s="6" t="str">
        <f>IF($D877&lt;=AN$4,"",IF(AND($D876=AN$4,$D877&gt;AN$4),$F876,AN876))</f>
        <v/>
      </c>
      <c r="AO877" s="6" t="str">
        <f>CONCATENATE(AG877," | ",AH877," | ",AI877," | ",AJ877," | ",AK877," | ",AL877," | ",AM877," | ",AN877)</f>
        <v xml:space="preserve">90MB1BJ0-C1BAY0 | 59MB1BJB-MB0A02S |  |  |  |  |  | </v>
      </c>
      <c r="AP877" s="6">
        <f>IF(TRIM(H877)="",100,J877)</f>
        <v>0</v>
      </c>
      <c r="AQ877" s="4"/>
      <c r="AR877" s="6" t="b">
        <f>NOT(TRIM(W877)&lt;&gt;"F")</f>
        <v>1</v>
      </c>
      <c r="AS877" s="6" t="str">
        <f>$B877&amp;" | "&amp;$AO877&amp;" | "&amp;IF(TRIM(H877)="","uniq"&amp;ROW(),TRIM(H877))</f>
        <v>461E | 90MB1BJ0-C1BAY0 | 59MB1BJB-MB0A02S |  |  |  |  |  |  | S9</v>
      </c>
      <c r="AT877" s="63">
        <f>IF(NOT(AR877),IF(TRIM($H877)="","Assembly","Phantom Alt"),VLOOKUP(F877,ZPCS04!B:G,6,0))</f>
        <v>907</v>
      </c>
      <c r="AU877" s="7"/>
      <c r="AV877" s="38">
        <f ca="1">IF(TRIM($W877)="F",OFFSET($A$5,MATCH($AS877,$AS$5:$AS877,0)-1,0),$A877)</f>
        <v>877</v>
      </c>
      <c r="AW877" s="38">
        <f ca="1">IFERROR(OFFSET(ZPCS04!$A$1,MATCH(F877,ZPCS04!B:B,0)-1,0),100)</f>
        <v>1.99999993</v>
      </c>
      <c r="AX877" s="7"/>
      <c r="AY877" s="6" t="b">
        <f>SUMIF(AS:AS,AS877,AP:AP)=100</f>
        <v>1</v>
      </c>
      <c r="AZ877" s="6" t="b">
        <f>SUMIF(AS:AS,AS877,AE:AE)/COUNTIF(AS:AS,AS877)=AE877</f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>C877&amp;" | "&amp;F877</f>
        <v>90MB1BJ0-C1BAY0 | 12008-00013800</v>
      </c>
      <c r="BE877" s="55" t="str">
        <f ca="1">C877&amp;" | "&amp;OFFSET($AF877,0,8-COUNTBLANK($AG877:$AN877))</f>
        <v>90MB1BJ0-C1BAY0 | 59MB1BJB-MB0A02S</v>
      </c>
      <c r="BF877" s="57">
        <f ca="1">IFERROR(VLOOKUP($BE877,$BD$5:$BF876,3,0)*$AE877,VLOOKUP($C877,Demanda!$A:$B,2,0)*$AE877)*IF(AT877="Phantom Alt",$BC877,TRUE)</f>
        <v>7000</v>
      </c>
      <c r="BG877" s="57">
        <f ca="1">BF877*(AP877/100)</f>
        <v>0</v>
      </c>
      <c r="BH877" s="57">
        <f>SUMIF(Invoice!A:A,F877,Invoice!B:B)</f>
        <v>7000</v>
      </c>
      <c r="BI877" s="57">
        <f ca="1">SUMIF(AS:AS,AS877,BG:BG)</f>
        <v>7000</v>
      </c>
      <c r="BJ877" s="57">
        <f ca="1">MIN((BI877-SUMIF($AS$5:AS876,AS877,$BJ$5:BJ876)),MAX(0,BH877-SUMIF($F$5:F876,F877,$BJ$5:BJ876)))</f>
        <v>7000</v>
      </c>
      <c r="BK877" s="57">
        <f ca="1">(-SUMIF(AS:AS,AS877,BG:BG)+SUMIF(AS:AS,AS877,BJ:BJ))*(AP877=100)*AR877</f>
        <v>0</v>
      </c>
      <c r="BL877" s="57">
        <f ca="1">MAX(0,SUMIF(Invoice!A:A,F877,Invoice!B:B)-SUMIF(F:F,F877,BJ:BJ))*(COUNTIF(F:F,F877)=COUNTIF($F$5:F877,F877))</f>
        <v>0</v>
      </c>
    </row>
    <row r="878" spans="1:64" hidden="1">
      <c r="A878" s="43">
        <v>878</v>
      </c>
      <c r="B878" s="13" t="s">
        <v>147</v>
      </c>
      <c r="C878" s="13" t="s">
        <v>146</v>
      </c>
      <c r="D878" s="13">
        <v>2</v>
      </c>
      <c r="E878" s="13">
        <v>2890</v>
      </c>
      <c r="F878" s="71" t="s">
        <v>2016</v>
      </c>
      <c r="G878" s="71" t="s">
        <v>2017</v>
      </c>
      <c r="H878" s="13" t="s">
        <v>2015</v>
      </c>
      <c r="I878" s="13" t="s">
        <v>54</v>
      </c>
      <c r="J878" s="28">
        <v>100</v>
      </c>
      <c r="K878" s="13" t="s">
        <v>150</v>
      </c>
      <c r="L878" s="13" t="s">
        <v>53</v>
      </c>
      <c r="M878" s="13">
        <v>7</v>
      </c>
      <c r="N878" s="13">
        <v>7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44901</v>
      </c>
      <c r="U878" s="13">
        <v>2958465</v>
      </c>
      <c r="V878" s="13" t="s">
        <v>282</v>
      </c>
      <c r="W878" s="13" t="s">
        <v>145</v>
      </c>
      <c r="Y878" s="13" t="s">
        <v>143</v>
      </c>
      <c r="Z878" s="13">
        <v>7589154</v>
      </c>
      <c r="AA878" s="13">
        <v>1642</v>
      </c>
      <c r="AB878" s="13">
        <v>821</v>
      </c>
      <c r="AE878" s="51">
        <f>M878/O878</f>
        <v>7</v>
      </c>
      <c r="AG878" s="6" t="str">
        <f>C878</f>
        <v>90MB1BJ0-C1BAY0</v>
      </c>
      <c r="AH878" s="6" t="str">
        <f>IF($D878&lt;=AH$4,"",IF(AND($D877=AH$4,$D878&gt;AH$4),$F877,AH877))</f>
        <v>59MB1BJB-MB0A02S</v>
      </c>
      <c r="AI878" s="6" t="str">
        <f>IF($D878&lt;=AI$4,"",IF(AND($D877=AI$4,$D878&gt;AI$4),$F877,AI877))</f>
        <v/>
      </c>
      <c r="AJ878" s="6" t="str">
        <f>IF($D878&lt;=AJ$4,"",IF(AND($D877=AJ$4,$D878&gt;AJ$4),$F877,AJ877))</f>
        <v/>
      </c>
      <c r="AK878" s="6" t="str">
        <f>IF($D878&lt;=AK$4,"",IF(AND($D877=AK$4,$D878&gt;AK$4),$F877,AK877))</f>
        <v/>
      </c>
      <c r="AL878" s="6" t="str">
        <f>IF($D878&lt;=AL$4,"",IF(AND($D877=AL$4,$D878&gt;AL$4),$F877,AL877))</f>
        <v/>
      </c>
      <c r="AM878" s="6" t="str">
        <f>IF($D878&lt;=AM$4,"",IF(AND($D877=AM$4,$D878&gt;AM$4),$F877,AM877))</f>
        <v/>
      </c>
      <c r="AN878" s="6" t="str">
        <f>IF($D878&lt;=AN$4,"",IF(AND($D877=AN$4,$D878&gt;AN$4),$F877,AN877))</f>
        <v/>
      </c>
      <c r="AO878" s="6" t="str">
        <f>CONCATENATE(AG878," | ",AH878," | ",AI878," | ",AJ878," | ",AK878," | ",AL878," | ",AM878," | ",AN878)</f>
        <v xml:space="preserve">90MB1BJ0-C1BAY0 | 59MB1BJB-MB0A02S |  |  |  |  |  | </v>
      </c>
      <c r="AP878" s="6">
        <f>IF(TRIM(H878)="",100,J878)</f>
        <v>100</v>
      </c>
      <c r="AQ878" s="4"/>
      <c r="AR878" s="6" t="b">
        <f>NOT(TRIM(W878)&lt;&gt;"F")</f>
        <v>1</v>
      </c>
      <c r="AS878" s="6" t="str">
        <f>$B878&amp;" | "&amp;$AO878&amp;" | "&amp;IF(TRIM(H878)="","uniq"&amp;ROW(),TRIM(H878))</f>
        <v>461E | 90MB1BJ0-C1BAY0 | 59MB1BJB-MB0A02S |  |  |  |  |  |  | S9</v>
      </c>
      <c r="AT878" s="63">
        <f>IF(NOT(AR878),IF(TRIM($H878)="","Assembly","Phantom Alt"),VLOOKUP(F878,ZPCS04!B:G,6,0))</f>
        <v>907</v>
      </c>
      <c r="AU878" s="7"/>
      <c r="AV878" s="38">
        <f ca="1">IF(TRIM($W878)="F",OFFSET($A$5,MATCH($AS878,$AS$5:$AS878,0)-1,0),$A878)</f>
        <v>877</v>
      </c>
      <c r="AW878" s="38">
        <f ca="1">IFERROR(OFFSET(ZPCS04!$A$1,MATCH(F878,ZPCS04!B:B,0)-1,0),100)</f>
        <v>2</v>
      </c>
      <c r="AX878" s="7"/>
      <c r="AY878" s="6" t="b">
        <f>SUMIF(AS:AS,AS878,AP:AP)=100</f>
        <v>1</v>
      </c>
      <c r="AZ878" s="6" t="b">
        <f>SUMIF(AS:AS,AS878,AE:AE)/COUNTIF(AS:AS,AS878)=AE878</f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>C878&amp;" | "&amp;F878</f>
        <v>90MB1BJ0-C1BAY0 | 12008-00014000</v>
      </c>
      <c r="BE878" s="55" t="str">
        <f ca="1">C878&amp;" | "&amp;OFFSET($AF878,0,8-COUNTBLANK($AG878:$AN878))</f>
        <v>90MB1BJ0-C1BAY0 | 59MB1BJB-MB0A02S</v>
      </c>
      <c r="BF878" s="57">
        <f ca="1">IFERROR(VLOOKUP($BE878,$BD$5:$BF877,3,0)*$AE878,VLOOKUP($C878,Demanda!$A:$B,2,0)*$AE878)*IF(AT878="Phantom Alt",$BC878,TRUE)</f>
        <v>7000</v>
      </c>
      <c r="BG878" s="57">
        <f ca="1">BF878*(AP878/100)</f>
        <v>7000</v>
      </c>
      <c r="BH878" s="57">
        <f>SUMIF(Invoice!A:A,F878,Invoice!B:B)</f>
        <v>0</v>
      </c>
      <c r="BI878" s="57">
        <f ca="1">SUMIF(AS:AS,AS878,BG:BG)</f>
        <v>7000</v>
      </c>
      <c r="BJ878" s="57">
        <f ca="1">MIN((BI878-SUMIF($AS$5:AS877,AS878,$BJ$5:BJ877)),MAX(0,BH878-SUMIF($F$5:F877,F878,$BJ$5:BJ877)))</f>
        <v>0</v>
      </c>
      <c r="BK878" s="57">
        <f ca="1">(-SUMIF(AS:AS,AS878,BG:BG)+SUMIF(AS:AS,AS878,BJ:BJ))*(AP878=100)*AR878</f>
        <v>0</v>
      </c>
      <c r="BL878" s="57">
        <f ca="1">MAX(0,SUMIF(Invoice!A:A,F878,Invoice!B:B)-SUMIF(F:F,F878,BJ:BJ))*(COUNTIF(F:F,F878)=COUNTIF($F$5:F878,F878))</f>
        <v>0</v>
      </c>
    </row>
    <row r="879" spans="1:64" hidden="1">
      <c r="A879" s="43">
        <v>879</v>
      </c>
      <c r="B879" s="13" t="s">
        <v>147</v>
      </c>
      <c r="C879" s="13" t="s">
        <v>146</v>
      </c>
      <c r="D879" s="13">
        <v>2</v>
      </c>
      <c r="E879" s="13">
        <v>2890</v>
      </c>
      <c r="F879" s="71" t="s">
        <v>2018</v>
      </c>
      <c r="G879" s="71" t="s">
        <v>2019</v>
      </c>
      <c r="H879" s="13" t="s">
        <v>2015</v>
      </c>
      <c r="I879" s="13" t="s">
        <v>55</v>
      </c>
      <c r="J879" s="28">
        <v>0</v>
      </c>
      <c r="K879" s="13" t="s">
        <v>150</v>
      </c>
      <c r="L879" s="13" t="s">
        <v>53</v>
      </c>
      <c r="M879" s="13">
        <v>7</v>
      </c>
      <c r="O879" s="13">
        <v>1</v>
      </c>
      <c r="P879" s="13">
        <v>2</v>
      </c>
      <c r="Q879" s="13">
        <v>2</v>
      </c>
      <c r="R879" s="13" t="s">
        <v>73</v>
      </c>
      <c r="S879" s="13" t="s">
        <v>73</v>
      </c>
      <c r="T879" s="13">
        <v>44901</v>
      </c>
      <c r="U879" s="13">
        <v>2958465</v>
      </c>
      <c r="V879" s="13" t="s">
        <v>282</v>
      </c>
      <c r="W879" s="13" t="s">
        <v>145</v>
      </c>
      <c r="Y879" s="13" t="s">
        <v>143</v>
      </c>
      <c r="Z879" s="13">
        <v>7589154</v>
      </c>
      <c r="AA879" s="13">
        <v>1644</v>
      </c>
      <c r="AB879" s="13">
        <v>822</v>
      </c>
      <c r="AE879" s="51">
        <f>M879/O879</f>
        <v>7</v>
      </c>
      <c r="AG879" s="6" t="str">
        <f>C879</f>
        <v>90MB1BJ0-C1BAY0</v>
      </c>
      <c r="AH879" s="6" t="str">
        <f>IF($D879&lt;=AH$4,"",IF(AND($D878=AH$4,$D879&gt;AH$4),$F878,AH878))</f>
        <v>59MB1BJB-MB0A02S</v>
      </c>
      <c r="AI879" s="6" t="str">
        <f>IF($D879&lt;=AI$4,"",IF(AND($D878=AI$4,$D879&gt;AI$4),$F878,AI878))</f>
        <v/>
      </c>
      <c r="AJ879" s="6" t="str">
        <f>IF($D879&lt;=AJ$4,"",IF(AND($D878=AJ$4,$D879&gt;AJ$4),$F878,AJ878))</f>
        <v/>
      </c>
      <c r="AK879" s="6" t="str">
        <f>IF($D879&lt;=AK$4,"",IF(AND($D878=AK$4,$D879&gt;AK$4),$F878,AK878))</f>
        <v/>
      </c>
      <c r="AL879" s="6" t="str">
        <f>IF($D879&lt;=AL$4,"",IF(AND($D878=AL$4,$D879&gt;AL$4),$F878,AL878))</f>
        <v/>
      </c>
      <c r="AM879" s="6" t="str">
        <f>IF($D879&lt;=AM$4,"",IF(AND($D878=AM$4,$D879&gt;AM$4),$F878,AM878))</f>
        <v/>
      </c>
      <c r="AN879" s="6" t="str">
        <f>IF($D879&lt;=AN$4,"",IF(AND($D878=AN$4,$D879&gt;AN$4),$F878,AN878))</f>
        <v/>
      </c>
      <c r="AO879" s="6" t="str">
        <f>CONCATENATE(AG879," | ",AH879," | ",AI879," | ",AJ879," | ",AK879," | ",AL879," | ",AM879," | ",AN879)</f>
        <v xml:space="preserve">90MB1BJ0-C1BAY0 | 59MB1BJB-MB0A02S |  |  |  |  |  | </v>
      </c>
      <c r="AP879" s="6">
        <f>IF(TRIM(H879)="",100,J879)</f>
        <v>0</v>
      </c>
      <c r="AQ879" s="4"/>
      <c r="AR879" s="6" t="b">
        <f>NOT(TRIM(W879)&lt;&gt;"F")</f>
        <v>1</v>
      </c>
      <c r="AS879" s="6" t="str">
        <f>$B879&amp;" | "&amp;$AO879&amp;" | "&amp;IF(TRIM(H879)="","uniq"&amp;ROW(),TRIM(H879))</f>
        <v>461E | 90MB1BJ0-C1BAY0 | 59MB1BJB-MB0A02S |  |  |  |  |  |  | S9</v>
      </c>
      <c r="AT879" s="63">
        <f>IF(NOT(AR879),IF(TRIM($H879)="","Assembly","Phantom Alt"),VLOOKUP(F879,ZPCS04!B:G,6,0))</f>
        <v>907</v>
      </c>
      <c r="AU879" s="7"/>
      <c r="AV879" s="38">
        <f ca="1">IF(TRIM($W879)="F",OFFSET($A$5,MATCH($AS879,$AS$5:$AS879,0)-1,0),$A879)</f>
        <v>877</v>
      </c>
      <c r="AW879" s="38">
        <f ca="1">IFERROR(OFFSET(ZPCS04!$A$1,MATCH(F879,ZPCS04!B:B,0)-1,0),100)</f>
        <v>2</v>
      </c>
      <c r="AX879" s="7"/>
      <c r="AY879" s="6" t="b">
        <f>SUMIF(AS:AS,AS879,AP:AP)=100</f>
        <v>1</v>
      </c>
      <c r="AZ879" s="6" t="b">
        <f>SUMIF(AS:AS,AS879,AE:AE)/COUNTIF(AS:AS,AS879)=AE879</f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>C879&amp;" | "&amp;F879</f>
        <v>90MB1BJ0-C1BAY0 | 12008-00014100</v>
      </c>
      <c r="BE879" s="55" t="str">
        <f ca="1">C879&amp;" | "&amp;OFFSET($AF879,0,8-COUNTBLANK($AG879:$AN879))</f>
        <v>90MB1BJ0-C1BAY0 | 59MB1BJB-MB0A02S</v>
      </c>
      <c r="BF879" s="57">
        <f ca="1">IFERROR(VLOOKUP($BE879,$BD$5:$BF878,3,0)*$AE879,VLOOKUP($C879,Demanda!$A:$B,2,0)*$AE879)*IF(AT879="Phantom Alt",$BC879,TRUE)</f>
        <v>7000</v>
      </c>
      <c r="BG879" s="57">
        <f ca="1">BF879*(AP879/100)</f>
        <v>0</v>
      </c>
      <c r="BH879" s="57">
        <f>SUMIF(Invoice!A:A,F879,Invoice!B:B)</f>
        <v>0</v>
      </c>
      <c r="BI879" s="57">
        <f ca="1">SUMIF(AS:AS,AS879,BG:BG)</f>
        <v>7000</v>
      </c>
      <c r="BJ879" s="57">
        <f ca="1">MIN((BI879-SUMIF($AS$5:AS878,AS879,$BJ$5:BJ878)),MAX(0,BH879-SUMIF($F$5:F878,F879,$BJ$5:BJ878)))</f>
        <v>0</v>
      </c>
      <c r="BK879" s="57">
        <f ca="1">(-SUMIF(AS:AS,AS879,BG:BG)+SUMIF(AS:AS,AS879,BJ:BJ))*(AP879=100)*AR879</f>
        <v>0</v>
      </c>
      <c r="BL879" s="57">
        <f ca="1">MAX(0,SUMIF(Invoice!A:A,F879,Invoice!B:B)-SUMIF(F:F,F879,BJ:BJ))*(COUNTIF(F:F,F879)=COUNTIF($F$5:F879,F879))</f>
        <v>0</v>
      </c>
    </row>
    <row r="880" spans="1:64" hidden="1">
      <c r="A880" s="43">
        <v>880</v>
      </c>
      <c r="B880" s="13" t="s">
        <v>147</v>
      </c>
      <c r="C880" s="13" t="s">
        <v>146</v>
      </c>
      <c r="D880" s="13">
        <v>2</v>
      </c>
      <c r="E880" s="13">
        <v>2900</v>
      </c>
      <c r="F880" s="71" t="s">
        <v>2020</v>
      </c>
      <c r="G880" s="71" t="s">
        <v>2021</v>
      </c>
      <c r="H880" s="13" t="s">
        <v>2022</v>
      </c>
      <c r="I880" s="13" t="s">
        <v>54</v>
      </c>
      <c r="J880" s="28">
        <v>100</v>
      </c>
      <c r="K880" s="13" t="s">
        <v>150</v>
      </c>
      <c r="L880" s="13" t="s">
        <v>53</v>
      </c>
      <c r="M880" s="13">
        <v>1</v>
      </c>
      <c r="N880" s="13">
        <v>1</v>
      </c>
      <c r="O880" s="13">
        <v>1</v>
      </c>
      <c r="P880" s="13">
        <v>2</v>
      </c>
      <c r="Q880" s="13">
        <v>1</v>
      </c>
      <c r="R880" s="13" t="s">
        <v>73</v>
      </c>
      <c r="S880" s="13" t="s">
        <v>73</v>
      </c>
      <c r="T880" s="13">
        <v>44901</v>
      </c>
      <c r="U880" s="13">
        <v>2958465</v>
      </c>
      <c r="V880" s="13" t="s">
        <v>282</v>
      </c>
      <c r="W880" s="13" t="s">
        <v>145</v>
      </c>
      <c r="Y880" s="13" t="s">
        <v>143</v>
      </c>
      <c r="Z880" s="13">
        <v>7589154</v>
      </c>
      <c r="AA880" s="13">
        <v>1648</v>
      </c>
      <c r="AB880" s="13">
        <v>824</v>
      </c>
      <c r="AE880" s="51">
        <f>M880/O880</f>
        <v>1</v>
      </c>
      <c r="AG880" s="6" t="str">
        <f>C880</f>
        <v>90MB1BJ0-C1BAY0</v>
      </c>
      <c r="AH880" s="6" t="str">
        <f>IF($D880&lt;=AH$4,"",IF(AND($D879=AH$4,$D880&gt;AH$4),$F879,AH879))</f>
        <v>59MB1BJB-MB0A02S</v>
      </c>
      <c r="AI880" s="6" t="str">
        <f>IF($D880&lt;=AI$4,"",IF(AND($D879=AI$4,$D880&gt;AI$4),$F879,AI879))</f>
        <v/>
      </c>
      <c r="AJ880" s="6" t="str">
        <f>IF($D880&lt;=AJ$4,"",IF(AND($D879=AJ$4,$D880&gt;AJ$4),$F879,AJ879))</f>
        <v/>
      </c>
      <c r="AK880" s="6" t="str">
        <f>IF($D880&lt;=AK$4,"",IF(AND($D879=AK$4,$D880&gt;AK$4),$F879,AK879))</f>
        <v/>
      </c>
      <c r="AL880" s="6" t="str">
        <f>IF($D880&lt;=AL$4,"",IF(AND($D879=AL$4,$D880&gt;AL$4),$F879,AL879))</f>
        <v/>
      </c>
      <c r="AM880" s="6" t="str">
        <f>IF($D880&lt;=AM$4,"",IF(AND($D879=AM$4,$D880&gt;AM$4),$F879,AM879))</f>
        <v/>
      </c>
      <c r="AN880" s="6" t="str">
        <f>IF($D880&lt;=AN$4,"",IF(AND($D879=AN$4,$D880&gt;AN$4),$F879,AN879))</f>
        <v/>
      </c>
      <c r="AO880" s="6" t="str">
        <f>CONCATENATE(AG880," | ",AH880," | ",AI880," | ",AJ880," | ",AK880," | ",AL880," | ",AM880," | ",AN880)</f>
        <v xml:space="preserve">90MB1BJ0-C1BAY0 | 59MB1BJB-MB0A02S |  |  |  |  |  | </v>
      </c>
      <c r="AP880" s="6">
        <f>IF(TRIM(H880)="",100,J880)</f>
        <v>100</v>
      </c>
      <c r="AQ880" s="4"/>
      <c r="AR880" s="6" t="b">
        <f>NOT(TRIM(W880)&lt;&gt;"F")</f>
        <v>1</v>
      </c>
      <c r="AS880" s="6" t="str">
        <f>$B880&amp;" | "&amp;$AO880&amp;" | "&amp;IF(TRIM(H880)="","uniq"&amp;ROW(),TRIM(H880))</f>
        <v>461E | 90MB1BJ0-C1BAY0 | 59MB1BJB-MB0A02S |  |  |  |  |  |  | U0</v>
      </c>
      <c r="AT880" s="63">
        <f>IF(NOT(AR880),IF(TRIM($H880)="","Assembly","Phantom Alt"),VLOOKUP(F880,ZPCS04!B:G,6,0))</f>
        <v>914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1.9999999900000001</v>
      </c>
      <c r="AX880" s="7"/>
      <c r="AY880" s="6" t="b">
        <f>SUMIF(AS:AS,AS880,AP:AP)=100</f>
        <v>1</v>
      </c>
      <c r="AZ880" s="6" t="b">
        <f>SUMIF(AS:AS,AS880,AE:AE)/COUNTIF(AS:AS,AS880)=AE880</f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>C880&amp;" | "&amp;F880</f>
        <v>90MB1BJ0-C1BAY0 | 12008-00015500</v>
      </c>
      <c r="BE880" s="55" t="str">
        <f ca="1">C880&amp;" | "&amp;OFFSET($AF880,0,8-COUNTBLANK($AG880:$AN880))</f>
        <v>90MB1BJ0-C1BAY0 | 59MB1BJB-MB0A02S</v>
      </c>
      <c r="BF880" s="57">
        <f ca="1">IFERROR(VLOOKUP($BE880,$BD$5:$BF879,3,0)*$AE880,VLOOKUP($C880,Demanda!$A:$B,2,0)*$AE880)*IF(AT880="Phantom Alt",$BC880,TRUE)</f>
        <v>1000</v>
      </c>
      <c r="BG880" s="57">
        <f ca="1">BF880*(AP880/100)</f>
        <v>1000</v>
      </c>
      <c r="BH880" s="57">
        <f>SUMIF(Invoice!A:A,F880,Invoice!B:B)</f>
        <v>1000</v>
      </c>
      <c r="BI880" s="57">
        <f ca="1">SUMIF(AS:AS,AS880,BG:BG)</f>
        <v>1000</v>
      </c>
      <c r="BJ880" s="57">
        <f ca="1">MIN((BI880-SUMIF($AS$5:AS879,AS880,$BJ$5:BJ879)),MAX(0,BH880-SUMIF($F$5:F879,F880,$BJ$5:BJ879)))</f>
        <v>1000</v>
      </c>
      <c r="BK880" s="57">
        <f ca="1">(-SUMIF(AS:AS,AS880,BG:BG)+SUMIF(AS:AS,AS880,BJ:BJ))*(AP880=100)*AR880</f>
        <v>0</v>
      </c>
      <c r="BL880" s="57">
        <f ca="1">MAX(0,SUMIF(Invoice!A:A,F880,Invoice!B:B)-SUMIF(F:F,F880,BJ:BJ))*(COUNTIF(F:F,F880)=COUNTIF($F$5:F880,F880))</f>
        <v>0</v>
      </c>
    </row>
    <row r="881" spans="1:64" hidden="1">
      <c r="A881" s="43">
        <v>881</v>
      </c>
      <c r="B881" s="13" t="s">
        <v>147</v>
      </c>
      <c r="C881" s="13" t="s">
        <v>146</v>
      </c>
      <c r="D881" s="13">
        <v>2</v>
      </c>
      <c r="E881" s="13">
        <v>2900</v>
      </c>
      <c r="F881" s="71" t="s">
        <v>2023</v>
      </c>
      <c r="G881" s="71" t="s">
        <v>2021</v>
      </c>
      <c r="H881" s="13" t="s">
        <v>2022</v>
      </c>
      <c r="I881" s="13" t="s">
        <v>55</v>
      </c>
      <c r="J881" s="28">
        <v>0</v>
      </c>
      <c r="K881" s="13" t="s">
        <v>150</v>
      </c>
      <c r="L881" s="13" t="s">
        <v>53</v>
      </c>
      <c r="M881" s="13">
        <v>1</v>
      </c>
      <c r="O881" s="13">
        <v>1</v>
      </c>
      <c r="P881" s="13">
        <v>2</v>
      </c>
      <c r="Q881" s="13">
        <v>2</v>
      </c>
      <c r="R881" s="13" t="s">
        <v>73</v>
      </c>
      <c r="S881" s="13" t="s">
        <v>73</v>
      </c>
      <c r="T881" s="13">
        <v>44901</v>
      </c>
      <c r="U881" s="13">
        <v>2958465</v>
      </c>
      <c r="V881" s="13" t="s">
        <v>282</v>
      </c>
      <c r="W881" s="13" t="s">
        <v>145</v>
      </c>
      <c r="Y881" s="13" t="s">
        <v>143</v>
      </c>
      <c r="Z881" s="13">
        <v>7589154</v>
      </c>
      <c r="AA881" s="13">
        <v>1650</v>
      </c>
      <c r="AB881" s="13">
        <v>825</v>
      </c>
      <c r="AE881" s="51">
        <f>M881/O881</f>
        <v>1</v>
      </c>
      <c r="AG881" s="6" t="str">
        <f>C881</f>
        <v>90MB1BJ0-C1BAY0</v>
      </c>
      <c r="AH881" s="6" t="str">
        <f>IF($D881&lt;=AH$4,"",IF(AND($D880=AH$4,$D881&gt;AH$4),$F880,AH880))</f>
        <v>59MB1BJB-MB0A02S</v>
      </c>
      <c r="AI881" s="6" t="str">
        <f>IF($D881&lt;=AI$4,"",IF(AND($D880=AI$4,$D881&gt;AI$4),$F880,AI880))</f>
        <v/>
      </c>
      <c r="AJ881" s="6" t="str">
        <f>IF($D881&lt;=AJ$4,"",IF(AND($D880=AJ$4,$D881&gt;AJ$4),$F880,AJ880))</f>
        <v/>
      </c>
      <c r="AK881" s="6" t="str">
        <f>IF($D881&lt;=AK$4,"",IF(AND($D880=AK$4,$D881&gt;AK$4),$F880,AK880))</f>
        <v/>
      </c>
      <c r="AL881" s="6" t="str">
        <f>IF($D881&lt;=AL$4,"",IF(AND($D880=AL$4,$D881&gt;AL$4),$F880,AL880))</f>
        <v/>
      </c>
      <c r="AM881" s="6" t="str">
        <f>IF($D881&lt;=AM$4,"",IF(AND($D880=AM$4,$D881&gt;AM$4),$F880,AM880))</f>
        <v/>
      </c>
      <c r="AN881" s="6" t="str">
        <f>IF($D881&lt;=AN$4,"",IF(AND($D880=AN$4,$D881&gt;AN$4),$F880,AN880))</f>
        <v/>
      </c>
      <c r="AO881" s="6" t="str">
        <f>CONCATENATE(AG881," | ",AH881," | ",AI881," | ",AJ881," | ",AK881," | ",AL881," | ",AM881," | ",AN881)</f>
        <v xml:space="preserve">90MB1BJ0-C1BAY0 | 59MB1BJB-MB0A02S |  |  |  |  |  | </v>
      </c>
      <c r="AP881" s="6">
        <f>IF(TRIM(H881)="",100,J881)</f>
        <v>0</v>
      </c>
      <c r="AQ881" s="4"/>
      <c r="AR881" s="6" t="b">
        <f>NOT(TRIM(W881)&lt;&gt;"F")</f>
        <v>1</v>
      </c>
      <c r="AS881" s="6" t="str">
        <f>$B881&amp;" | "&amp;$AO881&amp;" | "&amp;IF(TRIM(H881)="","uniq"&amp;ROW(),TRIM(H881))</f>
        <v>461E | 90MB1BJ0-C1BAY0 | 59MB1BJB-MB0A02S |  |  |  |  |  |  | U0</v>
      </c>
      <c r="AT881" s="63">
        <f>IF(NOT(AR881),IF(TRIM($H881)="","Assembly","Phantom Alt"),VLOOKUP(F881,ZPCS04!B:G,6,0))</f>
        <v>914</v>
      </c>
      <c r="AU881" s="7"/>
      <c r="AV881" s="38">
        <f ca="1">IF(TRIM($W881)="F",OFFSET($A$5,MATCH($AS881,$AS$5:$AS881,0)-1,0),$A881)</f>
        <v>880</v>
      </c>
      <c r="AW881" s="38">
        <f ca="1">IFERROR(OFFSET(ZPCS04!$A$1,MATCH(F881,ZPCS04!B:B,0)-1,0),100)</f>
        <v>2</v>
      </c>
      <c r="AX881" s="7"/>
      <c r="AY881" s="6" t="b">
        <f>SUMIF(AS:AS,AS881,AP:AP)=100</f>
        <v>1</v>
      </c>
      <c r="AZ881" s="6" t="b">
        <f>SUMIF(AS:AS,AS881,AE:AE)/COUNTIF(AS:AS,AS881)=AE881</f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>C881&amp;" | "&amp;F881</f>
        <v>90MB1BJ0-C1BAY0 | 12008-00015700</v>
      </c>
      <c r="BE881" s="55" t="str">
        <f ca="1">C881&amp;" | "&amp;OFFSET($AF881,0,8-COUNTBLANK($AG881:$AN881))</f>
        <v>90MB1BJ0-C1BAY0 | 59MB1BJB-MB0A02S</v>
      </c>
      <c r="BF881" s="57">
        <f ca="1">IFERROR(VLOOKUP($BE881,$BD$5:$BF880,3,0)*$AE881,VLOOKUP($C881,Demanda!$A:$B,2,0)*$AE881)*IF(AT881="Phantom Alt",$BC881,TRUE)</f>
        <v>1000</v>
      </c>
      <c r="BG881" s="57">
        <f ca="1">BF881*(AP881/100)</f>
        <v>0</v>
      </c>
      <c r="BH881" s="57">
        <f>SUMIF(Invoice!A:A,F881,Invoice!B:B)</f>
        <v>0</v>
      </c>
      <c r="BI881" s="57">
        <f ca="1">SUMIF(AS:AS,AS881,BG:BG)</f>
        <v>1000</v>
      </c>
      <c r="BJ881" s="57">
        <f ca="1">MIN((BI881-SUMIF($AS$5:AS880,AS881,$BJ$5:BJ880)),MAX(0,BH881-SUMIF($F$5:F880,F881,$BJ$5:BJ880)))</f>
        <v>0</v>
      </c>
      <c r="BK881" s="57">
        <f ca="1">(-SUMIF(AS:AS,AS881,BG:BG)+SUMIF(AS:AS,AS881,BJ:BJ))*(AP881=100)*AR881</f>
        <v>0</v>
      </c>
      <c r="BL881" s="57">
        <f ca="1">MAX(0,SUMIF(Invoice!A:A,F881,Invoice!B:B)-SUMIF(F:F,F881,BJ:BJ))*(COUNTIF(F:F,F881)=COUNTIF($F$5:F881,F881))</f>
        <v>0</v>
      </c>
    </row>
    <row r="882" spans="1:64" hidden="1">
      <c r="A882" s="43">
        <v>882</v>
      </c>
      <c r="B882" s="13" t="s">
        <v>147</v>
      </c>
      <c r="C882" s="13" t="s">
        <v>146</v>
      </c>
      <c r="D882" s="13">
        <v>2</v>
      </c>
      <c r="E882" s="13">
        <v>2900</v>
      </c>
      <c r="F882" s="71" t="s">
        <v>2024</v>
      </c>
      <c r="G882" s="71" t="s">
        <v>2021</v>
      </c>
      <c r="H882" s="13" t="s">
        <v>2022</v>
      </c>
      <c r="I882" s="13" t="s">
        <v>55</v>
      </c>
      <c r="J882" s="28">
        <v>0</v>
      </c>
      <c r="K882" s="13" t="s">
        <v>150</v>
      </c>
      <c r="L882" s="13" t="s">
        <v>53</v>
      </c>
      <c r="M882" s="13">
        <v>1</v>
      </c>
      <c r="O882" s="13">
        <v>1</v>
      </c>
      <c r="P882" s="13">
        <v>2</v>
      </c>
      <c r="Q882" s="13">
        <v>3</v>
      </c>
      <c r="R882" s="13" t="s">
        <v>73</v>
      </c>
      <c r="S882" s="13" t="s">
        <v>73</v>
      </c>
      <c r="T882" s="13">
        <v>44901</v>
      </c>
      <c r="U882" s="13">
        <v>2958465</v>
      </c>
      <c r="V882" s="13" t="s">
        <v>282</v>
      </c>
      <c r="W882" s="13" t="s">
        <v>145</v>
      </c>
      <c r="Y882" s="13" t="s">
        <v>143</v>
      </c>
      <c r="Z882" s="13">
        <v>7589154</v>
      </c>
      <c r="AA882" s="13">
        <v>1652</v>
      </c>
      <c r="AB882" s="13">
        <v>826</v>
      </c>
      <c r="AE882" s="51">
        <f>M882/O882</f>
        <v>1</v>
      </c>
      <c r="AG882" s="6" t="str">
        <f>C882</f>
        <v>90MB1BJ0-C1BAY0</v>
      </c>
      <c r="AH882" s="6" t="str">
        <f>IF($D882&lt;=AH$4,"",IF(AND($D881=AH$4,$D882&gt;AH$4),$F881,AH881))</f>
        <v>59MB1BJB-MB0A02S</v>
      </c>
      <c r="AI882" s="6" t="str">
        <f>IF($D882&lt;=AI$4,"",IF(AND($D881=AI$4,$D882&gt;AI$4),$F881,AI881))</f>
        <v/>
      </c>
      <c r="AJ882" s="6" t="str">
        <f>IF($D882&lt;=AJ$4,"",IF(AND($D881=AJ$4,$D882&gt;AJ$4),$F881,AJ881))</f>
        <v/>
      </c>
      <c r="AK882" s="6" t="str">
        <f>IF($D882&lt;=AK$4,"",IF(AND($D881=AK$4,$D882&gt;AK$4),$F881,AK881))</f>
        <v/>
      </c>
      <c r="AL882" s="6" t="str">
        <f>IF($D882&lt;=AL$4,"",IF(AND($D881=AL$4,$D882&gt;AL$4),$F881,AL881))</f>
        <v/>
      </c>
      <c r="AM882" s="6" t="str">
        <f>IF($D882&lt;=AM$4,"",IF(AND($D881=AM$4,$D882&gt;AM$4),$F881,AM881))</f>
        <v/>
      </c>
      <c r="AN882" s="6" t="str">
        <f>IF($D882&lt;=AN$4,"",IF(AND($D881=AN$4,$D882&gt;AN$4),$F881,AN881))</f>
        <v/>
      </c>
      <c r="AO882" s="6" t="str">
        <f>CONCATENATE(AG882," | ",AH882," | ",AI882," | ",AJ882," | ",AK882," | ",AL882," | ",AM882," | ",AN882)</f>
        <v xml:space="preserve">90MB1BJ0-C1BAY0 | 59MB1BJB-MB0A02S |  |  |  |  |  | </v>
      </c>
      <c r="AP882" s="6">
        <f>IF(TRIM(H882)="",100,J882)</f>
        <v>0</v>
      </c>
      <c r="AQ882" s="4"/>
      <c r="AR882" s="6" t="b">
        <f>NOT(TRIM(W882)&lt;&gt;"F")</f>
        <v>1</v>
      </c>
      <c r="AS882" s="6" t="str">
        <f>$B882&amp;" | "&amp;$AO882&amp;" | "&amp;IF(TRIM(H882)="","uniq"&amp;ROW(),TRIM(H882))</f>
        <v>461E | 90MB1BJ0-C1BAY0 | 59MB1BJB-MB0A02S |  |  |  |  |  |  | U0</v>
      </c>
      <c r="AT882" s="63">
        <f>IF(NOT(AR882),IF(TRIM($H882)="","Assembly","Phantom Alt"),VLOOKUP(F882,ZPCS04!B:G,6,0))</f>
        <v>914</v>
      </c>
      <c r="AU882" s="7"/>
      <c r="AV882" s="38">
        <f ca="1">IF(TRIM($W882)="F",OFFSET($A$5,MATCH($AS882,$AS$5:$AS882,0)-1,0),$A882)</f>
        <v>880</v>
      </c>
      <c r="AW882" s="38">
        <f ca="1">IFERROR(OFFSET(ZPCS04!$A$1,MATCH(F882,ZPCS04!B:B,0)-1,0),100)</f>
        <v>2</v>
      </c>
      <c r="AX882" s="7"/>
      <c r="AY882" s="6" t="b">
        <f>SUMIF(AS:AS,AS882,AP:AP)=100</f>
        <v>1</v>
      </c>
      <c r="AZ882" s="6" t="b">
        <f>SUMIF(AS:AS,AS882,AE:AE)/COUNTIF(AS:AS,AS882)=AE882</f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>C882&amp;" | "&amp;F882</f>
        <v>90MB1BJ0-C1BAY0 | 12008-00015900</v>
      </c>
      <c r="BE882" s="55" t="str">
        <f ca="1">C882&amp;" | "&amp;OFFSET($AF882,0,8-COUNTBLANK($AG882:$AN882))</f>
        <v>90MB1BJ0-C1BAY0 | 59MB1BJB-MB0A02S</v>
      </c>
      <c r="BF882" s="57">
        <f ca="1">IFERROR(VLOOKUP($BE882,$BD$5:$BF881,3,0)*$AE882,VLOOKUP($C882,Demanda!$A:$B,2,0)*$AE882)*IF(AT882="Phantom Alt",$BC882,TRUE)</f>
        <v>1000</v>
      </c>
      <c r="BG882" s="57">
        <f ca="1">BF882*(AP882/100)</f>
        <v>0</v>
      </c>
      <c r="BH882" s="57">
        <f>SUMIF(Invoice!A:A,F882,Invoice!B:B)</f>
        <v>0</v>
      </c>
      <c r="BI882" s="57">
        <f ca="1">SUMIF(AS:AS,AS882,BG:BG)</f>
        <v>1000</v>
      </c>
      <c r="BJ882" s="57">
        <f ca="1">MIN((BI882-SUMIF($AS$5:AS881,AS882,$BJ$5:BJ881)),MAX(0,BH882-SUMIF($F$5:F881,F882,$BJ$5:BJ881)))</f>
        <v>0</v>
      </c>
      <c r="BK882" s="57">
        <f ca="1">(-SUMIF(AS:AS,AS882,BG:BG)+SUMIF(AS:AS,AS882,BJ:BJ))*(AP882=100)*AR882</f>
        <v>0</v>
      </c>
      <c r="BL882" s="57">
        <f ca="1">MAX(0,SUMIF(Invoice!A:A,F882,Invoice!B:B)-SUMIF(F:F,F882,BJ:BJ))*(COUNTIF(F:F,F882)=COUNTIF($F$5:F882,F882))</f>
        <v>0</v>
      </c>
    </row>
    <row r="883" spans="1:64" hidden="1">
      <c r="A883" s="43">
        <v>883</v>
      </c>
      <c r="B883" s="13" t="s">
        <v>147</v>
      </c>
      <c r="C883" s="13" t="s">
        <v>146</v>
      </c>
      <c r="D883" s="13">
        <v>2</v>
      </c>
      <c r="E883" s="13">
        <v>2910</v>
      </c>
      <c r="F883" s="71" t="s">
        <v>2025</v>
      </c>
      <c r="G883" s="71" t="s">
        <v>2026</v>
      </c>
      <c r="H883" s="13" t="s">
        <v>2027</v>
      </c>
      <c r="I883" s="13" t="s">
        <v>54</v>
      </c>
      <c r="J883" s="28">
        <v>100</v>
      </c>
      <c r="K883" s="13" t="s">
        <v>150</v>
      </c>
      <c r="L883" s="13" t="s">
        <v>53</v>
      </c>
      <c r="M883" s="13">
        <v>1</v>
      </c>
      <c r="N883" s="13">
        <v>1</v>
      </c>
      <c r="O883" s="13">
        <v>1</v>
      </c>
      <c r="P883" s="13">
        <v>2</v>
      </c>
      <c r="Q883" s="13">
        <v>1</v>
      </c>
      <c r="R883" s="13" t="s">
        <v>73</v>
      </c>
      <c r="S883" s="13" t="s">
        <v>73</v>
      </c>
      <c r="T883" s="13">
        <v>44901</v>
      </c>
      <c r="U883" s="13">
        <v>2958465</v>
      </c>
      <c r="V883" s="13" t="s">
        <v>282</v>
      </c>
      <c r="W883" s="13" t="s">
        <v>145</v>
      </c>
      <c r="Y883" s="13" t="s">
        <v>143</v>
      </c>
      <c r="Z883" s="13">
        <v>7589154</v>
      </c>
      <c r="AA883" s="13">
        <v>1654</v>
      </c>
      <c r="AB883" s="13">
        <v>827</v>
      </c>
      <c r="AE883" s="51">
        <f>M883/O883</f>
        <v>1</v>
      </c>
      <c r="AG883" s="6" t="str">
        <f>C883</f>
        <v>90MB1BJ0-C1BAY0</v>
      </c>
      <c r="AH883" s="6" t="str">
        <f>IF($D883&lt;=AH$4,"",IF(AND($D882=AH$4,$D883&gt;AH$4),$F882,AH882))</f>
        <v>59MB1BJB-MB0A02S</v>
      </c>
      <c r="AI883" s="6" t="str">
        <f>IF($D883&lt;=AI$4,"",IF(AND($D882=AI$4,$D883&gt;AI$4),$F882,AI882))</f>
        <v/>
      </c>
      <c r="AJ883" s="6" t="str">
        <f>IF($D883&lt;=AJ$4,"",IF(AND($D882=AJ$4,$D883&gt;AJ$4),$F882,AJ882))</f>
        <v/>
      </c>
      <c r="AK883" s="6" t="str">
        <f>IF($D883&lt;=AK$4,"",IF(AND($D882=AK$4,$D883&gt;AK$4),$F882,AK882))</f>
        <v/>
      </c>
      <c r="AL883" s="6" t="str">
        <f>IF($D883&lt;=AL$4,"",IF(AND($D882=AL$4,$D883&gt;AL$4),$F882,AL882))</f>
        <v/>
      </c>
      <c r="AM883" s="6" t="str">
        <f>IF($D883&lt;=AM$4,"",IF(AND($D882=AM$4,$D883&gt;AM$4),$F882,AM882))</f>
        <v/>
      </c>
      <c r="AN883" s="6" t="str">
        <f>IF($D883&lt;=AN$4,"",IF(AND($D882=AN$4,$D883&gt;AN$4),$F882,AN882))</f>
        <v/>
      </c>
      <c r="AO883" s="6" t="str">
        <f>CONCATENATE(AG883," | ",AH883," | ",AI883," | ",AJ883," | ",AK883," | ",AL883," | ",AM883," | ",AN883)</f>
        <v xml:space="preserve">90MB1BJ0-C1BAY0 | 59MB1BJB-MB0A02S |  |  |  |  |  | </v>
      </c>
      <c r="AP883" s="6">
        <f>IF(TRIM(H883)="",100,J883)</f>
        <v>100</v>
      </c>
      <c r="AQ883" s="4"/>
      <c r="AR883" s="6" t="b">
        <f>NOT(TRIM(W883)&lt;&gt;"F")</f>
        <v>1</v>
      </c>
      <c r="AS883" s="6" t="str">
        <f>$B883&amp;" | "&amp;$AO883&amp;" | "&amp;IF(TRIM(H883)="","uniq"&amp;ROW(),TRIM(H883))</f>
        <v>461E | 90MB1BJ0-C1BAY0 | 59MB1BJB-MB0A02S |  |  |  |  |  |  | U1</v>
      </c>
      <c r="AT883" s="63">
        <f>IF(NOT(AR883),IF(TRIM($H883)="","Assembly","Phantom Alt"),VLOOKUP(F883,ZPCS04!B:G,6,0))</f>
        <v>1294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1.9999999900000001</v>
      </c>
      <c r="AX883" s="7"/>
      <c r="AY883" s="6" t="b">
        <f>SUMIF(AS:AS,AS883,AP:AP)=100</f>
        <v>1</v>
      </c>
      <c r="AZ883" s="6" t="b">
        <f>SUMIF(AS:AS,AS883,AE:AE)/COUNTIF(AS:AS,AS883)=AE883</f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>C883&amp;" | "&amp;F883</f>
        <v>90MB1BJ0-C1BAY0 | 12009-00640200</v>
      </c>
      <c r="BE883" s="55" t="str">
        <f ca="1">C883&amp;" | "&amp;OFFSET($AF883,0,8-COUNTBLANK($AG883:$AN883))</f>
        <v>90MB1BJ0-C1BAY0 | 59MB1BJB-MB0A02S</v>
      </c>
      <c r="BF883" s="57">
        <f ca="1">IFERROR(VLOOKUP($BE883,$BD$5:$BF882,3,0)*$AE883,VLOOKUP($C883,Demanda!$A:$B,2,0)*$AE883)*IF(AT883="Phantom Alt",$BC883,TRUE)</f>
        <v>1000</v>
      </c>
      <c r="BG883" s="57">
        <f ca="1">BF883*(AP883/100)</f>
        <v>1000</v>
      </c>
      <c r="BH883" s="57">
        <f>SUMIF(Invoice!A:A,F883,Invoice!B:B)</f>
        <v>1000</v>
      </c>
      <c r="BI883" s="57">
        <f ca="1">SUMIF(AS:AS,AS883,BG:BG)</f>
        <v>1000</v>
      </c>
      <c r="BJ883" s="57">
        <f ca="1">MIN((BI883-SUMIF($AS$5:AS882,AS883,$BJ$5:BJ882)),MAX(0,BH883-SUMIF($F$5:F882,F883,$BJ$5:BJ882)))</f>
        <v>1000</v>
      </c>
      <c r="BK883" s="57">
        <f ca="1">(-SUMIF(AS:AS,AS883,BG:BG)+SUMIF(AS:AS,AS883,BJ:BJ))*(AP883=100)*AR883</f>
        <v>0</v>
      </c>
      <c r="BL883" s="57">
        <f ca="1">MAX(0,SUMIF(Invoice!A:A,F883,Invoice!B:B)-SUMIF(F:F,F883,BJ:BJ))*(COUNTIF(F:F,F883)=COUNTIF($F$5:F883,F883))</f>
        <v>0</v>
      </c>
    </row>
    <row r="884" spans="1:64" hidden="1">
      <c r="A884" s="43">
        <v>884</v>
      </c>
      <c r="B884" s="13" t="s">
        <v>147</v>
      </c>
      <c r="C884" s="13" t="s">
        <v>146</v>
      </c>
      <c r="D884" s="13">
        <v>2</v>
      </c>
      <c r="E884" s="13">
        <v>2910</v>
      </c>
      <c r="F884" s="71" t="s">
        <v>2028</v>
      </c>
      <c r="G884" s="71" t="s">
        <v>2029</v>
      </c>
      <c r="H884" s="13" t="s">
        <v>2027</v>
      </c>
      <c r="I884" s="13" t="s">
        <v>55</v>
      </c>
      <c r="J884" s="28">
        <v>0</v>
      </c>
      <c r="K884" s="13" t="s">
        <v>150</v>
      </c>
      <c r="L884" s="13" t="s">
        <v>53</v>
      </c>
      <c r="M884" s="13">
        <v>1</v>
      </c>
      <c r="O884" s="13">
        <v>1</v>
      </c>
      <c r="P884" s="13">
        <v>2</v>
      </c>
      <c r="Q884" s="13">
        <v>2</v>
      </c>
      <c r="R884" s="13" t="s">
        <v>73</v>
      </c>
      <c r="S884" s="13" t="s">
        <v>73</v>
      </c>
      <c r="T884" s="13">
        <v>44901</v>
      </c>
      <c r="U884" s="13">
        <v>2958465</v>
      </c>
      <c r="V884" s="13" t="s">
        <v>282</v>
      </c>
      <c r="W884" s="13" t="s">
        <v>145</v>
      </c>
      <c r="Y884" s="13" t="s">
        <v>143</v>
      </c>
      <c r="Z884" s="13">
        <v>7589154</v>
      </c>
      <c r="AA884" s="13">
        <v>1656</v>
      </c>
      <c r="AB884" s="13">
        <v>828</v>
      </c>
      <c r="AE884" s="51">
        <f>M884/O884</f>
        <v>1</v>
      </c>
      <c r="AG884" s="6" t="str">
        <f>C884</f>
        <v>90MB1BJ0-C1BAY0</v>
      </c>
      <c r="AH884" s="6" t="str">
        <f>IF($D884&lt;=AH$4,"",IF(AND($D883=AH$4,$D884&gt;AH$4),$F883,AH883))</f>
        <v>59MB1BJB-MB0A02S</v>
      </c>
      <c r="AI884" s="6" t="str">
        <f>IF($D884&lt;=AI$4,"",IF(AND($D883=AI$4,$D884&gt;AI$4),$F883,AI883))</f>
        <v/>
      </c>
      <c r="AJ884" s="6" t="str">
        <f>IF($D884&lt;=AJ$4,"",IF(AND($D883=AJ$4,$D884&gt;AJ$4),$F883,AJ883))</f>
        <v/>
      </c>
      <c r="AK884" s="6" t="str">
        <f>IF($D884&lt;=AK$4,"",IF(AND($D883=AK$4,$D884&gt;AK$4),$F883,AK883))</f>
        <v/>
      </c>
      <c r="AL884" s="6" t="str">
        <f>IF($D884&lt;=AL$4,"",IF(AND($D883=AL$4,$D884&gt;AL$4),$F883,AL883))</f>
        <v/>
      </c>
      <c r="AM884" s="6" t="str">
        <f>IF($D884&lt;=AM$4,"",IF(AND($D883=AM$4,$D884&gt;AM$4),$F883,AM883))</f>
        <v/>
      </c>
      <c r="AN884" s="6" t="str">
        <f>IF($D884&lt;=AN$4,"",IF(AND($D883=AN$4,$D884&gt;AN$4),$F883,AN883))</f>
        <v/>
      </c>
      <c r="AO884" s="6" t="str">
        <f>CONCATENATE(AG884," | ",AH884," | ",AI884," | ",AJ884," | ",AK884," | ",AL884," | ",AM884," | ",AN884)</f>
        <v xml:space="preserve">90MB1BJ0-C1BAY0 | 59MB1BJB-MB0A02S |  |  |  |  |  | </v>
      </c>
      <c r="AP884" s="6">
        <f>IF(TRIM(H884)="",100,J884)</f>
        <v>0</v>
      </c>
      <c r="AQ884" s="4"/>
      <c r="AR884" s="6" t="b">
        <f>NOT(TRIM(W884)&lt;&gt;"F")</f>
        <v>1</v>
      </c>
      <c r="AS884" s="6" t="str">
        <f>$B884&amp;" | "&amp;$AO884&amp;" | "&amp;IF(TRIM(H884)="","uniq"&amp;ROW(),TRIM(H884))</f>
        <v>461E | 90MB1BJ0-C1BAY0 | 59MB1BJB-MB0A02S |  |  |  |  |  |  | U1</v>
      </c>
      <c r="AT884" s="63">
        <f>IF(NOT(AR884),IF(TRIM($H884)="","Assembly","Phantom Alt"),VLOOKUP(F884,ZPCS04!B:G,6,0))</f>
        <v>1294</v>
      </c>
      <c r="AU884" s="7"/>
      <c r="AV884" s="38">
        <f ca="1">IF(TRIM($W884)="F",OFFSET($A$5,MATCH($AS884,$AS$5:$AS884,0)-1,0),$A884)</f>
        <v>883</v>
      </c>
      <c r="AW884" s="38">
        <f ca="1">IFERROR(OFFSET(ZPCS04!$A$1,MATCH(F884,ZPCS04!B:B,0)-1,0),100)</f>
        <v>2</v>
      </c>
      <c r="AX884" s="7"/>
      <c r="AY884" s="6" t="b">
        <f>SUMIF(AS:AS,AS884,AP:AP)=100</f>
        <v>1</v>
      </c>
      <c r="AZ884" s="6" t="b">
        <f>SUMIF(AS:AS,AS884,AE:AE)/COUNTIF(AS:AS,AS884)=AE884</f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>C884&amp;" | "&amp;F884</f>
        <v>90MB1BJ0-C1BAY0 | 12009-00640400</v>
      </c>
      <c r="BE884" s="55" t="str">
        <f ca="1">C884&amp;" | "&amp;OFFSET($AF884,0,8-COUNTBLANK($AG884:$AN884))</f>
        <v>90MB1BJ0-C1BAY0 | 59MB1BJB-MB0A02S</v>
      </c>
      <c r="BF884" s="57">
        <f ca="1">IFERROR(VLOOKUP($BE884,$BD$5:$BF883,3,0)*$AE884,VLOOKUP($C884,Demanda!$A:$B,2,0)*$AE884)*IF(AT884="Phantom Alt",$BC884,TRUE)</f>
        <v>1000</v>
      </c>
      <c r="BG884" s="57">
        <f ca="1">BF884*(AP884/100)</f>
        <v>0</v>
      </c>
      <c r="BH884" s="57">
        <f>SUMIF(Invoice!A:A,F884,Invoice!B:B)</f>
        <v>0</v>
      </c>
      <c r="BI884" s="57">
        <f ca="1">SUMIF(AS:AS,AS884,BG:BG)</f>
        <v>1000</v>
      </c>
      <c r="BJ884" s="57">
        <f ca="1">MIN((BI884-SUMIF($AS$5:AS883,AS884,$BJ$5:BJ883)),MAX(0,BH884-SUMIF($F$5:F883,F884,$BJ$5:BJ883)))</f>
        <v>0</v>
      </c>
      <c r="BK884" s="57">
        <f ca="1">(-SUMIF(AS:AS,AS884,BG:BG)+SUMIF(AS:AS,AS884,BJ:BJ))*(AP884=100)*AR884</f>
        <v>0</v>
      </c>
      <c r="BL884" s="57">
        <f ca="1">MAX(0,SUMIF(Invoice!A:A,F884,Invoice!B:B)-SUMIF(F:F,F884,BJ:BJ))*(COUNTIF(F:F,F884)=COUNTIF($F$5:F884,F884))</f>
        <v>0</v>
      </c>
    </row>
    <row r="885" spans="1:64" hidden="1">
      <c r="A885" s="43">
        <v>887</v>
      </c>
      <c r="B885" s="13" t="s">
        <v>147</v>
      </c>
      <c r="C885" s="13" t="s">
        <v>146</v>
      </c>
      <c r="D885" s="13">
        <v>2</v>
      </c>
      <c r="E885" s="13">
        <v>2920</v>
      </c>
      <c r="F885" s="71" t="s">
        <v>2035</v>
      </c>
      <c r="G885" s="71" t="s">
        <v>2036</v>
      </c>
      <c r="H885" s="13" t="s">
        <v>2032</v>
      </c>
      <c r="I885" s="13" t="s">
        <v>55</v>
      </c>
      <c r="J885" s="28">
        <v>0</v>
      </c>
      <c r="K885" s="13" t="s">
        <v>150</v>
      </c>
      <c r="L885" s="13" t="s">
        <v>53</v>
      </c>
      <c r="M885" s="13">
        <v>1</v>
      </c>
      <c r="O885" s="13">
        <v>1</v>
      </c>
      <c r="P885" s="13">
        <v>2</v>
      </c>
      <c r="Q885" s="13">
        <v>2</v>
      </c>
      <c r="R885" s="13" t="s">
        <v>73</v>
      </c>
      <c r="S885" s="13" t="s">
        <v>73</v>
      </c>
      <c r="T885" s="13">
        <v>44901</v>
      </c>
      <c r="U885" s="13">
        <v>2958465</v>
      </c>
      <c r="V885" s="13" t="s">
        <v>282</v>
      </c>
      <c r="W885" s="13" t="s">
        <v>145</v>
      </c>
      <c r="Y885" s="13" t="s">
        <v>143</v>
      </c>
      <c r="Z885" s="13">
        <v>7589154</v>
      </c>
      <c r="AA885" s="13">
        <v>1660</v>
      </c>
      <c r="AB885" s="13">
        <v>830</v>
      </c>
      <c r="AE885" s="51">
        <f>M885/O885</f>
        <v>1</v>
      </c>
      <c r="AG885" s="6" t="str">
        <f>C885</f>
        <v>90MB1BJ0-C1BAY0</v>
      </c>
      <c r="AH885" s="6" t="str">
        <f>IF($D885&lt;=AH$4,"",IF(AND($D884=AH$4,$D885&gt;AH$4),$F884,AH884))</f>
        <v>59MB1BJB-MB0A02S</v>
      </c>
      <c r="AI885" s="6" t="str">
        <f>IF($D885&lt;=AI$4,"",IF(AND($D884=AI$4,$D885&gt;AI$4),$F884,AI884))</f>
        <v/>
      </c>
      <c r="AJ885" s="6" t="str">
        <f>IF($D885&lt;=AJ$4,"",IF(AND($D884=AJ$4,$D885&gt;AJ$4),$F884,AJ884))</f>
        <v/>
      </c>
      <c r="AK885" s="6" t="str">
        <f>IF($D885&lt;=AK$4,"",IF(AND($D884=AK$4,$D885&gt;AK$4),$F884,AK884))</f>
        <v/>
      </c>
      <c r="AL885" s="6" t="str">
        <f>IF($D885&lt;=AL$4,"",IF(AND($D884=AL$4,$D885&gt;AL$4),$F884,AL884))</f>
        <v/>
      </c>
      <c r="AM885" s="6" t="str">
        <f>IF($D885&lt;=AM$4,"",IF(AND($D884=AM$4,$D885&gt;AM$4),$F884,AM884))</f>
        <v/>
      </c>
      <c r="AN885" s="6" t="str">
        <f>IF($D885&lt;=AN$4,"",IF(AND($D884=AN$4,$D885&gt;AN$4),$F884,AN884))</f>
        <v/>
      </c>
      <c r="AO885" s="6" t="str">
        <f>CONCATENATE(AG885," | ",AH885," | ",AI885," | ",AJ885," | ",AK885," | ",AL885," | ",AM885," | ",AN885)</f>
        <v xml:space="preserve">90MB1BJ0-C1BAY0 | 59MB1BJB-MB0A02S |  |  |  |  |  | </v>
      </c>
      <c r="AP885" s="6">
        <f>IF(TRIM(H885)="",100,J885)</f>
        <v>0</v>
      </c>
      <c r="AQ885" s="4"/>
      <c r="AR885" s="6" t="b">
        <f>NOT(TRIM(W885)&lt;&gt;"F")</f>
        <v>1</v>
      </c>
      <c r="AS885" s="6" t="str">
        <f>$B885&amp;" | "&amp;$AO885&amp;" | "&amp;IF(TRIM(H885)="","uniq"&amp;ROW(),TRIM(H885))</f>
        <v>461E | 90MB1BJ0-C1BAY0 | 59MB1BJB-MB0A02S |  |  |  |  |  |  | U2</v>
      </c>
      <c r="AT885" s="63">
        <f>IF(NOT(AR885),IF(TRIM($H885)="","Assembly","Phantom Alt"),VLOOKUP(F885,ZPCS04!B:G,6,0))</f>
        <v>1176</v>
      </c>
      <c r="AU885" s="7"/>
      <c r="AV885" s="38">
        <f ca="1">IF(TRIM($W885)="F",OFFSET($A$5,MATCH($AS885,$AS$5:$AS885,0)-1,0),$A885)</f>
        <v>887</v>
      </c>
      <c r="AW885" s="38">
        <f ca="1">IFERROR(OFFSET(ZPCS04!$A$1,MATCH(F885,ZPCS04!B:B,0)-1,0),100)</f>
        <v>1.999999984</v>
      </c>
      <c r="AX885" s="7"/>
      <c r="AY885" s="6" t="b">
        <f>SUMIF(AS:AS,AS885,AP:AP)=100</f>
        <v>1</v>
      </c>
      <c r="AZ885" s="6" t="b">
        <f>SUMIF(AS:AS,AS885,AE:AE)/COUNTIF(AS:AS,AS885)=AE885</f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>C885&amp;" | "&amp;F885</f>
        <v>90MB1BJ0-C1BAY0 | 12013-00120700</v>
      </c>
      <c r="BE885" s="55" t="str">
        <f ca="1">C885&amp;" | "&amp;OFFSET($AF885,0,8-COUNTBLANK($AG885:$AN885))</f>
        <v>90MB1BJ0-C1BAY0 | 59MB1BJB-MB0A02S</v>
      </c>
      <c r="BF885" s="57">
        <f ca="1">IFERROR(VLOOKUP($BE885,$BD$5:$BF884,3,0)*$AE885,VLOOKUP($C885,Demanda!$A:$B,2,0)*$AE885)*IF(AT885="Phantom Alt",$BC885,TRUE)</f>
        <v>1000</v>
      </c>
      <c r="BG885" s="57">
        <f ca="1">BF885*(AP885/100)</f>
        <v>0</v>
      </c>
      <c r="BH885" s="57">
        <f>SUMIF(Invoice!A:A,F885,Invoice!B:B)</f>
        <v>1600</v>
      </c>
      <c r="BI885" s="57">
        <f ca="1">SUMIF(AS:AS,AS885,BG:BG)</f>
        <v>1000</v>
      </c>
      <c r="BJ885" s="57">
        <f ca="1">MIN((BI885-SUMIF($AS$5:AS884,AS885,$BJ$5:BJ884)),MAX(0,BH885-SUMIF($F$5:F884,F885,$BJ$5:BJ884)))</f>
        <v>1000</v>
      </c>
      <c r="BK885" s="57">
        <f ca="1">(-SUMIF(AS:AS,AS885,BG:BG)+SUMIF(AS:AS,AS885,BJ:BJ))*(AP885=100)*AR885</f>
        <v>0</v>
      </c>
      <c r="BL885" s="57">
        <f ca="1">MAX(0,SUMIF(Invoice!A:A,F885,Invoice!B:B)-SUMIF(F:F,F885,BJ:BJ))*(COUNTIF(F:F,F885)=COUNTIF($F$5:F885,F885))</f>
        <v>600</v>
      </c>
    </row>
    <row r="886" spans="1:64" hidden="1">
      <c r="A886" s="43">
        <v>885</v>
      </c>
      <c r="B886" s="13" t="s">
        <v>147</v>
      </c>
      <c r="C886" s="13" t="s">
        <v>146</v>
      </c>
      <c r="D886" s="13">
        <v>2</v>
      </c>
      <c r="E886" s="13">
        <v>2920</v>
      </c>
      <c r="F886" s="71" t="s">
        <v>2030</v>
      </c>
      <c r="G886" s="71" t="s">
        <v>2031</v>
      </c>
      <c r="H886" s="13" t="s">
        <v>2032</v>
      </c>
      <c r="I886" s="13" t="s">
        <v>55</v>
      </c>
      <c r="J886" s="28">
        <v>0</v>
      </c>
      <c r="K886" s="13" t="s">
        <v>150</v>
      </c>
      <c r="L886" s="13" t="s">
        <v>53</v>
      </c>
      <c r="M886" s="13">
        <v>1</v>
      </c>
      <c r="O886" s="13">
        <v>1</v>
      </c>
      <c r="P886" s="13">
        <v>2</v>
      </c>
      <c r="Q886" s="13">
        <v>3</v>
      </c>
      <c r="R886" s="13" t="s">
        <v>73</v>
      </c>
      <c r="S886" s="13" t="s">
        <v>73</v>
      </c>
      <c r="T886" s="13">
        <v>44901</v>
      </c>
      <c r="U886" s="13">
        <v>2958465</v>
      </c>
      <c r="V886" s="13" t="s">
        <v>282</v>
      </c>
      <c r="W886" s="13" t="s">
        <v>145</v>
      </c>
      <c r="Y886" s="13" t="s">
        <v>143</v>
      </c>
      <c r="Z886" s="13">
        <v>7589154</v>
      </c>
      <c r="AA886" s="13">
        <v>1662</v>
      </c>
      <c r="AB886" s="13">
        <v>831</v>
      </c>
      <c r="AE886" s="51">
        <f>M886/O886</f>
        <v>1</v>
      </c>
      <c r="AG886" s="6" t="str">
        <f>C886</f>
        <v>90MB1BJ0-C1BAY0</v>
      </c>
      <c r="AH886" s="6" t="str">
        <f>IF($D886&lt;=AH$4,"",IF(AND($D885=AH$4,$D886&gt;AH$4),$F885,AH885))</f>
        <v>59MB1BJB-MB0A02S</v>
      </c>
      <c r="AI886" s="6" t="str">
        <f>IF($D886&lt;=AI$4,"",IF(AND($D885=AI$4,$D886&gt;AI$4),$F885,AI885))</f>
        <v/>
      </c>
      <c r="AJ886" s="6" t="str">
        <f>IF($D886&lt;=AJ$4,"",IF(AND($D885=AJ$4,$D886&gt;AJ$4),$F885,AJ885))</f>
        <v/>
      </c>
      <c r="AK886" s="6" t="str">
        <f>IF($D886&lt;=AK$4,"",IF(AND($D885=AK$4,$D886&gt;AK$4),$F885,AK885))</f>
        <v/>
      </c>
      <c r="AL886" s="6" t="str">
        <f>IF($D886&lt;=AL$4,"",IF(AND($D885=AL$4,$D886&gt;AL$4),$F885,AL885))</f>
        <v/>
      </c>
      <c r="AM886" s="6" t="str">
        <f>IF($D886&lt;=AM$4,"",IF(AND($D885=AM$4,$D886&gt;AM$4),$F885,AM885))</f>
        <v/>
      </c>
      <c r="AN886" s="6" t="str">
        <f>IF($D886&lt;=AN$4,"",IF(AND($D885=AN$4,$D886&gt;AN$4),$F885,AN885))</f>
        <v/>
      </c>
      <c r="AO886" s="6" t="str">
        <f>CONCATENATE(AG886," | ",AH886," | ",AI886," | ",AJ886," | ",AK886," | ",AL886," | ",AM886," | ",AN886)</f>
        <v xml:space="preserve">90MB1BJ0-C1BAY0 | 59MB1BJB-MB0A02S |  |  |  |  |  | </v>
      </c>
      <c r="AP886" s="6">
        <f>IF(TRIM(H886)="",100,J886)</f>
        <v>0</v>
      </c>
      <c r="AQ886" s="4"/>
      <c r="AR886" s="6" t="b">
        <f>NOT(TRIM(W886)&lt;&gt;"F")</f>
        <v>1</v>
      </c>
      <c r="AS886" s="6" t="str">
        <f>$B886&amp;" | "&amp;$AO886&amp;" | "&amp;IF(TRIM(H886)="","uniq"&amp;ROW(),TRIM(H886))</f>
        <v>461E | 90MB1BJ0-C1BAY0 | 59MB1BJB-MB0A02S |  |  |  |  |  |  | U2</v>
      </c>
      <c r="AT886" s="63">
        <f>IF(NOT(AR886),IF(TRIM($H886)="","Assembly","Phantom Alt"),VLOOKUP(F886,ZPCS04!B:G,6,0))</f>
        <v>1176</v>
      </c>
      <c r="AU886" s="7"/>
      <c r="AV886" s="38">
        <f ca="1">IF(TRIM($W886)="F",OFFSET($A$5,MATCH($AS886,$AS$5:$AS886,0)-1,0),$A886)</f>
        <v>887</v>
      </c>
      <c r="AW886" s="38">
        <f ca="1">IFERROR(OFFSET(ZPCS04!$A$1,MATCH(F886,ZPCS04!B:B,0)-1,0),100)</f>
        <v>2</v>
      </c>
      <c r="AX886" s="7"/>
      <c r="AY886" s="6" t="b">
        <f>SUMIF(AS:AS,AS886,AP:AP)=100</f>
        <v>1</v>
      </c>
      <c r="AZ886" s="6" t="b">
        <f>SUMIF(AS:AS,AS886,AE:AE)/COUNTIF(AS:AS,AS886)=AE886</f>
        <v>1</v>
      </c>
      <c r="BB886" s="38" t="str">
        <f ca="1">IF(AT886="Phantom Alt",MATCH($AS886,$AS$5:$AS886,0),IF(OR(OFFSET($AF886,0,8-COUNTBLANK($AG886:$AN886))=$F885,$BE886=$BE885),$BB885,""))</f>
        <v/>
      </c>
      <c r="BC886" s="41"/>
      <c r="BD886" s="55" t="str">
        <f>C886&amp;" | "&amp;F886</f>
        <v>90MB1BJ0-C1BAY0 | 12013-00120100</v>
      </c>
      <c r="BE886" s="55" t="str">
        <f ca="1">C886&amp;" | "&amp;OFFSET($AF886,0,8-COUNTBLANK($AG886:$AN886))</f>
        <v>90MB1BJ0-C1BAY0 | 59MB1BJB-MB0A02S</v>
      </c>
      <c r="BF886" s="57">
        <f ca="1">IFERROR(VLOOKUP($BE886,$BD$5:$BF885,3,0)*$AE886,VLOOKUP($C886,Demanda!$A:$B,2,0)*$AE886)*IF(AT886="Phantom Alt",$BC886,TRUE)</f>
        <v>1000</v>
      </c>
      <c r="BG886" s="57">
        <f ca="1">BF886*(AP886/100)</f>
        <v>0</v>
      </c>
      <c r="BH886" s="57">
        <f>SUMIF(Invoice!A:A,F886,Invoice!B:B)</f>
        <v>0</v>
      </c>
      <c r="BI886" s="57">
        <f ca="1">SUMIF(AS:AS,AS886,BG:BG)</f>
        <v>1000</v>
      </c>
      <c r="BJ886" s="57">
        <f ca="1">MIN((BI886-SUMIF($AS$5:AS885,AS886,$BJ$5:BJ885)),MAX(0,BH886-SUMIF($F$5:F885,F886,$BJ$5:BJ885)))</f>
        <v>0</v>
      </c>
      <c r="BK886" s="57">
        <f ca="1">(-SUMIF(AS:AS,AS886,BG:BG)+SUMIF(AS:AS,AS886,BJ:BJ))*(AP886=100)*AR886</f>
        <v>0</v>
      </c>
      <c r="BL886" s="57">
        <f ca="1">MAX(0,SUMIF(Invoice!A:A,F886,Invoice!B:B)-SUMIF(F:F,F886,BJ:BJ))*(COUNTIF(F:F,F886)=COUNTIF($F$5:F886,F886))</f>
        <v>0</v>
      </c>
    </row>
    <row r="887" spans="1:64" hidden="1">
      <c r="A887" s="43">
        <v>886</v>
      </c>
      <c r="B887" s="13" t="s">
        <v>147</v>
      </c>
      <c r="C887" s="13" t="s">
        <v>146</v>
      </c>
      <c r="D887" s="13">
        <v>2</v>
      </c>
      <c r="E887" s="13">
        <v>2920</v>
      </c>
      <c r="F887" s="71" t="s">
        <v>2033</v>
      </c>
      <c r="G887" s="71" t="s">
        <v>2034</v>
      </c>
      <c r="H887" s="13" t="s">
        <v>2032</v>
      </c>
      <c r="I887" s="13" t="s">
        <v>54</v>
      </c>
      <c r="J887" s="28">
        <v>100</v>
      </c>
      <c r="K887" s="13" t="s">
        <v>150</v>
      </c>
      <c r="L887" s="13" t="s">
        <v>53</v>
      </c>
      <c r="M887" s="13">
        <v>1</v>
      </c>
      <c r="N887" s="13">
        <v>1</v>
      </c>
      <c r="O887" s="13">
        <v>1</v>
      </c>
      <c r="P887" s="13">
        <v>2</v>
      </c>
      <c r="Q887" s="13">
        <v>1</v>
      </c>
      <c r="R887" s="13" t="s">
        <v>73</v>
      </c>
      <c r="S887" s="13" t="s">
        <v>73</v>
      </c>
      <c r="T887" s="13">
        <v>44901</v>
      </c>
      <c r="U887" s="13">
        <v>2958465</v>
      </c>
      <c r="V887" s="13" t="s">
        <v>282</v>
      </c>
      <c r="W887" s="13" t="s">
        <v>145</v>
      </c>
      <c r="Y887" s="13" t="s">
        <v>143</v>
      </c>
      <c r="Z887" s="13">
        <v>7589154</v>
      </c>
      <c r="AA887" s="13">
        <v>1658</v>
      </c>
      <c r="AB887" s="13">
        <v>829</v>
      </c>
      <c r="AE887" s="51">
        <f>M887/O887</f>
        <v>1</v>
      </c>
      <c r="AG887" s="6" t="str">
        <f>C887</f>
        <v>90MB1BJ0-C1BAY0</v>
      </c>
      <c r="AH887" s="6" t="str">
        <f>IF($D887&lt;=AH$4,"",IF(AND($D886=AH$4,$D887&gt;AH$4),$F886,AH886))</f>
        <v>59MB1BJB-MB0A02S</v>
      </c>
      <c r="AI887" s="6" t="str">
        <f>IF($D887&lt;=AI$4,"",IF(AND($D886=AI$4,$D887&gt;AI$4),$F886,AI886))</f>
        <v/>
      </c>
      <c r="AJ887" s="6" t="str">
        <f>IF($D887&lt;=AJ$4,"",IF(AND($D886=AJ$4,$D887&gt;AJ$4),$F886,AJ886))</f>
        <v/>
      </c>
      <c r="AK887" s="6" t="str">
        <f>IF($D887&lt;=AK$4,"",IF(AND($D886=AK$4,$D887&gt;AK$4),$F886,AK886))</f>
        <v/>
      </c>
      <c r="AL887" s="6" t="str">
        <f>IF($D887&lt;=AL$4,"",IF(AND($D886=AL$4,$D887&gt;AL$4),$F886,AL886))</f>
        <v/>
      </c>
      <c r="AM887" s="6" t="str">
        <f>IF($D887&lt;=AM$4,"",IF(AND($D886=AM$4,$D887&gt;AM$4),$F886,AM886))</f>
        <v/>
      </c>
      <c r="AN887" s="6" t="str">
        <f>IF($D887&lt;=AN$4,"",IF(AND($D886=AN$4,$D887&gt;AN$4),$F886,AN886))</f>
        <v/>
      </c>
      <c r="AO887" s="6" t="str">
        <f>CONCATENATE(AG887," | ",AH887," | ",AI887," | ",AJ887," | ",AK887," | ",AL887," | ",AM887," | ",AN887)</f>
        <v xml:space="preserve">90MB1BJ0-C1BAY0 | 59MB1BJB-MB0A02S |  |  |  |  |  | </v>
      </c>
      <c r="AP887" s="6">
        <f>IF(TRIM(H887)="",100,J887)</f>
        <v>100</v>
      </c>
      <c r="AQ887" s="4"/>
      <c r="AR887" s="6" t="b">
        <f>NOT(TRIM(W887)&lt;&gt;"F")</f>
        <v>1</v>
      </c>
      <c r="AS887" s="6" t="str">
        <f>$B887&amp;" | "&amp;$AO887&amp;" | "&amp;IF(TRIM(H887)="","uniq"&amp;ROW(),TRIM(H887))</f>
        <v>461E | 90MB1BJ0-C1BAY0 | 59MB1BJB-MB0A02S |  |  |  |  |  |  | U2</v>
      </c>
      <c r="AT887" s="63">
        <f>IF(NOT(AR887),IF(TRIM($H887)="","Assembly","Phantom Alt"),VLOOKUP(F887,ZPCS04!B:G,6,0))</f>
        <v>1176</v>
      </c>
      <c r="AU887" s="7"/>
      <c r="AV887" s="38">
        <f ca="1">IF(TRIM($W887)="F",OFFSET($A$5,MATCH($AS887,$AS$5:$AS887,0)-1,0),$A887)</f>
        <v>887</v>
      </c>
      <c r="AW887" s="38">
        <f ca="1">IFERROR(OFFSET(ZPCS04!$A$1,MATCH(F887,ZPCS04!B:B,0)-1,0),100)</f>
        <v>2</v>
      </c>
      <c r="AX887" s="7"/>
      <c r="AY887" s="6" t="b">
        <f>SUMIF(AS:AS,AS887,AP:AP)=100</f>
        <v>1</v>
      </c>
      <c r="AZ887" s="6" t="b">
        <f>SUMIF(AS:AS,AS887,AE:AE)/COUNTIF(AS:AS,AS887)=AE887</f>
        <v>1</v>
      </c>
      <c r="BB887" s="38" t="str">
        <f ca="1">IF(AT887="Phantom Alt",MATCH($AS887,$AS$5:$AS887,0),IF(OR(OFFSET($AF887,0,8-COUNTBLANK($AG887:$AN887))=$F886,$BE887=$BE886),$BB886,""))</f>
        <v/>
      </c>
      <c r="BC887" s="41"/>
      <c r="BD887" s="55" t="str">
        <f>C887&amp;" | "&amp;F887</f>
        <v>90MB1BJ0-C1BAY0 | 12013-00120300</v>
      </c>
      <c r="BE887" s="55" t="str">
        <f ca="1">C887&amp;" | "&amp;OFFSET($AF887,0,8-COUNTBLANK($AG887:$AN887))</f>
        <v>90MB1BJ0-C1BAY0 | 59MB1BJB-MB0A02S</v>
      </c>
      <c r="BF887" s="57">
        <f ca="1">IFERROR(VLOOKUP($BE887,$BD$5:$BF886,3,0)*$AE887,VLOOKUP($C887,Demanda!$A:$B,2,0)*$AE887)*IF(AT887="Phantom Alt",$BC887,TRUE)</f>
        <v>1000</v>
      </c>
      <c r="BG887" s="57">
        <f ca="1">BF887*(AP887/100)</f>
        <v>1000</v>
      </c>
      <c r="BH887" s="57">
        <f>SUMIF(Invoice!A:A,F887,Invoice!B:B)</f>
        <v>0</v>
      </c>
      <c r="BI887" s="57">
        <f ca="1">SUMIF(AS:AS,AS887,BG:BG)</f>
        <v>1000</v>
      </c>
      <c r="BJ887" s="57">
        <f ca="1">MIN((BI887-SUMIF($AS$5:AS886,AS887,$BJ$5:BJ886)),MAX(0,BH887-SUMIF($F$5:F886,F887,$BJ$5:BJ886)))</f>
        <v>0</v>
      </c>
      <c r="BK887" s="57">
        <f ca="1">(-SUMIF(AS:AS,AS887,BG:BG)+SUMIF(AS:AS,AS887,BJ:BJ))*(AP887=100)*AR887</f>
        <v>0</v>
      </c>
      <c r="BL887" s="57">
        <f ca="1">MAX(0,SUMIF(Invoice!A:A,F887,Invoice!B:B)-SUMIF(F:F,F887,BJ:BJ))*(COUNTIF(F:F,F887)=COUNTIF($F$5:F887,F887))</f>
        <v>0</v>
      </c>
    </row>
    <row r="888" spans="1:64" hidden="1">
      <c r="A888" s="43">
        <v>888</v>
      </c>
      <c r="B888" s="13" t="s">
        <v>147</v>
      </c>
      <c r="C888" s="13" t="s">
        <v>146</v>
      </c>
      <c r="D888" s="13">
        <v>2</v>
      </c>
      <c r="E888" s="13">
        <v>2930</v>
      </c>
      <c r="F888" s="71" t="s">
        <v>2037</v>
      </c>
      <c r="G888" s="71" t="s">
        <v>2038</v>
      </c>
      <c r="H888" s="13" t="s">
        <v>2039</v>
      </c>
      <c r="I888" s="13" t="s">
        <v>54</v>
      </c>
      <c r="J888" s="28">
        <v>100</v>
      </c>
      <c r="K888" s="13" t="s">
        <v>150</v>
      </c>
      <c r="L888" s="13" t="s">
        <v>53</v>
      </c>
      <c r="M888" s="13">
        <v>1</v>
      </c>
      <c r="N888" s="13">
        <v>1</v>
      </c>
      <c r="O888" s="13">
        <v>1</v>
      </c>
      <c r="P888" s="13">
        <v>2</v>
      </c>
      <c r="Q888" s="13">
        <v>1</v>
      </c>
      <c r="R888" s="13" t="s">
        <v>73</v>
      </c>
      <c r="S888" s="13" t="s">
        <v>73</v>
      </c>
      <c r="T888" s="13">
        <v>44901</v>
      </c>
      <c r="U888" s="13">
        <v>2958465</v>
      </c>
      <c r="V888" s="13" t="s">
        <v>282</v>
      </c>
      <c r="W888" s="13" t="s">
        <v>145</v>
      </c>
      <c r="Y888" s="13" t="s">
        <v>143</v>
      </c>
      <c r="Z888" s="13">
        <v>7589154</v>
      </c>
      <c r="AA888" s="13">
        <v>1664</v>
      </c>
      <c r="AB888" s="13">
        <v>832</v>
      </c>
      <c r="AE888" s="51">
        <f>M888/O888</f>
        <v>1</v>
      </c>
      <c r="AG888" s="6" t="str">
        <f>C888</f>
        <v>90MB1BJ0-C1BAY0</v>
      </c>
      <c r="AH888" s="6" t="str">
        <f>IF($D888&lt;=AH$4,"",IF(AND($D887=AH$4,$D888&gt;AH$4),$F887,AH887))</f>
        <v>59MB1BJB-MB0A02S</v>
      </c>
      <c r="AI888" s="6" t="str">
        <f>IF($D888&lt;=AI$4,"",IF(AND($D887=AI$4,$D888&gt;AI$4),$F887,AI887))</f>
        <v/>
      </c>
      <c r="AJ888" s="6" t="str">
        <f>IF($D888&lt;=AJ$4,"",IF(AND($D887=AJ$4,$D888&gt;AJ$4),$F887,AJ887))</f>
        <v/>
      </c>
      <c r="AK888" s="6" t="str">
        <f>IF($D888&lt;=AK$4,"",IF(AND($D887=AK$4,$D888&gt;AK$4),$F887,AK887))</f>
        <v/>
      </c>
      <c r="AL888" s="6" t="str">
        <f>IF($D888&lt;=AL$4,"",IF(AND($D887=AL$4,$D888&gt;AL$4),$F887,AL887))</f>
        <v/>
      </c>
      <c r="AM888" s="6" t="str">
        <f>IF($D888&lt;=AM$4,"",IF(AND($D887=AM$4,$D888&gt;AM$4),$F887,AM887))</f>
        <v/>
      </c>
      <c r="AN888" s="6" t="str">
        <f>IF($D888&lt;=AN$4,"",IF(AND($D887=AN$4,$D888&gt;AN$4),$F887,AN887))</f>
        <v/>
      </c>
      <c r="AO888" s="6" t="str">
        <f>CONCATENATE(AG888," | ",AH888," | ",AI888," | ",AJ888," | ",AK888," | ",AL888," | ",AM888," | ",AN888)</f>
        <v xml:space="preserve">90MB1BJ0-C1BAY0 | 59MB1BJB-MB0A02S |  |  |  |  |  | </v>
      </c>
      <c r="AP888" s="6">
        <f>IF(TRIM(H888)="",100,J888)</f>
        <v>100</v>
      </c>
      <c r="AQ888" s="4"/>
      <c r="AR888" s="6" t="b">
        <f>NOT(TRIM(W888)&lt;&gt;"F")</f>
        <v>1</v>
      </c>
      <c r="AS888" s="6" t="str">
        <f>$B888&amp;" | "&amp;$AO888&amp;" | "&amp;IF(TRIM(H888)="","uniq"&amp;ROW(),TRIM(H888))</f>
        <v>461E | 90MB1BJ0-C1BAY0 | 59MB1BJB-MB0A02S |  |  |  |  |  |  | U3</v>
      </c>
      <c r="AT888" s="63">
        <f>IF(NOT(AR888),IF(TRIM($H888)="","Assembly","Phantom Alt"),VLOOKUP(F888,ZPCS04!B:G,6,0))</f>
        <v>1295</v>
      </c>
      <c r="AU888" s="7"/>
      <c r="AV888" s="38">
        <f ca="1">IF(TRIM($W888)="F",OFFSET($A$5,MATCH($AS888,$AS$5:$AS888,0)-1,0),$A888)</f>
        <v>888</v>
      </c>
      <c r="AW888" s="38">
        <f ca="1">IFERROR(OFFSET(ZPCS04!$A$1,MATCH(F888,ZPCS04!B:B,0)-1,0),100)</f>
        <v>1.9999999819999998</v>
      </c>
      <c r="AX888" s="7"/>
      <c r="AY888" s="6" t="b">
        <f>SUMIF(AS:AS,AS888,AP:AP)=100</f>
        <v>1</v>
      </c>
      <c r="AZ888" s="6" t="b">
        <f>SUMIF(AS:AS,AS888,AE:AE)/COUNTIF(AS:AS,AS888)=AE888</f>
        <v>1</v>
      </c>
      <c r="BB888" s="38" t="str">
        <f ca="1">IF(AT888="Phantom Alt",MATCH($AS888,$AS$5:$AS888,0),IF(OR(OFFSET($AF888,0,8-COUNTBLANK($AG888:$AN888))=$F887,$BE888=$BE887),$BB887,""))</f>
        <v/>
      </c>
      <c r="BC888" s="41"/>
      <c r="BD888" s="55" t="str">
        <f>C888&amp;" | "&amp;F888</f>
        <v>90MB1BJ0-C1BAY0 | 12013-00220200</v>
      </c>
      <c r="BE888" s="55" t="str">
        <f ca="1">C888&amp;" | "&amp;OFFSET($AF888,0,8-COUNTBLANK($AG888:$AN888))</f>
        <v>90MB1BJ0-C1BAY0 | 59MB1BJB-MB0A02S</v>
      </c>
      <c r="BF888" s="57">
        <f ca="1">IFERROR(VLOOKUP($BE888,$BD$5:$BF887,3,0)*$AE888,VLOOKUP($C888,Demanda!$A:$B,2,0)*$AE888)*IF(AT888="Phantom Alt",$BC888,TRUE)</f>
        <v>1000</v>
      </c>
      <c r="BG888" s="57">
        <f ca="1">BF888*(AP888/100)</f>
        <v>1000</v>
      </c>
      <c r="BH888" s="57">
        <f>SUMIF(Invoice!A:A,F888,Invoice!B:B)</f>
        <v>1800</v>
      </c>
      <c r="BI888" s="57">
        <f ca="1">SUMIF(AS:AS,AS888,BG:BG)</f>
        <v>1000</v>
      </c>
      <c r="BJ888" s="57">
        <f ca="1">MIN((BI888-SUMIF($AS$5:AS887,AS888,$BJ$5:BJ887)),MAX(0,BH888-SUMIF($F$5:F887,F888,$BJ$5:BJ887)))</f>
        <v>1000</v>
      </c>
      <c r="BK888" s="57">
        <f ca="1">(-SUMIF(AS:AS,AS888,BG:BG)+SUMIF(AS:AS,AS888,BJ:BJ))*(AP888=100)*AR888</f>
        <v>0</v>
      </c>
      <c r="BL888" s="57">
        <f ca="1">MAX(0,SUMIF(Invoice!A:A,F888,Invoice!B:B)-SUMIF(F:F,F888,BJ:BJ))*(COUNTIF(F:F,F888)=COUNTIF($F$5:F888,F888))</f>
        <v>800</v>
      </c>
    </row>
    <row r="889" spans="1:64" hidden="1">
      <c r="A889" s="43">
        <v>889</v>
      </c>
      <c r="B889" s="13" t="s">
        <v>147</v>
      </c>
      <c r="C889" s="13" t="s">
        <v>146</v>
      </c>
      <c r="D889" s="13">
        <v>2</v>
      </c>
      <c r="E889" s="13">
        <v>2930</v>
      </c>
      <c r="F889" s="71" t="s">
        <v>2040</v>
      </c>
      <c r="G889" s="71" t="s">
        <v>2041</v>
      </c>
      <c r="H889" s="13" t="s">
        <v>2039</v>
      </c>
      <c r="I889" s="13" t="s">
        <v>55</v>
      </c>
      <c r="J889" s="28">
        <v>0</v>
      </c>
      <c r="K889" s="13" t="s">
        <v>150</v>
      </c>
      <c r="L889" s="13" t="s">
        <v>53</v>
      </c>
      <c r="M889" s="13">
        <v>1</v>
      </c>
      <c r="O889" s="13">
        <v>1</v>
      </c>
      <c r="P889" s="13">
        <v>2</v>
      </c>
      <c r="Q889" s="13">
        <v>2</v>
      </c>
      <c r="R889" s="13" t="s">
        <v>73</v>
      </c>
      <c r="S889" s="13" t="s">
        <v>73</v>
      </c>
      <c r="T889" s="13">
        <v>44901</v>
      </c>
      <c r="U889" s="13">
        <v>2958465</v>
      </c>
      <c r="V889" s="13" t="s">
        <v>282</v>
      </c>
      <c r="W889" s="13" t="s">
        <v>145</v>
      </c>
      <c r="Y889" s="13" t="s">
        <v>143</v>
      </c>
      <c r="Z889" s="13">
        <v>7589154</v>
      </c>
      <c r="AA889" s="13">
        <v>1666</v>
      </c>
      <c r="AB889" s="13">
        <v>833</v>
      </c>
      <c r="AE889" s="51">
        <f>M889/O889</f>
        <v>1</v>
      </c>
      <c r="AG889" s="6" t="str">
        <f>C889</f>
        <v>90MB1BJ0-C1BAY0</v>
      </c>
      <c r="AH889" s="6" t="str">
        <f>IF($D889&lt;=AH$4,"",IF(AND($D888=AH$4,$D889&gt;AH$4),$F888,AH888))</f>
        <v>59MB1BJB-MB0A02S</v>
      </c>
      <c r="AI889" s="6" t="str">
        <f>IF($D889&lt;=AI$4,"",IF(AND($D888=AI$4,$D889&gt;AI$4),$F888,AI888))</f>
        <v/>
      </c>
      <c r="AJ889" s="6" t="str">
        <f>IF($D889&lt;=AJ$4,"",IF(AND($D888=AJ$4,$D889&gt;AJ$4),$F888,AJ888))</f>
        <v/>
      </c>
      <c r="AK889" s="6" t="str">
        <f>IF($D889&lt;=AK$4,"",IF(AND($D888=AK$4,$D889&gt;AK$4),$F888,AK888))</f>
        <v/>
      </c>
      <c r="AL889" s="6" t="str">
        <f>IF($D889&lt;=AL$4,"",IF(AND($D888=AL$4,$D889&gt;AL$4),$F888,AL888))</f>
        <v/>
      </c>
      <c r="AM889" s="6" t="str">
        <f>IF($D889&lt;=AM$4,"",IF(AND($D888=AM$4,$D889&gt;AM$4),$F888,AM888))</f>
        <v/>
      </c>
      <c r="AN889" s="6" t="str">
        <f>IF($D889&lt;=AN$4,"",IF(AND($D888=AN$4,$D889&gt;AN$4),$F888,AN888))</f>
        <v/>
      </c>
      <c r="AO889" s="6" t="str">
        <f>CONCATENATE(AG889," | ",AH889," | ",AI889," | ",AJ889," | ",AK889," | ",AL889," | ",AM889," | ",AN889)</f>
        <v xml:space="preserve">90MB1BJ0-C1BAY0 | 59MB1BJB-MB0A02S |  |  |  |  |  | </v>
      </c>
      <c r="AP889" s="6">
        <f>IF(TRIM(H889)="",100,J889)</f>
        <v>0</v>
      </c>
      <c r="AQ889" s="4"/>
      <c r="AR889" s="6" t="b">
        <f>NOT(TRIM(W889)&lt;&gt;"F")</f>
        <v>1</v>
      </c>
      <c r="AS889" s="6" t="str">
        <f>$B889&amp;" | "&amp;$AO889&amp;" | "&amp;IF(TRIM(H889)="","uniq"&amp;ROW(),TRIM(H889))</f>
        <v>461E | 90MB1BJ0-C1BAY0 | 59MB1BJB-MB0A02S |  |  |  |  |  |  | U3</v>
      </c>
      <c r="AT889" s="63">
        <f>IF(NOT(AR889),IF(TRIM($H889)="","Assembly","Phantom Alt"),VLOOKUP(F889,ZPCS04!B:G,6,0))</f>
        <v>1295</v>
      </c>
      <c r="AU889" s="7"/>
      <c r="AV889" s="38">
        <f ca="1">IF(TRIM($W889)="F",OFFSET($A$5,MATCH($AS889,$AS$5:$AS889,0)-1,0),$A889)</f>
        <v>888</v>
      </c>
      <c r="AW889" s="38">
        <f ca="1">IFERROR(OFFSET(ZPCS04!$A$1,MATCH(F889,ZPCS04!B:B,0)-1,0),100)</f>
        <v>2</v>
      </c>
      <c r="AX889" s="7"/>
      <c r="AY889" s="6" t="b">
        <f>SUMIF(AS:AS,AS889,AP:AP)=100</f>
        <v>1</v>
      </c>
      <c r="AZ889" s="6" t="b">
        <f>SUMIF(AS:AS,AS889,AE:AE)/COUNTIF(AS:AS,AS889)=AE889</f>
        <v>1</v>
      </c>
      <c r="BB889" s="38" t="str">
        <f ca="1">IF(AT889="Phantom Alt",MATCH($AS889,$AS$5:$AS889,0),IF(OR(OFFSET($AF889,0,8-COUNTBLANK($AG889:$AN889))=$F888,$BE889=$BE888),$BB888,""))</f>
        <v/>
      </c>
      <c r="BC889" s="41"/>
      <c r="BD889" s="55" t="str">
        <f>C889&amp;" | "&amp;F889</f>
        <v>90MB1BJ0-C1BAY0 | 12013-00220300</v>
      </c>
      <c r="BE889" s="55" t="str">
        <f ca="1">C889&amp;" | "&amp;OFFSET($AF889,0,8-COUNTBLANK($AG889:$AN889))</f>
        <v>90MB1BJ0-C1BAY0 | 59MB1BJB-MB0A02S</v>
      </c>
      <c r="BF889" s="57">
        <f ca="1">IFERROR(VLOOKUP($BE889,$BD$5:$BF888,3,0)*$AE889,VLOOKUP($C889,Demanda!$A:$B,2,0)*$AE889)*IF(AT889="Phantom Alt",$BC889,TRUE)</f>
        <v>1000</v>
      </c>
      <c r="BG889" s="57">
        <f ca="1">BF889*(AP889/100)</f>
        <v>0</v>
      </c>
      <c r="BH889" s="57">
        <f>SUMIF(Invoice!A:A,F889,Invoice!B:B)</f>
        <v>0</v>
      </c>
      <c r="BI889" s="57">
        <f ca="1">SUMIF(AS:AS,AS889,BG:BG)</f>
        <v>1000</v>
      </c>
      <c r="BJ889" s="57">
        <f ca="1">MIN((BI889-SUMIF($AS$5:AS888,AS889,$BJ$5:BJ888)),MAX(0,BH889-SUMIF($F$5:F888,F889,$BJ$5:BJ888)))</f>
        <v>0</v>
      </c>
      <c r="BK889" s="57">
        <f ca="1">(-SUMIF(AS:AS,AS889,BG:BG)+SUMIF(AS:AS,AS889,BJ:BJ))*(AP889=100)*AR889</f>
        <v>0</v>
      </c>
      <c r="BL889" s="57">
        <f ca="1">MAX(0,SUMIF(Invoice!A:A,F889,Invoice!B:B)-SUMIF(F:F,F889,BJ:BJ))*(COUNTIF(F:F,F889)=COUNTIF($F$5:F889,F889))</f>
        <v>0</v>
      </c>
    </row>
    <row r="890" spans="1:64" hidden="1">
      <c r="A890" s="43">
        <v>890</v>
      </c>
      <c r="B890" s="13" t="s">
        <v>147</v>
      </c>
      <c r="C890" s="13" t="s">
        <v>146</v>
      </c>
      <c r="D890" s="13">
        <v>2</v>
      </c>
      <c r="E890" s="13">
        <v>2930</v>
      </c>
      <c r="F890" s="71" t="s">
        <v>2042</v>
      </c>
      <c r="G890" s="71" t="s">
        <v>2043</v>
      </c>
      <c r="H890" s="13" t="s">
        <v>2039</v>
      </c>
      <c r="I890" s="13" t="s">
        <v>55</v>
      </c>
      <c r="J890" s="28">
        <v>0</v>
      </c>
      <c r="K890" s="13" t="s">
        <v>150</v>
      </c>
      <c r="L890" s="13" t="s">
        <v>53</v>
      </c>
      <c r="M890" s="13">
        <v>1</v>
      </c>
      <c r="O890" s="13">
        <v>1</v>
      </c>
      <c r="P890" s="13">
        <v>2</v>
      </c>
      <c r="Q890" s="13">
        <v>3</v>
      </c>
      <c r="R890" s="13" t="s">
        <v>73</v>
      </c>
      <c r="S890" s="13" t="s">
        <v>73</v>
      </c>
      <c r="T890" s="13">
        <v>44901</v>
      </c>
      <c r="U890" s="13">
        <v>2958465</v>
      </c>
      <c r="V890" s="13" t="s">
        <v>282</v>
      </c>
      <c r="W890" s="13" t="s">
        <v>145</v>
      </c>
      <c r="Y890" s="13" t="s">
        <v>143</v>
      </c>
      <c r="Z890" s="13">
        <v>7589154</v>
      </c>
      <c r="AA890" s="13">
        <v>1668</v>
      </c>
      <c r="AB890" s="13">
        <v>834</v>
      </c>
      <c r="AE890" s="51">
        <f>M890/O890</f>
        <v>1</v>
      </c>
      <c r="AG890" s="6" t="str">
        <f>C890</f>
        <v>90MB1BJ0-C1BAY0</v>
      </c>
      <c r="AH890" s="6" t="str">
        <f>IF($D890&lt;=AH$4,"",IF(AND($D889=AH$4,$D890&gt;AH$4),$F889,AH889))</f>
        <v>59MB1BJB-MB0A02S</v>
      </c>
      <c r="AI890" s="6" t="str">
        <f>IF($D890&lt;=AI$4,"",IF(AND($D889=AI$4,$D890&gt;AI$4),$F889,AI889))</f>
        <v/>
      </c>
      <c r="AJ890" s="6" t="str">
        <f>IF($D890&lt;=AJ$4,"",IF(AND($D889=AJ$4,$D890&gt;AJ$4),$F889,AJ889))</f>
        <v/>
      </c>
      <c r="AK890" s="6" t="str">
        <f>IF($D890&lt;=AK$4,"",IF(AND($D889=AK$4,$D890&gt;AK$4),$F889,AK889))</f>
        <v/>
      </c>
      <c r="AL890" s="6" t="str">
        <f>IF($D890&lt;=AL$4,"",IF(AND($D889=AL$4,$D890&gt;AL$4),$F889,AL889))</f>
        <v/>
      </c>
      <c r="AM890" s="6" t="str">
        <f>IF($D890&lt;=AM$4,"",IF(AND($D889=AM$4,$D890&gt;AM$4),$F889,AM889))</f>
        <v/>
      </c>
      <c r="AN890" s="6" t="str">
        <f>IF($D890&lt;=AN$4,"",IF(AND($D889=AN$4,$D890&gt;AN$4),$F889,AN889))</f>
        <v/>
      </c>
      <c r="AO890" s="6" t="str">
        <f>CONCATENATE(AG890," | ",AH890," | ",AI890," | ",AJ890," | ",AK890," | ",AL890," | ",AM890," | ",AN890)</f>
        <v xml:space="preserve">90MB1BJ0-C1BAY0 | 59MB1BJB-MB0A02S |  |  |  |  |  | </v>
      </c>
      <c r="AP890" s="6">
        <f>IF(TRIM(H890)="",100,J890)</f>
        <v>0</v>
      </c>
      <c r="AQ890" s="4"/>
      <c r="AR890" s="6" t="b">
        <f>NOT(TRIM(W890)&lt;&gt;"F")</f>
        <v>1</v>
      </c>
      <c r="AS890" s="6" t="str">
        <f>$B890&amp;" | "&amp;$AO890&amp;" | "&amp;IF(TRIM(H890)="","uniq"&amp;ROW(),TRIM(H890))</f>
        <v>461E | 90MB1BJ0-C1BAY0 | 59MB1BJB-MB0A02S |  |  |  |  |  |  | U3</v>
      </c>
      <c r="AT890" s="63">
        <f>IF(NOT(AR890),IF(TRIM($H890)="","Assembly","Phantom Alt"),VLOOKUP(F890,ZPCS04!B:G,6,0))</f>
        <v>1295</v>
      </c>
      <c r="AU890" s="7"/>
      <c r="AV890" s="38">
        <f ca="1">IF(TRIM($W890)="F",OFFSET($A$5,MATCH($AS890,$AS$5:$AS890,0)-1,0),$A890)</f>
        <v>888</v>
      </c>
      <c r="AW890" s="38">
        <f ca="1">IFERROR(OFFSET(ZPCS04!$A$1,MATCH(F890,ZPCS04!B:B,0)-1,0),100)</f>
        <v>2</v>
      </c>
      <c r="AX890" s="7"/>
      <c r="AY890" s="6" t="b">
        <f>SUMIF(AS:AS,AS890,AP:AP)=100</f>
        <v>1</v>
      </c>
      <c r="AZ890" s="6" t="b">
        <f>SUMIF(AS:AS,AS890,AE:AE)/COUNTIF(AS:AS,AS890)=AE890</f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>C890&amp;" | "&amp;F890</f>
        <v>90MB1BJ0-C1BAY0 | 12013-00220600</v>
      </c>
      <c r="BE890" s="55" t="str">
        <f ca="1">C890&amp;" | "&amp;OFFSET($AF890,0,8-COUNTBLANK($AG890:$AN890))</f>
        <v>90MB1BJ0-C1BAY0 | 59MB1BJB-MB0A02S</v>
      </c>
      <c r="BF890" s="57">
        <f ca="1">IFERROR(VLOOKUP($BE890,$BD$5:$BF889,3,0)*$AE890,VLOOKUP($C890,Demanda!$A:$B,2,0)*$AE890)*IF(AT890="Phantom Alt",$BC890,TRUE)</f>
        <v>1000</v>
      </c>
      <c r="BG890" s="57">
        <f ca="1">BF890*(AP890/100)</f>
        <v>0</v>
      </c>
      <c r="BH890" s="57">
        <f>SUMIF(Invoice!A:A,F890,Invoice!B:B)</f>
        <v>0</v>
      </c>
      <c r="BI890" s="57">
        <f ca="1">SUMIF(AS:AS,AS890,BG:BG)</f>
        <v>1000</v>
      </c>
      <c r="BJ890" s="57">
        <f ca="1">MIN((BI890-SUMIF($AS$5:AS889,AS890,$BJ$5:BJ889)),MAX(0,BH890-SUMIF($F$5:F889,F890,$BJ$5:BJ889)))</f>
        <v>0</v>
      </c>
      <c r="BK890" s="57">
        <f ca="1">(-SUMIF(AS:AS,AS890,BG:BG)+SUMIF(AS:AS,AS890,BJ:BJ))*(AP890=100)*AR890</f>
        <v>0</v>
      </c>
      <c r="BL890" s="57">
        <f ca="1">MAX(0,SUMIF(Invoice!A:A,F890,Invoice!B:B)-SUMIF(F:F,F890,BJ:BJ))*(COUNTIF(F:F,F890)=COUNTIF($F$5:F890,F890))</f>
        <v>0</v>
      </c>
    </row>
    <row r="891" spans="1:64" hidden="1">
      <c r="A891" s="43">
        <v>891</v>
      </c>
      <c r="B891" s="13" t="s">
        <v>147</v>
      </c>
      <c r="C891" s="13" t="s">
        <v>146</v>
      </c>
      <c r="D891" s="13">
        <v>2</v>
      </c>
      <c r="E891" s="13">
        <v>2940</v>
      </c>
      <c r="F891" s="71" t="s">
        <v>2044</v>
      </c>
      <c r="G891" s="71" t="s">
        <v>2045</v>
      </c>
      <c r="H891" s="13" t="s">
        <v>2046</v>
      </c>
      <c r="I891" s="13" t="s">
        <v>54</v>
      </c>
      <c r="J891" s="28">
        <v>100</v>
      </c>
      <c r="K891" s="13" t="s">
        <v>150</v>
      </c>
      <c r="L891" s="13" t="s">
        <v>53</v>
      </c>
      <c r="M891" s="13">
        <v>1</v>
      </c>
      <c r="N891" s="13">
        <v>1</v>
      </c>
      <c r="O891" s="13">
        <v>1</v>
      </c>
      <c r="P891" s="13">
        <v>2</v>
      </c>
      <c r="Q891" s="13">
        <v>1</v>
      </c>
      <c r="R891" s="13" t="s">
        <v>73</v>
      </c>
      <c r="S891" s="13" t="s">
        <v>73</v>
      </c>
      <c r="T891" s="13">
        <v>44901</v>
      </c>
      <c r="U891" s="13">
        <v>2958465</v>
      </c>
      <c r="V891" s="13" t="s">
        <v>282</v>
      </c>
      <c r="W891" s="13" t="s">
        <v>145</v>
      </c>
      <c r="Y891" s="13" t="s">
        <v>143</v>
      </c>
      <c r="Z891" s="13">
        <v>7589154</v>
      </c>
      <c r="AA891" s="13">
        <v>1670</v>
      </c>
      <c r="AB891" s="13">
        <v>835</v>
      </c>
      <c r="AE891" s="51">
        <f>M891/O891</f>
        <v>1</v>
      </c>
      <c r="AG891" s="6" t="str">
        <f>C891</f>
        <v>90MB1BJ0-C1BAY0</v>
      </c>
      <c r="AH891" s="6" t="str">
        <f>IF($D891&lt;=AH$4,"",IF(AND($D890=AH$4,$D891&gt;AH$4),$F890,AH890))</f>
        <v>59MB1BJB-MB0A02S</v>
      </c>
      <c r="AI891" s="6" t="str">
        <f>IF($D891&lt;=AI$4,"",IF(AND($D890=AI$4,$D891&gt;AI$4),$F890,AI890))</f>
        <v/>
      </c>
      <c r="AJ891" s="6" t="str">
        <f>IF($D891&lt;=AJ$4,"",IF(AND($D890=AJ$4,$D891&gt;AJ$4),$F890,AJ890))</f>
        <v/>
      </c>
      <c r="AK891" s="6" t="str">
        <f>IF($D891&lt;=AK$4,"",IF(AND($D890=AK$4,$D891&gt;AK$4),$F890,AK890))</f>
        <v/>
      </c>
      <c r="AL891" s="6" t="str">
        <f>IF($D891&lt;=AL$4,"",IF(AND($D890=AL$4,$D891&gt;AL$4),$F890,AL890))</f>
        <v/>
      </c>
      <c r="AM891" s="6" t="str">
        <f>IF($D891&lt;=AM$4,"",IF(AND($D890=AM$4,$D891&gt;AM$4),$F890,AM890))</f>
        <v/>
      </c>
      <c r="AN891" s="6" t="str">
        <f>IF($D891&lt;=AN$4,"",IF(AND($D890=AN$4,$D891&gt;AN$4),$F890,AN890))</f>
        <v/>
      </c>
      <c r="AO891" s="6" t="str">
        <f>CONCATENATE(AG891," | ",AH891," | ",AI891," | ",AJ891," | ",AK891," | ",AL891," | ",AM891," | ",AN891)</f>
        <v xml:space="preserve">90MB1BJ0-C1BAY0 | 59MB1BJB-MB0A02S |  |  |  |  |  | </v>
      </c>
      <c r="AP891" s="6">
        <f>IF(TRIM(H891)="",100,J891)</f>
        <v>100</v>
      </c>
      <c r="AQ891" s="4"/>
      <c r="AR891" s="6" t="b">
        <f>NOT(TRIM(W891)&lt;&gt;"F")</f>
        <v>1</v>
      </c>
      <c r="AS891" s="6" t="str">
        <f>$B891&amp;" | "&amp;$AO891&amp;" | "&amp;IF(TRIM(H891)="","uniq"&amp;ROW(),TRIM(H891))</f>
        <v>461E | 90MB1BJ0-C1BAY0 | 59MB1BJB-MB0A02S |  |  |  |  |  |  | U4</v>
      </c>
      <c r="AT891" s="63">
        <f>IF(NOT(AR891),IF(TRIM($H891)="","Assembly","Phantom Alt"),VLOOKUP(F891,ZPCS04!B:G,6,0))</f>
        <v>1012</v>
      </c>
      <c r="AU891" s="7"/>
      <c r="AV891" s="38">
        <f ca="1">IF(TRIM($W891)="F",OFFSET($A$5,MATCH($AS891,$AS$5:$AS891,0)-1,0),$A891)</f>
        <v>891</v>
      </c>
      <c r="AW891" s="38">
        <f ca="1">IFERROR(OFFSET(ZPCS04!$A$1,MATCH(F891,ZPCS04!B:B,0)-1,0),100)</f>
        <v>1.9999999846500001</v>
      </c>
      <c r="AX891" s="7"/>
      <c r="AY891" s="6" t="b">
        <f>SUMIF(AS:AS,AS891,AP:AP)=100</f>
        <v>1</v>
      </c>
      <c r="AZ891" s="6" t="b">
        <f>SUMIF(AS:AS,AS891,AE:AE)/COUNTIF(AS:AS,AS891)=AE891</f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>C891&amp;" | "&amp;F891</f>
        <v>90MB1BJ0-C1BAY0 | 12014-00802500</v>
      </c>
      <c r="BE891" s="55" t="str">
        <f ca="1">C891&amp;" | "&amp;OFFSET($AF891,0,8-COUNTBLANK($AG891:$AN891))</f>
        <v>90MB1BJ0-C1BAY0 | 59MB1BJB-MB0A02S</v>
      </c>
      <c r="BF891" s="57">
        <f ca="1">IFERROR(VLOOKUP($BE891,$BD$5:$BF890,3,0)*$AE891,VLOOKUP($C891,Demanda!$A:$B,2,0)*$AE891)*IF(AT891="Phantom Alt",$BC891,TRUE)</f>
        <v>1000</v>
      </c>
      <c r="BG891" s="57">
        <f ca="1">BF891*(AP891/100)</f>
        <v>1000</v>
      </c>
      <c r="BH891" s="57">
        <f>SUMIF(Invoice!A:A,F891,Invoice!B:B)</f>
        <v>1535</v>
      </c>
      <c r="BI891" s="57">
        <f ca="1">SUMIF(AS:AS,AS891,BG:BG)</f>
        <v>1000</v>
      </c>
      <c r="BJ891" s="57">
        <f ca="1">MIN((BI891-SUMIF($AS$5:AS890,AS891,$BJ$5:BJ890)),MAX(0,BH891-SUMIF($F$5:F890,F891,$BJ$5:BJ890)))</f>
        <v>1000</v>
      </c>
      <c r="BK891" s="57">
        <f ca="1">(-SUMIF(AS:AS,AS891,BG:BG)+SUMIF(AS:AS,AS891,BJ:BJ))*(AP891=100)*AR891</f>
        <v>0</v>
      </c>
      <c r="BL891" s="57">
        <f ca="1">MAX(0,SUMIF(Invoice!A:A,F891,Invoice!B:B)-SUMIF(F:F,F891,BJ:BJ))*(COUNTIF(F:F,F891)=COUNTIF($F$5:F891,F891))</f>
        <v>535</v>
      </c>
    </row>
    <row r="892" spans="1:64" hidden="1">
      <c r="A892" s="43">
        <v>892</v>
      </c>
      <c r="B892" s="13" t="s">
        <v>147</v>
      </c>
      <c r="C892" s="13" t="s">
        <v>146</v>
      </c>
      <c r="D892" s="13">
        <v>2</v>
      </c>
      <c r="E892" s="13">
        <v>2940</v>
      </c>
      <c r="F892" s="71" t="s">
        <v>2047</v>
      </c>
      <c r="G892" s="71" t="s">
        <v>2048</v>
      </c>
      <c r="H892" s="13" t="s">
        <v>2046</v>
      </c>
      <c r="I892" s="13" t="s">
        <v>55</v>
      </c>
      <c r="J892" s="28">
        <v>0</v>
      </c>
      <c r="K892" s="13" t="s">
        <v>150</v>
      </c>
      <c r="L892" s="13" t="s">
        <v>53</v>
      </c>
      <c r="M892" s="13">
        <v>1</v>
      </c>
      <c r="O892" s="13">
        <v>1</v>
      </c>
      <c r="P892" s="13">
        <v>2</v>
      </c>
      <c r="Q892" s="13">
        <v>2</v>
      </c>
      <c r="R892" s="13" t="s">
        <v>73</v>
      </c>
      <c r="S892" s="13" t="s">
        <v>73</v>
      </c>
      <c r="T892" s="13">
        <v>44901</v>
      </c>
      <c r="U892" s="13">
        <v>2958465</v>
      </c>
      <c r="V892" s="13" t="s">
        <v>282</v>
      </c>
      <c r="W892" s="13" t="s">
        <v>145</v>
      </c>
      <c r="Y892" s="13" t="s">
        <v>143</v>
      </c>
      <c r="Z892" s="13">
        <v>7589154</v>
      </c>
      <c r="AA892" s="13">
        <v>1672</v>
      </c>
      <c r="AB892" s="13">
        <v>836</v>
      </c>
      <c r="AE892" s="51">
        <f>M892/O892</f>
        <v>1</v>
      </c>
      <c r="AG892" s="6" t="str">
        <f>C892</f>
        <v>90MB1BJ0-C1BAY0</v>
      </c>
      <c r="AH892" s="6" t="str">
        <f>IF($D892&lt;=AH$4,"",IF(AND($D891=AH$4,$D892&gt;AH$4),$F891,AH891))</f>
        <v>59MB1BJB-MB0A02S</v>
      </c>
      <c r="AI892" s="6" t="str">
        <f>IF($D892&lt;=AI$4,"",IF(AND($D891=AI$4,$D892&gt;AI$4),$F891,AI891))</f>
        <v/>
      </c>
      <c r="AJ892" s="6" t="str">
        <f>IF($D892&lt;=AJ$4,"",IF(AND($D891=AJ$4,$D892&gt;AJ$4),$F891,AJ891))</f>
        <v/>
      </c>
      <c r="AK892" s="6" t="str">
        <f>IF($D892&lt;=AK$4,"",IF(AND($D891=AK$4,$D892&gt;AK$4),$F891,AK891))</f>
        <v/>
      </c>
      <c r="AL892" s="6" t="str">
        <f>IF($D892&lt;=AL$4,"",IF(AND($D891=AL$4,$D892&gt;AL$4),$F891,AL891))</f>
        <v/>
      </c>
      <c r="AM892" s="6" t="str">
        <f>IF($D892&lt;=AM$4,"",IF(AND($D891=AM$4,$D892&gt;AM$4),$F891,AM891))</f>
        <v/>
      </c>
      <c r="AN892" s="6" t="str">
        <f>IF($D892&lt;=AN$4,"",IF(AND($D891=AN$4,$D892&gt;AN$4),$F891,AN891))</f>
        <v/>
      </c>
      <c r="AO892" s="6" t="str">
        <f>CONCATENATE(AG892," | ",AH892," | ",AI892," | ",AJ892," | ",AK892," | ",AL892," | ",AM892," | ",AN892)</f>
        <v xml:space="preserve">90MB1BJ0-C1BAY0 | 59MB1BJB-MB0A02S |  |  |  |  |  | </v>
      </c>
      <c r="AP892" s="6">
        <f>IF(TRIM(H892)="",100,J892)</f>
        <v>0</v>
      </c>
      <c r="AQ892" s="4"/>
      <c r="AR892" s="6" t="b">
        <f>NOT(TRIM(W892)&lt;&gt;"F")</f>
        <v>1</v>
      </c>
      <c r="AS892" s="6" t="str">
        <f>$B892&amp;" | "&amp;$AO892&amp;" | "&amp;IF(TRIM(H892)="","uniq"&amp;ROW(),TRIM(H892))</f>
        <v>461E | 90MB1BJ0-C1BAY0 | 59MB1BJB-MB0A02S |  |  |  |  |  |  | U4</v>
      </c>
      <c r="AT892" s="63">
        <f>IF(NOT(AR892),IF(TRIM($H892)="","Assembly","Phantom Alt"),VLOOKUP(F892,ZPCS04!B:G,6,0))</f>
        <v>1012</v>
      </c>
      <c r="AU892" s="7"/>
      <c r="AV892" s="38">
        <f ca="1">IF(TRIM($W892)="F",OFFSET($A$5,MATCH($AS892,$AS$5:$AS892,0)-1,0),$A892)</f>
        <v>891</v>
      </c>
      <c r="AW892" s="38">
        <f ca="1">IFERROR(OFFSET(ZPCS04!$A$1,MATCH(F892,ZPCS04!B:B,0)-1,0),100)</f>
        <v>2</v>
      </c>
      <c r="AX892" s="7"/>
      <c r="AY892" s="6" t="b">
        <f>SUMIF(AS:AS,AS892,AP:AP)=100</f>
        <v>1</v>
      </c>
      <c r="AZ892" s="6" t="b">
        <f>SUMIF(AS:AS,AS892,AE:AE)/COUNTIF(AS:AS,AS892)=AE892</f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>C892&amp;" | "&amp;F892</f>
        <v>90MB1BJ0-C1BAY0 | 12014-00805700</v>
      </c>
      <c r="BE892" s="55" t="str">
        <f ca="1">C892&amp;" | "&amp;OFFSET($AF892,0,8-COUNTBLANK($AG892:$AN892))</f>
        <v>90MB1BJ0-C1BAY0 | 59MB1BJB-MB0A02S</v>
      </c>
      <c r="BF892" s="57">
        <f ca="1">IFERROR(VLOOKUP($BE892,$BD$5:$BF891,3,0)*$AE892,VLOOKUP($C892,Demanda!$A:$B,2,0)*$AE892)*IF(AT892="Phantom Alt",$BC892,TRUE)</f>
        <v>1000</v>
      </c>
      <c r="BG892" s="57">
        <f ca="1">BF892*(AP892/100)</f>
        <v>0</v>
      </c>
      <c r="BH892" s="57">
        <f>SUMIF(Invoice!A:A,F892,Invoice!B:B)</f>
        <v>0</v>
      </c>
      <c r="BI892" s="57">
        <f ca="1">SUMIF(AS:AS,AS892,BG:BG)</f>
        <v>1000</v>
      </c>
      <c r="BJ892" s="57">
        <f ca="1">MIN((BI892-SUMIF($AS$5:AS891,AS892,$BJ$5:BJ891)),MAX(0,BH892-SUMIF($F$5:F891,F892,$BJ$5:BJ891)))</f>
        <v>0</v>
      </c>
      <c r="BK892" s="57">
        <f ca="1">(-SUMIF(AS:AS,AS892,BG:BG)+SUMIF(AS:AS,AS892,BJ:BJ))*(AP892=100)*AR892</f>
        <v>0</v>
      </c>
      <c r="BL892" s="57">
        <f ca="1">MAX(0,SUMIF(Invoice!A:A,F892,Invoice!B:B)-SUMIF(F:F,F892,BJ:BJ))*(COUNTIF(F:F,F892)=COUNTIF($F$5:F892,F892))</f>
        <v>0</v>
      </c>
    </row>
    <row r="893" spans="1:64" hidden="1">
      <c r="A893" s="43">
        <v>893</v>
      </c>
      <c r="B893" s="13" t="s">
        <v>147</v>
      </c>
      <c r="C893" s="13" t="s">
        <v>146</v>
      </c>
      <c r="D893" s="13">
        <v>2</v>
      </c>
      <c r="E893" s="13">
        <v>2950</v>
      </c>
      <c r="F893" s="71" t="s">
        <v>2049</v>
      </c>
      <c r="G893" s="71" t="s">
        <v>2050</v>
      </c>
      <c r="I893" s="13" t="s">
        <v>54</v>
      </c>
      <c r="J893" s="28">
        <v>0</v>
      </c>
      <c r="K893" s="13" t="s">
        <v>150</v>
      </c>
      <c r="L893" s="13" t="s">
        <v>53</v>
      </c>
      <c r="M893" s="13">
        <v>1</v>
      </c>
      <c r="N893" s="13">
        <v>1</v>
      </c>
      <c r="O893" s="13">
        <v>1</v>
      </c>
      <c r="R893" s="13" t="s">
        <v>73</v>
      </c>
      <c r="S893" s="13" t="s">
        <v>73</v>
      </c>
      <c r="T893" s="13">
        <v>44901</v>
      </c>
      <c r="U893" s="13">
        <v>2958465</v>
      </c>
      <c r="V893" s="13" t="s">
        <v>282</v>
      </c>
      <c r="W893" s="13" t="s">
        <v>145</v>
      </c>
      <c r="Y893" s="13" t="s">
        <v>143</v>
      </c>
      <c r="Z893" s="13">
        <v>7589154</v>
      </c>
      <c r="AA893" s="13">
        <v>1674</v>
      </c>
      <c r="AB893" s="13">
        <v>837</v>
      </c>
      <c r="AE893" s="51">
        <f>M893/O893</f>
        <v>1</v>
      </c>
      <c r="AG893" s="6" t="str">
        <f>C893</f>
        <v>90MB1BJ0-C1BAY0</v>
      </c>
      <c r="AH893" s="6" t="str">
        <f>IF($D893&lt;=AH$4,"",IF(AND($D892=AH$4,$D893&gt;AH$4),$F892,AH892))</f>
        <v>59MB1BJB-MB0A02S</v>
      </c>
      <c r="AI893" s="6" t="str">
        <f>IF($D893&lt;=AI$4,"",IF(AND($D892=AI$4,$D893&gt;AI$4),$F892,AI892))</f>
        <v/>
      </c>
      <c r="AJ893" s="6" t="str">
        <f>IF($D893&lt;=AJ$4,"",IF(AND($D892=AJ$4,$D893&gt;AJ$4),$F892,AJ892))</f>
        <v/>
      </c>
      <c r="AK893" s="6" t="str">
        <f>IF($D893&lt;=AK$4,"",IF(AND($D892=AK$4,$D893&gt;AK$4),$F892,AK892))</f>
        <v/>
      </c>
      <c r="AL893" s="6" t="str">
        <f>IF($D893&lt;=AL$4,"",IF(AND($D892=AL$4,$D893&gt;AL$4),$F892,AL892))</f>
        <v/>
      </c>
      <c r="AM893" s="6" t="str">
        <f>IF($D893&lt;=AM$4,"",IF(AND($D892=AM$4,$D893&gt;AM$4),$F892,AM892))</f>
        <v/>
      </c>
      <c r="AN893" s="6" t="str">
        <f>IF($D893&lt;=AN$4,"",IF(AND($D892=AN$4,$D893&gt;AN$4),$F892,AN892))</f>
        <v/>
      </c>
      <c r="AO893" s="6" t="str">
        <f>CONCATENATE(AG893," | ",AH893," | ",AI893," | ",AJ893," | ",AK893," | ",AL893," | ",AM893," | ",AN893)</f>
        <v xml:space="preserve">90MB1BJ0-C1BAY0 | 59MB1BJB-MB0A02S |  |  |  |  |  | </v>
      </c>
      <c r="AP893" s="6">
        <f>IF(TRIM(H893)="",100,J893)</f>
        <v>100</v>
      </c>
      <c r="AQ893" s="4"/>
      <c r="AR893" s="6" t="b">
        <f>NOT(TRIM(W893)&lt;&gt;"F")</f>
        <v>1</v>
      </c>
      <c r="AS893" s="6" t="str">
        <f>$B893&amp;" | "&amp;$AO893&amp;" | "&amp;IF(TRIM(H893)="","uniq"&amp;ROW(),TRIM(H893))</f>
        <v>461E | 90MB1BJ0-C1BAY0 | 59MB1BJB-MB0A02S |  |  |  |  |  |  | uniq893</v>
      </c>
      <c r="AT893" s="63">
        <f>IF(NOT(AR893),IF(TRIM($H893)="","Assembly","Phantom Alt"),VLOOKUP(F893,ZPCS04!B:G,6,0))</f>
        <v>152</v>
      </c>
      <c r="AU893" s="7"/>
      <c r="AV893" s="38">
        <f ca="1">IF(TRIM($W893)="F",OFFSET($A$5,MATCH($AS893,$AS$5:$AS893,0)-1,0),$A893)</f>
        <v>893</v>
      </c>
      <c r="AW893" s="38">
        <f ca="1">IFERROR(OFFSET(ZPCS04!$A$1,MATCH(F893,ZPCS04!B:B,0)-1,0),100)</f>
        <v>1.9999999879999999</v>
      </c>
      <c r="AX893" s="7"/>
      <c r="AY893" s="6" t="b">
        <f>SUMIF(AS:AS,AS893,AP:AP)=100</f>
        <v>1</v>
      </c>
      <c r="AZ893" s="6" t="b">
        <f>SUMIF(AS:AS,AS893,AE:AE)/COUNTIF(AS:AS,AS893)=AE893</f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>C893&amp;" | "&amp;F893</f>
        <v>90MB1BJ0-C1BAY0 | 12014-01060000</v>
      </c>
      <c r="BE893" s="55" t="str">
        <f ca="1">C893&amp;" | "&amp;OFFSET($AF893,0,8-COUNTBLANK($AG893:$AN893))</f>
        <v>90MB1BJ0-C1BAY0 | 59MB1BJB-MB0A02S</v>
      </c>
      <c r="BF893" s="57">
        <f ca="1">IFERROR(VLOOKUP($BE893,$BD$5:$BF892,3,0)*$AE893,VLOOKUP($C893,Demanda!$A:$B,2,0)*$AE893)*IF(AT893="Phantom Alt",$BC893,TRUE)</f>
        <v>1000</v>
      </c>
      <c r="BG893" s="57">
        <f ca="1">BF893*(AP893/100)</f>
        <v>1000</v>
      </c>
      <c r="BH893" s="57">
        <f>SUMIF(Invoice!A:A,F893,Invoice!B:B)</f>
        <v>1200</v>
      </c>
      <c r="BI893" s="57">
        <f ca="1">SUMIF(AS:AS,AS893,BG:BG)</f>
        <v>1000</v>
      </c>
      <c r="BJ893" s="57">
        <f ca="1">MIN((BI893-SUMIF($AS$5:AS892,AS893,$BJ$5:BJ892)),MAX(0,BH893-SUMIF($F$5:F892,F893,$BJ$5:BJ892)))</f>
        <v>1000</v>
      </c>
      <c r="BK893" s="57">
        <f ca="1">(-SUMIF(AS:AS,AS893,BG:BG)+SUMIF(AS:AS,AS893,BJ:BJ))*(AP893=100)*AR893</f>
        <v>0</v>
      </c>
      <c r="BL893" s="57">
        <f ca="1">MAX(0,SUMIF(Invoice!A:A,F893,Invoice!B:B)-SUMIF(F:F,F893,BJ:BJ))*(COUNTIF(F:F,F893)=COUNTIF($F$5:F893,F893))</f>
        <v>200</v>
      </c>
    </row>
    <row r="894" spans="1:64" hidden="1">
      <c r="A894" s="43">
        <v>896</v>
      </c>
      <c r="B894" s="13" t="s">
        <v>147</v>
      </c>
      <c r="C894" s="13" t="s">
        <v>146</v>
      </c>
      <c r="D894" s="13">
        <v>2</v>
      </c>
      <c r="E894" s="13">
        <v>2960</v>
      </c>
      <c r="F894" s="71" t="s">
        <v>2056</v>
      </c>
      <c r="G894" s="71" t="s">
        <v>2057</v>
      </c>
      <c r="H894" s="13" t="s">
        <v>2053</v>
      </c>
      <c r="I894" s="13" t="s">
        <v>54</v>
      </c>
      <c r="J894" s="28">
        <v>100</v>
      </c>
      <c r="K894" s="13" t="s">
        <v>150</v>
      </c>
      <c r="L894" s="13" t="s">
        <v>53</v>
      </c>
      <c r="M894" s="13">
        <v>1</v>
      </c>
      <c r="N894" s="13">
        <v>1</v>
      </c>
      <c r="O894" s="13">
        <v>1</v>
      </c>
      <c r="P894" s="13">
        <v>2</v>
      </c>
      <c r="Q894" s="13">
        <v>1</v>
      </c>
      <c r="R894" s="13" t="s">
        <v>73</v>
      </c>
      <c r="S894" s="13" t="s">
        <v>73</v>
      </c>
      <c r="T894" s="13">
        <v>44901</v>
      </c>
      <c r="U894" s="13">
        <v>2958465</v>
      </c>
      <c r="V894" s="13" t="s">
        <v>282</v>
      </c>
      <c r="W894" s="13" t="s">
        <v>145</v>
      </c>
      <c r="Y894" s="13" t="s">
        <v>143</v>
      </c>
      <c r="Z894" s="13">
        <v>7589154</v>
      </c>
      <c r="AA894" s="13">
        <v>1676</v>
      </c>
      <c r="AB894" s="13">
        <v>838</v>
      </c>
      <c r="AE894" s="51">
        <f>M894/O894</f>
        <v>1</v>
      </c>
      <c r="AG894" s="6" t="str">
        <f>C894</f>
        <v>90MB1BJ0-C1BAY0</v>
      </c>
      <c r="AH894" s="6" t="str">
        <f>IF($D894&lt;=AH$4,"",IF(AND($D893=AH$4,$D894&gt;AH$4),$F893,AH893))</f>
        <v>59MB1BJB-MB0A02S</v>
      </c>
      <c r="AI894" s="6" t="str">
        <f>IF($D894&lt;=AI$4,"",IF(AND($D893=AI$4,$D894&gt;AI$4),$F893,AI893))</f>
        <v/>
      </c>
      <c r="AJ894" s="6" t="str">
        <f>IF($D894&lt;=AJ$4,"",IF(AND($D893=AJ$4,$D894&gt;AJ$4),$F893,AJ893))</f>
        <v/>
      </c>
      <c r="AK894" s="6" t="str">
        <f>IF($D894&lt;=AK$4,"",IF(AND($D893=AK$4,$D894&gt;AK$4),$F893,AK893))</f>
        <v/>
      </c>
      <c r="AL894" s="6" t="str">
        <f>IF($D894&lt;=AL$4,"",IF(AND($D893=AL$4,$D894&gt;AL$4),$F893,AL893))</f>
        <v/>
      </c>
      <c r="AM894" s="6" t="str">
        <f>IF($D894&lt;=AM$4,"",IF(AND($D893=AM$4,$D894&gt;AM$4),$F893,AM893))</f>
        <v/>
      </c>
      <c r="AN894" s="6" t="str">
        <f>IF($D894&lt;=AN$4,"",IF(AND($D893=AN$4,$D894&gt;AN$4),$F893,AN893))</f>
        <v/>
      </c>
      <c r="AO894" s="6" t="str">
        <f>CONCATENATE(AG894," | ",AH894," | ",AI894," | ",AJ894," | ",AK894," | ",AL894," | ",AM894," | ",AN894)</f>
        <v xml:space="preserve">90MB1BJ0-C1BAY0 | 59MB1BJB-MB0A02S |  |  |  |  |  | </v>
      </c>
      <c r="AP894" s="6">
        <f>IF(TRIM(H894)="",100,J894)</f>
        <v>100</v>
      </c>
      <c r="AQ894" s="4"/>
      <c r="AR894" s="6" t="b">
        <f>NOT(TRIM(W894)&lt;&gt;"F")</f>
        <v>1</v>
      </c>
      <c r="AS894" s="6" t="str">
        <f>$B894&amp;" | "&amp;$AO894&amp;" | "&amp;IF(TRIM(H894)="","uniq"&amp;ROW(),TRIM(H894))</f>
        <v>461E | 90MB1BJ0-C1BAY0 | 59MB1BJB-MB0A02S |  |  |  |  |  |  | U6</v>
      </c>
      <c r="AT894" s="63">
        <f>IF(NOT(AR894),IF(TRIM($H894)="","Assembly","Phantom Alt"),VLOOKUP(F894,ZPCS04!B:G,6,0))</f>
        <v>917</v>
      </c>
      <c r="AU894" s="7"/>
      <c r="AV894" s="38">
        <f ca="1">IF(TRIM($W894)="F",OFFSET($A$5,MATCH($AS894,$AS$5:$AS894,0)-1,0),$A894)</f>
        <v>896</v>
      </c>
      <c r="AW894" s="38">
        <f ca="1">IFERROR(OFFSET(ZPCS04!$A$1,MATCH(F894,ZPCS04!B:B,0)-1,0),100)</f>
        <v>1.9999999874999999</v>
      </c>
      <c r="AX894" s="7"/>
      <c r="AY894" s="6" t="b">
        <f>SUMIF(AS:AS,AS894,AP:AP)=100</f>
        <v>1</v>
      </c>
      <c r="AZ894" s="6" t="b">
        <f>SUMIF(AS:AS,AS894,AE:AE)/COUNTIF(AS:AS,AS894)=AE894</f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>C894&amp;" | "&amp;F894</f>
        <v>90MB1BJ0-C1BAY0 | 12015-00035400</v>
      </c>
      <c r="BE894" s="55" t="str">
        <f ca="1">C894&amp;" | "&amp;OFFSET($AF894,0,8-COUNTBLANK($AG894:$AN894))</f>
        <v>90MB1BJ0-C1BAY0 | 59MB1BJB-MB0A02S</v>
      </c>
      <c r="BF894" s="57">
        <f ca="1">IFERROR(VLOOKUP($BE894,$BD$5:$BF893,3,0)*$AE894,VLOOKUP($C894,Demanda!$A:$B,2,0)*$AE894)*IF(AT894="Phantom Alt",$BC894,TRUE)</f>
        <v>1000</v>
      </c>
      <c r="BG894" s="57">
        <f ca="1">BF894*(AP894/100)</f>
        <v>1000</v>
      </c>
      <c r="BH894" s="57">
        <f>SUMIF(Invoice!A:A,F894,Invoice!B:B)</f>
        <v>1250</v>
      </c>
      <c r="BI894" s="57">
        <f ca="1">SUMIF(AS:AS,AS894,BG:BG)</f>
        <v>1000</v>
      </c>
      <c r="BJ894" s="57">
        <f ca="1">MIN((BI894-SUMIF($AS$5:AS893,AS894,$BJ$5:BJ893)),MAX(0,BH894-SUMIF($F$5:F893,F894,$BJ$5:BJ893)))</f>
        <v>1000</v>
      </c>
      <c r="BK894" s="57">
        <f ca="1">(-SUMIF(AS:AS,AS894,BG:BG)+SUMIF(AS:AS,AS894,BJ:BJ))*(AP894=100)*AR894</f>
        <v>0</v>
      </c>
      <c r="BL894" s="57">
        <f ca="1">MAX(0,SUMIF(Invoice!A:A,F894,Invoice!B:B)-SUMIF(F:F,F894,BJ:BJ))*(COUNTIF(F:F,F894)=COUNTIF($F$5:F894,F894))</f>
        <v>250</v>
      </c>
    </row>
    <row r="895" spans="1:64" hidden="1">
      <c r="A895" s="43">
        <v>894</v>
      </c>
      <c r="B895" s="13" t="s">
        <v>147</v>
      </c>
      <c r="C895" s="13" t="s">
        <v>146</v>
      </c>
      <c r="D895" s="13">
        <v>2</v>
      </c>
      <c r="E895" s="13">
        <v>2960</v>
      </c>
      <c r="F895" s="71" t="s">
        <v>2051</v>
      </c>
      <c r="G895" s="71" t="s">
        <v>2052</v>
      </c>
      <c r="H895" s="13" t="s">
        <v>2053</v>
      </c>
      <c r="I895" s="13" t="s">
        <v>55</v>
      </c>
      <c r="J895" s="28">
        <v>0</v>
      </c>
      <c r="K895" s="13" t="s">
        <v>150</v>
      </c>
      <c r="L895" s="13" t="s">
        <v>53</v>
      </c>
      <c r="M895" s="13">
        <v>1</v>
      </c>
      <c r="O895" s="13">
        <v>1</v>
      </c>
      <c r="P895" s="13">
        <v>2</v>
      </c>
      <c r="Q895" s="13">
        <v>2</v>
      </c>
      <c r="R895" s="13" t="s">
        <v>73</v>
      </c>
      <c r="S895" s="13" t="s">
        <v>73</v>
      </c>
      <c r="T895" s="13">
        <v>44901</v>
      </c>
      <c r="U895" s="13">
        <v>2958465</v>
      </c>
      <c r="V895" s="13" t="s">
        <v>282</v>
      </c>
      <c r="W895" s="13" t="s">
        <v>145</v>
      </c>
      <c r="Y895" s="13" t="s">
        <v>143</v>
      </c>
      <c r="Z895" s="13">
        <v>7589154</v>
      </c>
      <c r="AA895" s="13">
        <v>1678</v>
      </c>
      <c r="AB895" s="13">
        <v>839</v>
      </c>
      <c r="AE895" s="51">
        <f>M895/O895</f>
        <v>1</v>
      </c>
      <c r="AG895" s="6" t="str">
        <f>C895</f>
        <v>90MB1BJ0-C1BAY0</v>
      </c>
      <c r="AH895" s="6" t="str">
        <f>IF($D895&lt;=AH$4,"",IF(AND($D894=AH$4,$D895&gt;AH$4),$F894,AH894))</f>
        <v>59MB1BJB-MB0A02S</v>
      </c>
      <c r="AI895" s="6" t="str">
        <f>IF($D895&lt;=AI$4,"",IF(AND($D894=AI$4,$D895&gt;AI$4),$F894,AI894))</f>
        <v/>
      </c>
      <c r="AJ895" s="6" t="str">
        <f>IF($D895&lt;=AJ$4,"",IF(AND($D894=AJ$4,$D895&gt;AJ$4),$F894,AJ894))</f>
        <v/>
      </c>
      <c r="AK895" s="6" t="str">
        <f>IF($D895&lt;=AK$4,"",IF(AND($D894=AK$4,$D895&gt;AK$4),$F894,AK894))</f>
        <v/>
      </c>
      <c r="AL895" s="6" t="str">
        <f>IF($D895&lt;=AL$4,"",IF(AND($D894=AL$4,$D895&gt;AL$4),$F894,AL894))</f>
        <v/>
      </c>
      <c r="AM895" s="6" t="str">
        <f>IF($D895&lt;=AM$4,"",IF(AND($D894=AM$4,$D895&gt;AM$4),$F894,AM894))</f>
        <v/>
      </c>
      <c r="AN895" s="6" t="str">
        <f>IF($D895&lt;=AN$4,"",IF(AND($D894=AN$4,$D895&gt;AN$4),$F894,AN894))</f>
        <v/>
      </c>
      <c r="AO895" s="6" t="str">
        <f>CONCATENATE(AG895," | ",AH895," | ",AI895," | ",AJ895," | ",AK895," | ",AL895," | ",AM895," | ",AN895)</f>
        <v xml:space="preserve">90MB1BJ0-C1BAY0 | 59MB1BJB-MB0A02S |  |  |  |  |  | </v>
      </c>
      <c r="AP895" s="6">
        <f>IF(TRIM(H895)="",100,J895)</f>
        <v>0</v>
      </c>
      <c r="AQ895" s="4"/>
      <c r="AR895" s="6" t="b">
        <f>NOT(TRIM(W895)&lt;&gt;"F")</f>
        <v>1</v>
      </c>
      <c r="AS895" s="6" t="str">
        <f>$B895&amp;" | "&amp;$AO895&amp;" | "&amp;IF(TRIM(H895)="","uniq"&amp;ROW(),TRIM(H895))</f>
        <v>461E | 90MB1BJ0-C1BAY0 | 59MB1BJB-MB0A02S |  |  |  |  |  |  | U6</v>
      </c>
      <c r="AT895" s="63">
        <f>IF(NOT(AR895),IF(TRIM($H895)="","Assembly","Phantom Alt"),VLOOKUP(F895,ZPCS04!B:G,6,0))</f>
        <v>917</v>
      </c>
      <c r="AU895" s="7"/>
      <c r="AV895" s="38">
        <f ca="1">IF(TRIM($W895)="F",OFFSET($A$5,MATCH($AS895,$AS$5:$AS895,0)-1,0),$A895)</f>
        <v>896</v>
      </c>
      <c r="AW895" s="38">
        <f ca="1">IFERROR(OFFSET(ZPCS04!$A$1,MATCH(F895,ZPCS04!B:B,0)-1,0),100)</f>
        <v>2</v>
      </c>
      <c r="AX895" s="7"/>
      <c r="AY895" s="6" t="b">
        <f>SUMIF(AS:AS,AS895,AP:AP)=100</f>
        <v>1</v>
      </c>
      <c r="AZ895" s="6" t="b">
        <f>SUMIF(AS:AS,AS895,AE:AE)/COUNTIF(AS:AS,AS895)=AE895</f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>C895&amp;" | "&amp;F895</f>
        <v>90MB1BJ0-C1BAY0 | 12015-00035200</v>
      </c>
      <c r="BE895" s="55" t="str">
        <f ca="1">C895&amp;" | "&amp;OFFSET($AF895,0,8-COUNTBLANK($AG895:$AN895))</f>
        <v>90MB1BJ0-C1BAY0 | 59MB1BJB-MB0A02S</v>
      </c>
      <c r="BF895" s="57">
        <f ca="1">IFERROR(VLOOKUP($BE895,$BD$5:$BF894,3,0)*$AE895,VLOOKUP($C895,Demanda!$A:$B,2,0)*$AE895)*IF(AT895="Phantom Alt",$BC895,TRUE)</f>
        <v>1000</v>
      </c>
      <c r="BG895" s="57">
        <f ca="1">BF895*(AP895/100)</f>
        <v>0</v>
      </c>
      <c r="BH895" s="57">
        <f>SUMIF(Invoice!A:A,F895,Invoice!B:B)</f>
        <v>0</v>
      </c>
      <c r="BI895" s="57">
        <f ca="1">SUMIF(AS:AS,AS895,BG:BG)</f>
        <v>1000</v>
      </c>
      <c r="BJ895" s="57">
        <f ca="1">MIN((BI895-SUMIF($AS$5:AS894,AS895,$BJ$5:BJ894)),MAX(0,BH895-SUMIF($F$5:F894,F895,$BJ$5:BJ894)))</f>
        <v>0</v>
      </c>
      <c r="BK895" s="57">
        <f ca="1">(-SUMIF(AS:AS,AS895,BG:BG)+SUMIF(AS:AS,AS895,BJ:BJ))*(AP895=100)*AR895</f>
        <v>0</v>
      </c>
      <c r="BL895" s="57">
        <f ca="1">MAX(0,SUMIF(Invoice!A:A,F895,Invoice!B:B)-SUMIF(F:F,F895,BJ:BJ))*(COUNTIF(F:F,F895)=COUNTIF($F$5:F895,F895))</f>
        <v>0</v>
      </c>
    </row>
    <row r="896" spans="1:64" hidden="1">
      <c r="A896" s="43">
        <v>895</v>
      </c>
      <c r="B896" s="13" t="s">
        <v>147</v>
      </c>
      <c r="C896" s="13" t="s">
        <v>146</v>
      </c>
      <c r="D896" s="13">
        <v>2</v>
      </c>
      <c r="E896" s="13">
        <v>2960</v>
      </c>
      <c r="F896" s="71" t="s">
        <v>2054</v>
      </c>
      <c r="G896" s="71" t="s">
        <v>2055</v>
      </c>
      <c r="H896" s="13" t="s">
        <v>2053</v>
      </c>
      <c r="I896" s="13" t="s">
        <v>55</v>
      </c>
      <c r="J896" s="28">
        <v>0</v>
      </c>
      <c r="K896" s="13" t="s">
        <v>150</v>
      </c>
      <c r="L896" s="13" t="s">
        <v>53</v>
      </c>
      <c r="M896" s="13">
        <v>1</v>
      </c>
      <c r="O896" s="13">
        <v>1</v>
      </c>
      <c r="P896" s="13">
        <v>2</v>
      </c>
      <c r="Q896" s="13">
        <v>3</v>
      </c>
      <c r="R896" s="13" t="s">
        <v>73</v>
      </c>
      <c r="S896" s="13" t="s">
        <v>73</v>
      </c>
      <c r="T896" s="13">
        <v>44901</v>
      </c>
      <c r="U896" s="13">
        <v>2958465</v>
      </c>
      <c r="V896" s="13" t="s">
        <v>282</v>
      </c>
      <c r="W896" s="13" t="s">
        <v>145</v>
      </c>
      <c r="Y896" s="13" t="s">
        <v>143</v>
      </c>
      <c r="Z896" s="13">
        <v>7589154</v>
      </c>
      <c r="AA896" s="13">
        <v>1680</v>
      </c>
      <c r="AB896" s="13">
        <v>840</v>
      </c>
      <c r="AE896" s="51">
        <f>M896/O896</f>
        <v>1</v>
      </c>
      <c r="AG896" s="6" t="str">
        <f>C896</f>
        <v>90MB1BJ0-C1BAY0</v>
      </c>
      <c r="AH896" s="6" t="str">
        <f>IF($D896&lt;=AH$4,"",IF(AND($D895=AH$4,$D896&gt;AH$4),$F895,AH895))</f>
        <v>59MB1BJB-MB0A02S</v>
      </c>
      <c r="AI896" s="6" t="str">
        <f>IF($D896&lt;=AI$4,"",IF(AND($D895=AI$4,$D896&gt;AI$4),$F895,AI895))</f>
        <v/>
      </c>
      <c r="AJ896" s="6" t="str">
        <f>IF($D896&lt;=AJ$4,"",IF(AND($D895=AJ$4,$D896&gt;AJ$4),$F895,AJ895))</f>
        <v/>
      </c>
      <c r="AK896" s="6" t="str">
        <f>IF($D896&lt;=AK$4,"",IF(AND($D895=AK$4,$D896&gt;AK$4),$F895,AK895))</f>
        <v/>
      </c>
      <c r="AL896" s="6" t="str">
        <f>IF($D896&lt;=AL$4,"",IF(AND($D895=AL$4,$D896&gt;AL$4),$F895,AL895))</f>
        <v/>
      </c>
      <c r="AM896" s="6" t="str">
        <f>IF($D896&lt;=AM$4,"",IF(AND($D895=AM$4,$D896&gt;AM$4),$F895,AM895))</f>
        <v/>
      </c>
      <c r="AN896" s="6" t="str">
        <f>IF($D896&lt;=AN$4,"",IF(AND($D895=AN$4,$D896&gt;AN$4),$F895,AN895))</f>
        <v/>
      </c>
      <c r="AO896" s="6" t="str">
        <f>CONCATENATE(AG896," | ",AH896," | ",AI896," | ",AJ896," | ",AK896," | ",AL896," | ",AM896," | ",AN896)</f>
        <v xml:space="preserve">90MB1BJ0-C1BAY0 | 59MB1BJB-MB0A02S |  |  |  |  |  | </v>
      </c>
      <c r="AP896" s="6">
        <f>IF(TRIM(H896)="",100,J896)</f>
        <v>0</v>
      </c>
      <c r="AQ896" s="4"/>
      <c r="AR896" s="6" t="b">
        <f>NOT(TRIM(W896)&lt;&gt;"F")</f>
        <v>1</v>
      </c>
      <c r="AS896" s="6" t="str">
        <f>$B896&amp;" | "&amp;$AO896&amp;" | "&amp;IF(TRIM(H896)="","uniq"&amp;ROW(),TRIM(H896))</f>
        <v>461E | 90MB1BJ0-C1BAY0 | 59MB1BJB-MB0A02S |  |  |  |  |  |  | U6</v>
      </c>
      <c r="AT896" s="63">
        <f>IF(NOT(AR896),IF(TRIM($H896)="","Assembly","Phantom Alt"),VLOOKUP(F896,ZPCS04!B:G,6,0))</f>
        <v>917</v>
      </c>
      <c r="AU896" s="7"/>
      <c r="AV896" s="38">
        <f ca="1">IF(TRIM($W896)="F",OFFSET($A$5,MATCH($AS896,$AS$5:$AS896,0)-1,0),$A896)</f>
        <v>896</v>
      </c>
      <c r="AW896" s="38">
        <f ca="1">IFERROR(OFFSET(ZPCS04!$A$1,MATCH(F896,ZPCS04!B:B,0)-1,0),100)</f>
        <v>2</v>
      </c>
      <c r="AX896" s="7"/>
      <c r="AY896" s="6" t="b">
        <f>SUMIF(AS:AS,AS896,AP:AP)=100</f>
        <v>1</v>
      </c>
      <c r="AZ896" s="6" t="b">
        <f>SUMIF(AS:AS,AS896,AE:AE)/COUNTIF(AS:AS,AS896)=AE896</f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>C896&amp;" | "&amp;F896</f>
        <v>90MB1BJ0-C1BAY0 | 12015-00035300</v>
      </c>
      <c r="BE896" s="55" t="str">
        <f ca="1">C896&amp;" | "&amp;OFFSET($AF896,0,8-COUNTBLANK($AG896:$AN896))</f>
        <v>90MB1BJ0-C1BAY0 | 59MB1BJB-MB0A02S</v>
      </c>
      <c r="BF896" s="57">
        <f ca="1">IFERROR(VLOOKUP($BE896,$BD$5:$BF895,3,0)*$AE896,VLOOKUP($C896,Demanda!$A:$B,2,0)*$AE896)*IF(AT896="Phantom Alt",$BC896,TRUE)</f>
        <v>1000</v>
      </c>
      <c r="BG896" s="57">
        <f ca="1">BF896*(AP896/100)</f>
        <v>0</v>
      </c>
      <c r="BH896" s="57">
        <f>SUMIF(Invoice!A:A,F896,Invoice!B:B)</f>
        <v>0</v>
      </c>
      <c r="BI896" s="57">
        <f ca="1">SUMIF(AS:AS,AS896,BG:BG)</f>
        <v>1000</v>
      </c>
      <c r="BJ896" s="57">
        <f ca="1">MIN((BI896-SUMIF($AS$5:AS895,AS896,$BJ$5:BJ895)),MAX(0,BH896-SUMIF($F$5:F895,F896,$BJ$5:BJ895)))</f>
        <v>0</v>
      </c>
      <c r="BK896" s="57">
        <f ca="1">(-SUMIF(AS:AS,AS896,BG:BG)+SUMIF(AS:AS,AS896,BJ:BJ))*(AP896=100)*AR896</f>
        <v>0</v>
      </c>
      <c r="BL896" s="57">
        <f ca="1">MAX(0,SUMIF(Invoice!A:A,F896,Invoice!B:B)-SUMIF(F:F,F896,BJ:BJ))*(COUNTIF(F:F,F896)=COUNTIF($F$5:F896,F896))</f>
        <v>0</v>
      </c>
    </row>
    <row r="897" spans="1:64" hidden="1">
      <c r="A897" s="43">
        <v>898</v>
      </c>
      <c r="B897" s="13" t="s">
        <v>147</v>
      </c>
      <c r="C897" s="13" t="s">
        <v>146</v>
      </c>
      <c r="D897" s="13">
        <v>2</v>
      </c>
      <c r="E897" s="13">
        <v>2970</v>
      </c>
      <c r="F897" s="71" t="s">
        <v>2061</v>
      </c>
      <c r="G897" s="71" t="s">
        <v>2062</v>
      </c>
      <c r="H897" s="13" t="s">
        <v>2060</v>
      </c>
      <c r="I897" s="13" t="s">
        <v>54</v>
      </c>
      <c r="J897" s="28">
        <v>100</v>
      </c>
      <c r="K897" s="13" t="s">
        <v>150</v>
      </c>
      <c r="L897" s="13" t="s">
        <v>53</v>
      </c>
      <c r="M897" s="13">
        <v>2</v>
      </c>
      <c r="N897" s="13">
        <v>2</v>
      </c>
      <c r="O897" s="13">
        <v>1</v>
      </c>
      <c r="P897" s="13">
        <v>2</v>
      </c>
      <c r="Q897" s="13">
        <v>1</v>
      </c>
      <c r="R897" s="13" t="s">
        <v>73</v>
      </c>
      <c r="S897" s="13" t="s">
        <v>73</v>
      </c>
      <c r="T897" s="13">
        <v>44901</v>
      </c>
      <c r="U897" s="13">
        <v>2958465</v>
      </c>
      <c r="V897" s="13" t="s">
        <v>282</v>
      </c>
      <c r="W897" s="13" t="s">
        <v>145</v>
      </c>
      <c r="Y897" s="13" t="s">
        <v>143</v>
      </c>
      <c r="Z897" s="13">
        <v>7589154</v>
      </c>
      <c r="AA897" s="13">
        <v>1682</v>
      </c>
      <c r="AB897" s="13">
        <v>841</v>
      </c>
      <c r="AE897" s="51">
        <f>M897/O897</f>
        <v>2</v>
      </c>
      <c r="AG897" s="6" t="str">
        <f>C897</f>
        <v>90MB1BJ0-C1BAY0</v>
      </c>
      <c r="AH897" s="6" t="str">
        <f>IF($D897&lt;=AH$4,"",IF(AND($D896=AH$4,$D897&gt;AH$4),$F896,AH896))</f>
        <v>59MB1BJB-MB0A02S</v>
      </c>
      <c r="AI897" s="6" t="str">
        <f>IF($D897&lt;=AI$4,"",IF(AND($D896=AI$4,$D897&gt;AI$4),$F896,AI896))</f>
        <v/>
      </c>
      <c r="AJ897" s="6" t="str">
        <f>IF($D897&lt;=AJ$4,"",IF(AND($D896=AJ$4,$D897&gt;AJ$4),$F896,AJ896))</f>
        <v/>
      </c>
      <c r="AK897" s="6" t="str">
        <f>IF($D897&lt;=AK$4,"",IF(AND($D896=AK$4,$D897&gt;AK$4),$F896,AK896))</f>
        <v/>
      </c>
      <c r="AL897" s="6" t="str">
        <f>IF($D897&lt;=AL$4,"",IF(AND($D896=AL$4,$D897&gt;AL$4),$F896,AL896))</f>
        <v/>
      </c>
      <c r="AM897" s="6" t="str">
        <f>IF($D897&lt;=AM$4,"",IF(AND($D896=AM$4,$D897&gt;AM$4),$F896,AM896))</f>
        <v/>
      </c>
      <c r="AN897" s="6" t="str">
        <f>IF($D897&lt;=AN$4,"",IF(AND($D896=AN$4,$D897&gt;AN$4),$F896,AN896))</f>
        <v/>
      </c>
      <c r="AO897" s="6" t="str">
        <f>CONCATENATE(AG897," | ",AH897," | ",AI897," | ",AJ897," | ",AK897," | ",AL897," | ",AM897," | ",AN897)</f>
        <v xml:space="preserve">90MB1BJ0-C1BAY0 | 59MB1BJB-MB0A02S |  |  |  |  |  | </v>
      </c>
      <c r="AP897" s="6">
        <f>IF(TRIM(H897)="",100,J897)</f>
        <v>100</v>
      </c>
      <c r="AQ897" s="4"/>
      <c r="AR897" s="6" t="b">
        <f>NOT(TRIM(W897)&lt;&gt;"F")</f>
        <v>1</v>
      </c>
      <c r="AS897" s="6" t="str">
        <f>$B897&amp;" | "&amp;$AO897&amp;" | "&amp;IF(TRIM(H897)="","uniq"&amp;ROW(),TRIM(H897))</f>
        <v>461E | 90MB1BJ0-C1BAY0 | 59MB1BJB-MB0A02S |  |  |  |  |  |  | U7</v>
      </c>
      <c r="AT897" s="63">
        <f>IF(NOT(AR897),IF(TRIM($H897)="","Assembly","Phantom Alt"),VLOOKUP(F897,ZPCS04!B:G,6,0))</f>
        <v>919</v>
      </c>
      <c r="AU897" s="7"/>
      <c r="AV897" s="38">
        <f ca="1">IF(TRIM($W897)="F",OFFSET($A$5,MATCH($AS897,$AS$5:$AS897,0)-1,0),$A897)</f>
        <v>898</v>
      </c>
      <c r="AW897" s="38">
        <f ca="1">IFERROR(OFFSET(ZPCS04!$A$1,MATCH(F897,ZPCS04!B:B,0)-1,0),100)</f>
        <v>1.9999999625</v>
      </c>
      <c r="AX897" s="7"/>
      <c r="AY897" s="6" t="b">
        <f>SUMIF(AS:AS,AS897,AP:AP)=100</f>
        <v>1</v>
      </c>
      <c r="AZ897" s="6" t="b">
        <f>SUMIF(AS:AS,AS897,AE:AE)/COUNTIF(AS:AS,AS897)=AE897</f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>C897&amp;" | "&amp;F897</f>
        <v>90MB1BJ0-C1BAY0 | 12015-00058400</v>
      </c>
      <c r="BE897" s="55" t="str">
        <f ca="1">C897&amp;" | "&amp;OFFSET($AF897,0,8-COUNTBLANK($AG897:$AN897))</f>
        <v>90MB1BJ0-C1BAY0 | 59MB1BJB-MB0A02S</v>
      </c>
      <c r="BF897" s="57">
        <f ca="1">IFERROR(VLOOKUP($BE897,$BD$5:$BF896,3,0)*$AE897,VLOOKUP($C897,Demanda!$A:$B,2,0)*$AE897)*IF(AT897="Phantom Alt",$BC897,TRUE)</f>
        <v>2000</v>
      </c>
      <c r="BG897" s="57">
        <f ca="1">BF897*(AP897/100)</f>
        <v>2000</v>
      </c>
      <c r="BH897" s="57">
        <f>SUMIF(Invoice!A:A,F897,Invoice!B:B)</f>
        <v>3750</v>
      </c>
      <c r="BI897" s="57">
        <f ca="1">SUMIF(AS:AS,AS897,BG:BG)</f>
        <v>2000</v>
      </c>
      <c r="BJ897" s="57">
        <f ca="1">MIN((BI897-SUMIF($AS$5:AS896,AS897,$BJ$5:BJ896)),MAX(0,BH897-SUMIF($F$5:F896,F897,$BJ$5:BJ896)))</f>
        <v>2000</v>
      </c>
      <c r="BK897" s="57">
        <f ca="1">(-SUMIF(AS:AS,AS897,BG:BG)+SUMIF(AS:AS,AS897,BJ:BJ))*(AP897=100)*AR897</f>
        <v>0</v>
      </c>
      <c r="BL897" s="57">
        <f ca="1">MAX(0,SUMIF(Invoice!A:A,F897,Invoice!B:B)-SUMIF(F:F,F897,BJ:BJ))*(COUNTIF(F:F,F897)=COUNTIF($F$5:F897,F897))</f>
        <v>1750</v>
      </c>
    </row>
    <row r="898" spans="1:64" hidden="1">
      <c r="A898" s="43">
        <v>897</v>
      </c>
      <c r="B898" s="13" t="s">
        <v>147</v>
      </c>
      <c r="C898" s="13" t="s">
        <v>146</v>
      </c>
      <c r="D898" s="13">
        <v>2</v>
      </c>
      <c r="E898" s="13">
        <v>2970</v>
      </c>
      <c r="F898" s="71" t="s">
        <v>2058</v>
      </c>
      <c r="G898" s="71" t="s">
        <v>2059</v>
      </c>
      <c r="H898" s="13" t="s">
        <v>2060</v>
      </c>
      <c r="I898" s="13" t="s">
        <v>55</v>
      </c>
      <c r="J898" s="28">
        <v>0</v>
      </c>
      <c r="K898" s="13" t="s">
        <v>150</v>
      </c>
      <c r="L898" s="13" t="s">
        <v>53</v>
      </c>
      <c r="M898" s="13">
        <v>2</v>
      </c>
      <c r="O898" s="13">
        <v>1</v>
      </c>
      <c r="P898" s="13">
        <v>2</v>
      </c>
      <c r="Q898" s="13">
        <v>2</v>
      </c>
      <c r="R898" s="13" t="s">
        <v>73</v>
      </c>
      <c r="S898" s="13" t="s">
        <v>73</v>
      </c>
      <c r="T898" s="13">
        <v>44901</v>
      </c>
      <c r="U898" s="13">
        <v>2958465</v>
      </c>
      <c r="V898" s="13" t="s">
        <v>282</v>
      </c>
      <c r="W898" s="13" t="s">
        <v>145</v>
      </c>
      <c r="Y898" s="13" t="s">
        <v>143</v>
      </c>
      <c r="Z898" s="13">
        <v>7589154</v>
      </c>
      <c r="AA898" s="13">
        <v>1684</v>
      </c>
      <c r="AB898" s="13">
        <v>842</v>
      </c>
      <c r="AE898" s="51">
        <f>M898/O898</f>
        <v>2</v>
      </c>
      <c r="AG898" s="6" t="str">
        <f>C898</f>
        <v>90MB1BJ0-C1BAY0</v>
      </c>
      <c r="AH898" s="6" t="str">
        <f>IF($D898&lt;=AH$4,"",IF(AND($D897=AH$4,$D898&gt;AH$4),$F897,AH897))</f>
        <v>59MB1BJB-MB0A02S</v>
      </c>
      <c r="AI898" s="6" t="str">
        <f>IF($D898&lt;=AI$4,"",IF(AND($D897=AI$4,$D898&gt;AI$4),$F897,AI897))</f>
        <v/>
      </c>
      <c r="AJ898" s="6" t="str">
        <f>IF($D898&lt;=AJ$4,"",IF(AND($D897=AJ$4,$D898&gt;AJ$4),$F897,AJ897))</f>
        <v/>
      </c>
      <c r="AK898" s="6" t="str">
        <f>IF($D898&lt;=AK$4,"",IF(AND($D897=AK$4,$D898&gt;AK$4),$F897,AK897))</f>
        <v/>
      </c>
      <c r="AL898" s="6" t="str">
        <f>IF($D898&lt;=AL$4,"",IF(AND($D897=AL$4,$D898&gt;AL$4),$F897,AL897))</f>
        <v/>
      </c>
      <c r="AM898" s="6" t="str">
        <f>IF($D898&lt;=AM$4,"",IF(AND($D897=AM$4,$D898&gt;AM$4),$F897,AM897))</f>
        <v/>
      </c>
      <c r="AN898" s="6" t="str">
        <f>IF($D898&lt;=AN$4,"",IF(AND($D897=AN$4,$D898&gt;AN$4),$F897,AN897))</f>
        <v/>
      </c>
      <c r="AO898" s="6" t="str">
        <f>CONCATENATE(AG898," | ",AH898," | ",AI898," | ",AJ898," | ",AK898," | ",AL898," | ",AM898," | ",AN898)</f>
        <v xml:space="preserve">90MB1BJ0-C1BAY0 | 59MB1BJB-MB0A02S |  |  |  |  |  | </v>
      </c>
      <c r="AP898" s="6">
        <f>IF(TRIM(H898)="",100,J898)</f>
        <v>0</v>
      </c>
      <c r="AQ898" s="4"/>
      <c r="AR898" s="6" t="b">
        <f>NOT(TRIM(W898)&lt;&gt;"F")</f>
        <v>1</v>
      </c>
      <c r="AS898" s="6" t="str">
        <f>$B898&amp;" | "&amp;$AO898&amp;" | "&amp;IF(TRIM(H898)="","uniq"&amp;ROW(),TRIM(H898))</f>
        <v>461E | 90MB1BJ0-C1BAY0 | 59MB1BJB-MB0A02S |  |  |  |  |  |  | U7</v>
      </c>
      <c r="AT898" s="63">
        <f>IF(NOT(AR898),IF(TRIM($H898)="","Assembly","Phantom Alt"),VLOOKUP(F898,ZPCS04!B:G,6,0))</f>
        <v>919</v>
      </c>
      <c r="AU898" s="7"/>
      <c r="AV898" s="38">
        <f ca="1">IF(TRIM($W898)="F",OFFSET($A$5,MATCH($AS898,$AS$5:$AS898,0)-1,0),$A898)</f>
        <v>898</v>
      </c>
      <c r="AW898" s="38">
        <f ca="1">IFERROR(OFFSET(ZPCS04!$A$1,MATCH(F898,ZPCS04!B:B,0)-1,0),100)</f>
        <v>2</v>
      </c>
      <c r="AX898" s="7"/>
      <c r="AY898" s="6" t="b">
        <f>SUMIF(AS:AS,AS898,AP:AP)=100</f>
        <v>1</v>
      </c>
      <c r="AZ898" s="6" t="b">
        <f>SUMIF(AS:AS,AS898,AE:AE)/COUNTIF(AS:AS,AS898)=AE898</f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>C898&amp;" | "&amp;F898</f>
        <v>90MB1BJ0-C1BAY0 | 12015-00058300</v>
      </c>
      <c r="BE898" s="55" t="str">
        <f ca="1">C898&amp;" | "&amp;OFFSET($AF898,0,8-COUNTBLANK($AG898:$AN898))</f>
        <v>90MB1BJ0-C1BAY0 | 59MB1BJB-MB0A02S</v>
      </c>
      <c r="BF898" s="57">
        <f ca="1">IFERROR(VLOOKUP($BE898,$BD$5:$BF897,3,0)*$AE898,VLOOKUP($C898,Demanda!$A:$B,2,0)*$AE898)*IF(AT898="Phantom Alt",$BC898,TRUE)</f>
        <v>2000</v>
      </c>
      <c r="BG898" s="57">
        <f ca="1">BF898*(AP898/100)</f>
        <v>0</v>
      </c>
      <c r="BH898" s="57">
        <f>SUMIF(Invoice!A:A,F898,Invoice!B:B)</f>
        <v>0</v>
      </c>
      <c r="BI898" s="57">
        <f ca="1">SUMIF(AS:AS,AS898,BG:BG)</f>
        <v>2000</v>
      </c>
      <c r="BJ898" s="57">
        <f ca="1">MIN((BI898-SUMIF($AS$5:AS897,AS898,$BJ$5:BJ897)),MAX(0,BH898-SUMIF($F$5:F897,F898,$BJ$5:BJ897)))</f>
        <v>0</v>
      </c>
      <c r="BK898" s="57">
        <f ca="1">(-SUMIF(AS:AS,AS898,BG:BG)+SUMIF(AS:AS,AS898,BJ:BJ))*(AP898=100)*AR898</f>
        <v>0</v>
      </c>
      <c r="BL898" s="57">
        <f ca="1">MAX(0,SUMIF(Invoice!A:A,F898,Invoice!B:B)-SUMIF(F:F,F898,BJ:BJ))*(COUNTIF(F:F,F898)=COUNTIF($F$5:F898,F898))</f>
        <v>0</v>
      </c>
    </row>
    <row r="899" spans="1:64" hidden="1">
      <c r="A899" s="43">
        <v>899</v>
      </c>
      <c r="B899" s="13" t="s">
        <v>147</v>
      </c>
      <c r="C899" s="13" t="s">
        <v>146</v>
      </c>
      <c r="D899" s="13">
        <v>2</v>
      </c>
      <c r="E899" s="13">
        <v>2970</v>
      </c>
      <c r="F899" s="71" t="s">
        <v>2063</v>
      </c>
      <c r="G899" s="71" t="s">
        <v>2064</v>
      </c>
      <c r="H899" s="13" t="s">
        <v>2060</v>
      </c>
      <c r="I899" s="13" t="s">
        <v>55</v>
      </c>
      <c r="J899" s="28">
        <v>0</v>
      </c>
      <c r="K899" s="13" t="s">
        <v>150</v>
      </c>
      <c r="L899" s="13" t="s">
        <v>53</v>
      </c>
      <c r="M899" s="13">
        <v>2</v>
      </c>
      <c r="O899" s="13">
        <v>1</v>
      </c>
      <c r="P899" s="13">
        <v>2</v>
      </c>
      <c r="Q899" s="13">
        <v>3</v>
      </c>
      <c r="R899" s="13" t="s">
        <v>73</v>
      </c>
      <c r="S899" s="13" t="s">
        <v>73</v>
      </c>
      <c r="T899" s="13">
        <v>44901</v>
      </c>
      <c r="U899" s="13">
        <v>2958465</v>
      </c>
      <c r="V899" s="13" t="s">
        <v>282</v>
      </c>
      <c r="W899" s="13" t="s">
        <v>145</v>
      </c>
      <c r="Y899" s="13" t="s">
        <v>143</v>
      </c>
      <c r="Z899" s="13">
        <v>7589154</v>
      </c>
      <c r="AA899" s="13">
        <v>1686</v>
      </c>
      <c r="AB899" s="13">
        <v>843</v>
      </c>
      <c r="AE899" s="51">
        <f>M899/O899</f>
        <v>2</v>
      </c>
      <c r="AG899" s="6" t="str">
        <f>C899</f>
        <v>90MB1BJ0-C1BAY0</v>
      </c>
      <c r="AH899" s="6" t="str">
        <f>IF($D899&lt;=AH$4,"",IF(AND($D898=AH$4,$D899&gt;AH$4),$F898,AH898))</f>
        <v>59MB1BJB-MB0A02S</v>
      </c>
      <c r="AI899" s="6" t="str">
        <f>IF($D899&lt;=AI$4,"",IF(AND($D898=AI$4,$D899&gt;AI$4),$F898,AI898))</f>
        <v/>
      </c>
      <c r="AJ899" s="6" t="str">
        <f>IF($D899&lt;=AJ$4,"",IF(AND($D898=AJ$4,$D899&gt;AJ$4),$F898,AJ898))</f>
        <v/>
      </c>
      <c r="AK899" s="6" t="str">
        <f>IF($D899&lt;=AK$4,"",IF(AND($D898=AK$4,$D899&gt;AK$4),$F898,AK898))</f>
        <v/>
      </c>
      <c r="AL899" s="6" t="str">
        <f>IF($D899&lt;=AL$4,"",IF(AND($D898=AL$4,$D899&gt;AL$4),$F898,AL898))</f>
        <v/>
      </c>
      <c r="AM899" s="6" t="str">
        <f>IF($D899&lt;=AM$4,"",IF(AND($D898=AM$4,$D899&gt;AM$4),$F898,AM898))</f>
        <v/>
      </c>
      <c r="AN899" s="6" t="str">
        <f>IF($D899&lt;=AN$4,"",IF(AND($D898=AN$4,$D899&gt;AN$4),$F898,AN898))</f>
        <v/>
      </c>
      <c r="AO899" s="6" t="str">
        <f>CONCATENATE(AG899," | ",AH899," | ",AI899," | ",AJ899," | ",AK899," | ",AL899," | ",AM899," | ",AN899)</f>
        <v xml:space="preserve">90MB1BJ0-C1BAY0 | 59MB1BJB-MB0A02S |  |  |  |  |  | </v>
      </c>
      <c r="AP899" s="6">
        <f>IF(TRIM(H899)="",100,J899)</f>
        <v>0</v>
      </c>
      <c r="AQ899" s="4"/>
      <c r="AR899" s="6" t="b">
        <f>NOT(TRIM(W899)&lt;&gt;"F")</f>
        <v>1</v>
      </c>
      <c r="AS899" s="6" t="str">
        <f>$B899&amp;" | "&amp;$AO899&amp;" | "&amp;IF(TRIM(H899)="","uniq"&amp;ROW(),TRIM(H899))</f>
        <v>461E | 90MB1BJ0-C1BAY0 | 59MB1BJB-MB0A02S |  |  |  |  |  |  | U7</v>
      </c>
      <c r="AT899" s="63">
        <f>IF(NOT(AR899),IF(TRIM($H899)="","Assembly","Phantom Alt"),VLOOKUP(F899,ZPCS04!B:G,6,0))</f>
        <v>919</v>
      </c>
      <c r="AU899" s="7"/>
      <c r="AV899" s="38">
        <f ca="1">IF(TRIM($W899)="F",OFFSET($A$5,MATCH($AS899,$AS$5:$AS899,0)-1,0),$A899)</f>
        <v>898</v>
      </c>
      <c r="AW899" s="38">
        <f ca="1">IFERROR(OFFSET(ZPCS04!$A$1,MATCH(F899,ZPCS04!B:B,0)-1,0),100)</f>
        <v>2</v>
      </c>
      <c r="AX899" s="7"/>
      <c r="AY899" s="6" t="b">
        <f>SUMIF(AS:AS,AS899,AP:AP)=100</f>
        <v>1</v>
      </c>
      <c r="AZ899" s="6" t="b">
        <f>SUMIF(AS:AS,AS899,AE:AE)/COUNTIF(AS:AS,AS899)=AE899</f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>C899&amp;" | "&amp;F899</f>
        <v>90MB1BJ0-C1BAY0 | 12015-00058500</v>
      </c>
      <c r="BE899" s="55" t="str">
        <f ca="1">C899&amp;" | "&amp;OFFSET($AF899,0,8-COUNTBLANK($AG899:$AN899))</f>
        <v>90MB1BJ0-C1BAY0 | 59MB1BJB-MB0A02S</v>
      </c>
      <c r="BF899" s="57">
        <f ca="1">IFERROR(VLOOKUP($BE899,$BD$5:$BF898,3,0)*$AE899,VLOOKUP($C899,Demanda!$A:$B,2,0)*$AE899)*IF(AT899="Phantom Alt",$BC899,TRUE)</f>
        <v>2000</v>
      </c>
      <c r="BG899" s="57">
        <f ca="1">BF899*(AP899/100)</f>
        <v>0</v>
      </c>
      <c r="BH899" s="57">
        <f>SUMIF(Invoice!A:A,F899,Invoice!B:B)</f>
        <v>0</v>
      </c>
      <c r="BI899" s="57">
        <f ca="1">SUMIF(AS:AS,AS899,BG:BG)</f>
        <v>2000</v>
      </c>
      <c r="BJ899" s="57">
        <f ca="1">MIN((BI899-SUMIF($AS$5:AS898,AS899,$BJ$5:BJ898)),MAX(0,BH899-SUMIF($F$5:F898,F899,$BJ$5:BJ898)))</f>
        <v>0</v>
      </c>
      <c r="BK899" s="57">
        <f ca="1">(-SUMIF(AS:AS,AS899,BG:BG)+SUMIF(AS:AS,AS899,BJ:BJ))*(AP899=100)*AR899</f>
        <v>0</v>
      </c>
      <c r="BL899" s="57">
        <f ca="1">MAX(0,SUMIF(Invoice!A:A,F899,Invoice!B:B)-SUMIF(F:F,F899,BJ:BJ))*(COUNTIF(F:F,F899)=COUNTIF($F$5:F899,F899))</f>
        <v>0</v>
      </c>
    </row>
    <row r="900" spans="1:64" hidden="1">
      <c r="A900" s="43">
        <v>901</v>
      </c>
      <c r="B900" s="13" t="s">
        <v>147</v>
      </c>
      <c r="C900" s="13" t="s">
        <v>146</v>
      </c>
      <c r="D900" s="13">
        <v>2</v>
      </c>
      <c r="E900" s="13">
        <v>2980</v>
      </c>
      <c r="F900" s="71" t="s">
        <v>2068</v>
      </c>
      <c r="G900" s="71" t="s">
        <v>2069</v>
      </c>
      <c r="H900" s="13" t="s">
        <v>2067</v>
      </c>
      <c r="I900" s="13" t="s">
        <v>55</v>
      </c>
      <c r="J900" s="28">
        <v>0</v>
      </c>
      <c r="K900" s="13" t="s">
        <v>150</v>
      </c>
      <c r="L900" s="13" t="s">
        <v>53</v>
      </c>
      <c r="M900" s="13">
        <v>2</v>
      </c>
      <c r="O900" s="13">
        <v>1</v>
      </c>
      <c r="P900" s="13">
        <v>2</v>
      </c>
      <c r="Q900" s="13">
        <v>2</v>
      </c>
      <c r="R900" s="13" t="s">
        <v>73</v>
      </c>
      <c r="S900" s="13" t="s">
        <v>73</v>
      </c>
      <c r="T900" s="13">
        <v>44901</v>
      </c>
      <c r="U900" s="13">
        <v>2958465</v>
      </c>
      <c r="V900" s="13" t="s">
        <v>282</v>
      </c>
      <c r="W900" s="13" t="s">
        <v>145</v>
      </c>
      <c r="Y900" s="13" t="s">
        <v>143</v>
      </c>
      <c r="Z900" s="13">
        <v>7589154</v>
      </c>
      <c r="AA900" s="13">
        <v>1690</v>
      </c>
      <c r="AB900" s="13">
        <v>845</v>
      </c>
      <c r="AE900" s="51">
        <f>M900/O900</f>
        <v>2</v>
      </c>
      <c r="AG900" s="6" t="str">
        <f>C900</f>
        <v>90MB1BJ0-C1BAY0</v>
      </c>
      <c r="AH900" s="6" t="str">
        <f>IF($D900&lt;=AH$4,"",IF(AND($D899=AH$4,$D900&gt;AH$4),$F899,AH899))</f>
        <v>59MB1BJB-MB0A02S</v>
      </c>
      <c r="AI900" s="6" t="str">
        <f>IF($D900&lt;=AI$4,"",IF(AND($D899=AI$4,$D900&gt;AI$4),$F899,AI899))</f>
        <v/>
      </c>
      <c r="AJ900" s="6" t="str">
        <f>IF($D900&lt;=AJ$4,"",IF(AND($D899=AJ$4,$D900&gt;AJ$4),$F899,AJ899))</f>
        <v/>
      </c>
      <c r="AK900" s="6" t="str">
        <f>IF($D900&lt;=AK$4,"",IF(AND($D899=AK$4,$D900&gt;AK$4),$F899,AK899))</f>
        <v/>
      </c>
      <c r="AL900" s="6" t="str">
        <f>IF($D900&lt;=AL$4,"",IF(AND($D899=AL$4,$D900&gt;AL$4),$F899,AL899))</f>
        <v/>
      </c>
      <c r="AM900" s="6" t="str">
        <f>IF($D900&lt;=AM$4,"",IF(AND($D899=AM$4,$D900&gt;AM$4),$F899,AM899))</f>
        <v/>
      </c>
      <c r="AN900" s="6" t="str">
        <f>IF($D900&lt;=AN$4,"",IF(AND($D899=AN$4,$D900&gt;AN$4),$F899,AN899))</f>
        <v/>
      </c>
      <c r="AO900" s="6" t="str">
        <f>CONCATENATE(AG900," | ",AH900," | ",AI900," | ",AJ900," | ",AK900," | ",AL900," | ",AM900," | ",AN900)</f>
        <v xml:space="preserve">90MB1BJ0-C1BAY0 | 59MB1BJB-MB0A02S |  |  |  |  |  | </v>
      </c>
      <c r="AP900" s="6">
        <f>IF(TRIM(H900)="",100,J900)</f>
        <v>0</v>
      </c>
      <c r="AQ900" s="4"/>
      <c r="AR900" s="6" t="b">
        <f>NOT(TRIM(W900)&lt;&gt;"F")</f>
        <v>1</v>
      </c>
      <c r="AS900" s="6" t="str">
        <f>$B900&amp;" | "&amp;$AO900&amp;" | "&amp;IF(TRIM(H900)="","uniq"&amp;ROW(),TRIM(H900))</f>
        <v>461E | 90MB1BJ0-C1BAY0 | 59MB1BJB-MB0A02S |  |  |  |  |  |  | U8</v>
      </c>
      <c r="AT900" s="63">
        <f>IF(NOT(AR900),IF(TRIM($H900)="","Assembly","Phantom Alt"),VLOOKUP(F900,ZPCS04!B:G,6,0))</f>
        <v>800</v>
      </c>
      <c r="AU900" s="7"/>
      <c r="AV900" s="38">
        <f ca="1">IF(TRIM($W900)="F",OFFSET($A$5,MATCH($AS900,$AS$5:$AS900,0)-1,0),$A900)</f>
        <v>901</v>
      </c>
      <c r="AW900" s="38">
        <f ca="1">IFERROR(OFFSET(ZPCS04!$A$1,MATCH(F900,ZPCS04!B:B,0)-1,0),100)</f>
        <v>1.9999999580000001</v>
      </c>
      <c r="AX900" s="7"/>
      <c r="AY900" s="6" t="b">
        <f>SUMIF(AS:AS,AS900,AP:AP)=100</f>
        <v>1</v>
      </c>
      <c r="AZ900" s="6" t="b">
        <f>SUMIF(AS:AS,AS900,AE:AE)/COUNTIF(AS:AS,AS900)=AE900</f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>C900&amp;" | "&amp;F900</f>
        <v>90MB1BJ0-C1BAY0 | 12015-00063500</v>
      </c>
      <c r="BE900" s="55" t="str">
        <f ca="1">C900&amp;" | "&amp;OFFSET($AF900,0,8-COUNTBLANK($AG900:$AN900))</f>
        <v>90MB1BJ0-C1BAY0 | 59MB1BJB-MB0A02S</v>
      </c>
      <c r="BF900" s="57">
        <f ca="1">IFERROR(VLOOKUP($BE900,$BD$5:$BF899,3,0)*$AE900,VLOOKUP($C900,Demanda!$A:$B,2,0)*$AE900)*IF(AT900="Phantom Alt",$BC900,TRUE)</f>
        <v>2000</v>
      </c>
      <c r="BG900" s="57">
        <f ca="1">BF900*(AP900/100)</f>
        <v>0</v>
      </c>
      <c r="BH900" s="57">
        <f>SUMIF(Invoice!A:A,F900,Invoice!B:B)</f>
        <v>4200</v>
      </c>
      <c r="BI900" s="57">
        <f ca="1">SUMIF(AS:AS,AS900,BG:BG)</f>
        <v>2000</v>
      </c>
      <c r="BJ900" s="57">
        <f ca="1">MIN((BI900-SUMIF($AS$5:AS899,AS900,$BJ$5:BJ899)),MAX(0,BH900-SUMIF($F$5:F899,F900,$BJ$5:BJ899)))</f>
        <v>2000</v>
      </c>
      <c r="BK900" s="57">
        <f ca="1">(-SUMIF(AS:AS,AS900,BG:BG)+SUMIF(AS:AS,AS900,BJ:BJ))*(AP900=100)*AR900</f>
        <v>0</v>
      </c>
      <c r="BL900" s="57">
        <f ca="1">MAX(0,SUMIF(Invoice!A:A,F900,Invoice!B:B)-SUMIF(F:F,F900,BJ:BJ))*(COUNTIF(F:F,F900)=COUNTIF($F$5:F900,F900))</f>
        <v>2200</v>
      </c>
    </row>
    <row r="901" spans="1:64" hidden="1">
      <c r="A901" s="43">
        <v>900</v>
      </c>
      <c r="B901" s="13" t="s">
        <v>147</v>
      </c>
      <c r="C901" s="13" t="s">
        <v>146</v>
      </c>
      <c r="D901" s="13">
        <v>2</v>
      </c>
      <c r="E901" s="13">
        <v>2980</v>
      </c>
      <c r="F901" s="71" t="s">
        <v>2065</v>
      </c>
      <c r="G901" s="71" t="s">
        <v>2066</v>
      </c>
      <c r="H901" s="13" t="s">
        <v>2067</v>
      </c>
      <c r="I901" s="13" t="s">
        <v>54</v>
      </c>
      <c r="J901" s="28">
        <v>100</v>
      </c>
      <c r="K901" s="13" t="s">
        <v>150</v>
      </c>
      <c r="L901" s="13" t="s">
        <v>53</v>
      </c>
      <c r="M901" s="13">
        <v>2</v>
      </c>
      <c r="N901" s="13">
        <v>2</v>
      </c>
      <c r="O901" s="13">
        <v>1</v>
      </c>
      <c r="P901" s="13">
        <v>2</v>
      </c>
      <c r="Q901" s="13">
        <v>1</v>
      </c>
      <c r="R901" s="13" t="s">
        <v>73</v>
      </c>
      <c r="S901" s="13" t="s">
        <v>73</v>
      </c>
      <c r="T901" s="13">
        <v>44901</v>
      </c>
      <c r="U901" s="13">
        <v>2958465</v>
      </c>
      <c r="V901" s="13" t="s">
        <v>282</v>
      </c>
      <c r="W901" s="13" t="s">
        <v>145</v>
      </c>
      <c r="Y901" s="13" t="s">
        <v>143</v>
      </c>
      <c r="Z901" s="13">
        <v>7589154</v>
      </c>
      <c r="AA901" s="13">
        <v>1688</v>
      </c>
      <c r="AB901" s="13">
        <v>844</v>
      </c>
      <c r="AE901" s="51">
        <f>M901/O901</f>
        <v>2</v>
      </c>
      <c r="AG901" s="6" t="str">
        <f>C901</f>
        <v>90MB1BJ0-C1BAY0</v>
      </c>
      <c r="AH901" s="6" t="str">
        <f>IF($D901&lt;=AH$4,"",IF(AND($D900=AH$4,$D901&gt;AH$4),$F900,AH900))</f>
        <v>59MB1BJB-MB0A02S</v>
      </c>
      <c r="AI901" s="6" t="str">
        <f>IF($D901&lt;=AI$4,"",IF(AND($D900=AI$4,$D901&gt;AI$4),$F900,AI900))</f>
        <v/>
      </c>
      <c r="AJ901" s="6" t="str">
        <f>IF($D901&lt;=AJ$4,"",IF(AND($D900=AJ$4,$D901&gt;AJ$4),$F900,AJ900))</f>
        <v/>
      </c>
      <c r="AK901" s="6" t="str">
        <f>IF($D901&lt;=AK$4,"",IF(AND($D900=AK$4,$D901&gt;AK$4),$F900,AK900))</f>
        <v/>
      </c>
      <c r="AL901" s="6" t="str">
        <f>IF($D901&lt;=AL$4,"",IF(AND($D900=AL$4,$D901&gt;AL$4),$F900,AL900))</f>
        <v/>
      </c>
      <c r="AM901" s="6" t="str">
        <f>IF($D901&lt;=AM$4,"",IF(AND($D900=AM$4,$D901&gt;AM$4),$F900,AM900))</f>
        <v/>
      </c>
      <c r="AN901" s="6" t="str">
        <f>IF($D901&lt;=AN$4,"",IF(AND($D900=AN$4,$D901&gt;AN$4),$F900,AN900))</f>
        <v/>
      </c>
      <c r="AO901" s="6" t="str">
        <f>CONCATENATE(AG901," | ",AH901," | ",AI901," | ",AJ901," | ",AK901," | ",AL901," | ",AM901," | ",AN901)</f>
        <v xml:space="preserve">90MB1BJ0-C1BAY0 | 59MB1BJB-MB0A02S |  |  |  |  |  | </v>
      </c>
      <c r="AP901" s="6">
        <f>IF(TRIM(H901)="",100,J901)</f>
        <v>100</v>
      </c>
      <c r="AQ901" s="4"/>
      <c r="AR901" s="6" t="b">
        <f>NOT(TRIM(W901)&lt;&gt;"F")</f>
        <v>1</v>
      </c>
      <c r="AS901" s="6" t="str">
        <f>$B901&amp;" | "&amp;$AO901&amp;" | "&amp;IF(TRIM(H901)="","uniq"&amp;ROW(),TRIM(H901))</f>
        <v>461E | 90MB1BJ0-C1BAY0 | 59MB1BJB-MB0A02S |  |  |  |  |  |  | U8</v>
      </c>
      <c r="AT901" s="63">
        <f>IF(NOT(AR901),IF(TRIM($H901)="","Assembly","Phantom Alt"),VLOOKUP(F901,ZPCS04!B:G,6,0))</f>
        <v>800</v>
      </c>
      <c r="AU901" s="7"/>
      <c r="AV901" s="38">
        <f ca="1">IF(TRIM($W901)="F",OFFSET($A$5,MATCH($AS901,$AS$5:$AS901,0)-1,0),$A901)</f>
        <v>901</v>
      </c>
      <c r="AW901" s="38">
        <f ca="1">IFERROR(OFFSET(ZPCS04!$A$1,MATCH(F901,ZPCS04!B:B,0)-1,0),100)</f>
        <v>2</v>
      </c>
      <c r="AX901" s="7"/>
      <c r="AY901" s="6" t="b">
        <f>SUMIF(AS:AS,AS901,AP:AP)=100</f>
        <v>1</v>
      </c>
      <c r="AZ901" s="6" t="b">
        <f>SUMIF(AS:AS,AS901,AE:AE)/COUNTIF(AS:AS,AS901)=AE901</f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>C901&amp;" | "&amp;F901</f>
        <v>90MB1BJ0-C1BAY0 | 12015-00063400</v>
      </c>
      <c r="BE901" s="55" t="str">
        <f ca="1">C901&amp;" | "&amp;OFFSET($AF901,0,8-COUNTBLANK($AG901:$AN901))</f>
        <v>90MB1BJ0-C1BAY0 | 59MB1BJB-MB0A02S</v>
      </c>
      <c r="BF901" s="57">
        <f ca="1">IFERROR(VLOOKUP($BE901,$BD$5:$BF900,3,0)*$AE901,VLOOKUP($C901,Demanda!$A:$B,2,0)*$AE901)*IF(AT901="Phantom Alt",$BC901,TRUE)</f>
        <v>2000</v>
      </c>
      <c r="BG901" s="57">
        <f ca="1">BF901*(AP901/100)</f>
        <v>2000</v>
      </c>
      <c r="BH901" s="57">
        <f>SUMIF(Invoice!A:A,F901,Invoice!B:B)</f>
        <v>0</v>
      </c>
      <c r="BI901" s="57">
        <f ca="1">SUMIF(AS:AS,AS901,BG:BG)</f>
        <v>2000</v>
      </c>
      <c r="BJ901" s="57">
        <f ca="1">MIN((BI901-SUMIF($AS$5:AS900,AS901,$BJ$5:BJ900)),MAX(0,BH901-SUMIF($F$5:F900,F901,$BJ$5:BJ900)))</f>
        <v>0</v>
      </c>
      <c r="BK901" s="57">
        <f ca="1">(-SUMIF(AS:AS,AS901,BG:BG)+SUMIF(AS:AS,AS901,BJ:BJ))*(AP901=100)*AR901</f>
        <v>0</v>
      </c>
      <c r="BL901" s="57">
        <f ca="1">MAX(0,SUMIF(Invoice!A:A,F901,Invoice!B:B)-SUMIF(F:F,F901,BJ:BJ))*(COUNTIF(F:F,F901)=COUNTIF($F$5:F901,F901))</f>
        <v>0</v>
      </c>
    </row>
    <row r="902" spans="1:64" hidden="1">
      <c r="A902" s="43">
        <v>902</v>
      </c>
      <c r="B902" s="13" t="s">
        <v>147</v>
      </c>
      <c r="C902" s="13" t="s">
        <v>146</v>
      </c>
      <c r="D902" s="13">
        <v>2</v>
      </c>
      <c r="E902" s="13">
        <v>2980</v>
      </c>
      <c r="F902" s="71" t="s">
        <v>2070</v>
      </c>
      <c r="G902" s="71" t="s">
        <v>2071</v>
      </c>
      <c r="H902" s="13" t="s">
        <v>2067</v>
      </c>
      <c r="I902" s="13" t="s">
        <v>55</v>
      </c>
      <c r="J902" s="28">
        <v>0</v>
      </c>
      <c r="K902" s="13" t="s">
        <v>150</v>
      </c>
      <c r="L902" s="13" t="s">
        <v>53</v>
      </c>
      <c r="M902" s="13">
        <v>2</v>
      </c>
      <c r="O902" s="13">
        <v>1</v>
      </c>
      <c r="P902" s="13">
        <v>2</v>
      </c>
      <c r="Q902" s="13">
        <v>3</v>
      </c>
      <c r="R902" s="13" t="s">
        <v>73</v>
      </c>
      <c r="S902" s="13" t="s">
        <v>73</v>
      </c>
      <c r="T902" s="13">
        <v>44901</v>
      </c>
      <c r="U902" s="13">
        <v>2958465</v>
      </c>
      <c r="V902" s="13" t="s">
        <v>282</v>
      </c>
      <c r="W902" s="13" t="s">
        <v>145</v>
      </c>
      <c r="Y902" s="13" t="s">
        <v>143</v>
      </c>
      <c r="Z902" s="13">
        <v>7589154</v>
      </c>
      <c r="AA902" s="13">
        <v>1692</v>
      </c>
      <c r="AB902" s="13">
        <v>846</v>
      </c>
      <c r="AE902" s="51">
        <f>M902/O902</f>
        <v>2</v>
      </c>
      <c r="AG902" s="6" t="str">
        <f>C902</f>
        <v>90MB1BJ0-C1BAY0</v>
      </c>
      <c r="AH902" s="6" t="str">
        <f>IF($D902&lt;=AH$4,"",IF(AND($D901=AH$4,$D902&gt;AH$4),$F901,AH901))</f>
        <v>59MB1BJB-MB0A02S</v>
      </c>
      <c r="AI902" s="6" t="str">
        <f>IF($D902&lt;=AI$4,"",IF(AND($D901=AI$4,$D902&gt;AI$4),$F901,AI901))</f>
        <v/>
      </c>
      <c r="AJ902" s="6" t="str">
        <f>IF($D902&lt;=AJ$4,"",IF(AND($D901=AJ$4,$D902&gt;AJ$4),$F901,AJ901))</f>
        <v/>
      </c>
      <c r="AK902" s="6" t="str">
        <f>IF($D902&lt;=AK$4,"",IF(AND($D901=AK$4,$D902&gt;AK$4),$F901,AK901))</f>
        <v/>
      </c>
      <c r="AL902" s="6" t="str">
        <f>IF($D902&lt;=AL$4,"",IF(AND($D901=AL$4,$D902&gt;AL$4),$F901,AL901))</f>
        <v/>
      </c>
      <c r="AM902" s="6" t="str">
        <f>IF($D902&lt;=AM$4,"",IF(AND($D901=AM$4,$D902&gt;AM$4),$F901,AM901))</f>
        <v/>
      </c>
      <c r="AN902" s="6" t="str">
        <f>IF($D902&lt;=AN$4,"",IF(AND($D901=AN$4,$D902&gt;AN$4),$F901,AN901))</f>
        <v/>
      </c>
      <c r="AO902" s="6" t="str">
        <f>CONCATENATE(AG902," | ",AH902," | ",AI902," | ",AJ902," | ",AK902," | ",AL902," | ",AM902," | ",AN902)</f>
        <v xml:space="preserve">90MB1BJ0-C1BAY0 | 59MB1BJB-MB0A02S |  |  |  |  |  | </v>
      </c>
      <c r="AP902" s="6">
        <f>IF(TRIM(H902)="",100,J902)</f>
        <v>0</v>
      </c>
      <c r="AQ902" s="4"/>
      <c r="AR902" s="6" t="b">
        <f>NOT(TRIM(W902)&lt;&gt;"F")</f>
        <v>1</v>
      </c>
      <c r="AS902" s="6" t="str">
        <f>$B902&amp;" | "&amp;$AO902&amp;" | "&amp;IF(TRIM(H902)="","uniq"&amp;ROW(),TRIM(H902))</f>
        <v>461E | 90MB1BJ0-C1BAY0 | 59MB1BJB-MB0A02S |  |  |  |  |  |  | U8</v>
      </c>
      <c r="AT902" s="63">
        <f>IF(NOT(AR902),IF(TRIM($H902)="","Assembly","Phantom Alt"),VLOOKUP(F902,ZPCS04!B:G,6,0))</f>
        <v>800</v>
      </c>
      <c r="AU902" s="7"/>
      <c r="AV902" s="38">
        <f ca="1">IF(TRIM($W902)="F",OFFSET($A$5,MATCH($AS902,$AS$5:$AS902,0)-1,0),$A902)</f>
        <v>901</v>
      </c>
      <c r="AW902" s="38">
        <f ca="1">IFERROR(OFFSET(ZPCS04!$A$1,MATCH(F902,ZPCS04!B:B,0)-1,0),100)</f>
        <v>2</v>
      </c>
      <c r="AX902" s="7"/>
      <c r="AY902" s="6" t="b">
        <f>SUMIF(AS:AS,AS902,AP:AP)=100</f>
        <v>1</v>
      </c>
      <c r="AZ902" s="6" t="b">
        <f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>C902&amp;" | "&amp;F902</f>
        <v>90MB1BJ0-C1BAY0 | 12015-00064100</v>
      </c>
      <c r="BE902" s="55" t="str">
        <f ca="1">C902&amp;" | "&amp;OFFSET($AF902,0,8-COUNTBLANK($AG902:$AN902))</f>
        <v>90MB1BJ0-C1BAY0 | 59MB1BJB-MB0A02S</v>
      </c>
      <c r="BF902" s="57">
        <f ca="1">IFERROR(VLOOKUP($BE902,$BD$5:$BF901,3,0)*$AE902,VLOOKUP($C902,Demanda!$A:$B,2,0)*$AE902)*IF(AT902="Phantom Alt",$BC902,TRUE)</f>
        <v>2000</v>
      </c>
      <c r="BG902" s="57">
        <f ca="1">BF902*(AP902/100)</f>
        <v>0</v>
      </c>
      <c r="BH902" s="57">
        <f>SUMIF(Invoice!A:A,F902,Invoice!B:B)</f>
        <v>0</v>
      </c>
      <c r="BI902" s="57">
        <f ca="1">SUMIF(AS:AS,AS902,BG:BG)</f>
        <v>2000</v>
      </c>
      <c r="BJ902" s="57">
        <f ca="1">MIN((BI902-SUMIF($AS$5:AS901,AS902,$BJ$5:BJ901)),MAX(0,BH902-SUMIF($F$5:F901,F902,$BJ$5:BJ901)))</f>
        <v>0</v>
      </c>
      <c r="BK902" s="57">
        <f ca="1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4" hidden="1">
      <c r="A903" s="43">
        <v>904</v>
      </c>
      <c r="B903" s="13" t="s">
        <v>147</v>
      </c>
      <c r="C903" s="13" t="s">
        <v>146</v>
      </c>
      <c r="D903" s="13">
        <v>2</v>
      </c>
      <c r="E903" s="13">
        <v>2990</v>
      </c>
      <c r="F903" s="71" t="s">
        <v>2075</v>
      </c>
      <c r="G903" s="71" t="s">
        <v>2076</v>
      </c>
      <c r="H903" s="13" t="s">
        <v>2074</v>
      </c>
      <c r="I903" s="13" t="s">
        <v>54</v>
      </c>
      <c r="J903" s="28">
        <v>100</v>
      </c>
      <c r="K903" s="13" t="s">
        <v>150</v>
      </c>
      <c r="L903" s="13" t="s">
        <v>53</v>
      </c>
      <c r="M903" s="13">
        <v>2</v>
      </c>
      <c r="N903" s="13">
        <v>2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44901</v>
      </c>
      <c r="U903" s="13">
        <v>2958465</v>
      </c>
      <c r="V903" s="13" t="s">
        <v>282</v>
      </c>
      <c r="W903" s="13" t="s">
        <v>145</v>
      </c>
      <c r="Y903" s="13" t="s">
        <v>143</v>
      </c>
      <c r="Z903" s="13">
        <v>7589154</v>
      </c>
      <c r="AA903" s="13">
        <v>1694</v>
      </c>
      <c r="AB903" s="13">
        <v>847</v>
      </c>
      <c r="AE903" s="51">
        <f>M903/O903</f>
        <v>2</v>
      </c>
      <c r="AG903" s="6" t="str">
        <f>C903</f>
        <v>90MB1BJ0-C1BAY0</v>
      </c>
      <c r="AH903" s="6" t="str">
        <f>IF($D903&lt;=AH$4,"",IF(AND($D902=AH$4,$D903&gt;AH$4),$F902,AH902))</f>
        <v>59MB1BJB-MB0A02S</v>
      </c>
      <c r="AI903" s="6" t="str">
        <f>IF($D903&lt;=AI$4,"",IF(AND($D902=AI$4,$D903&gt;AI$4),$F902,AI902))</f>
        <v/>
      </c>
      <c r="AJ903" s="6" t="str">
        <f>IF($D903&lt;=AJ$4,"",IF(AND($D902=AJ$4,$D903&gt;AJ$4),$F902,AJ902))</f>
        <v/>
      </c>
      <c r="AK903" s="6" t="str">
        <f>IF($D903&lt;=AK$4,"",IF(AND($D902=AK$4,$D903&gt;AK$4),$F902,AK902))</f>
        <v/>
      </c>
      <c r="AL903" s="6" t="str">
        <f>IF($D903&lt;=AL$4,"",IF(AND($D902=AL$4,$D903&gt;AL$4),$F902,AL902))</f>
        <v/>
      </c>
      <c r="AM903" s="6" t="str">
        <f>IF($D903&lt;=AM$4,"",IF(AND($D902=AM$4,$D903&gt;AM$4),$F902,AM902))</f>
        <v/>
      </c>
      <c r="AN903" s="6" t="str">
        <f>IF($D903&lt;=AN$4,"",IF(AND($D902=AN$4,$D903&gt;AN$4),$F902,AN902))</f>
        <v/>
      </c>
      <c r="AO903" s="6" t="str">
        <f>CONCATENATE(AG903," | ",AH903," | ",AI903," | ",AJ903," | ",AK903," | ",AL903," | ",AM903," | ",AN903)</f>
        <v xml:space="preserve">90MB1BJ0-C1BAY0 | 59MB1BJB-MB0A02S |  |  |  |  |  | </v>
      </c>
      <c r="AP903" s="6">
        <f>IF(TRIM(H903)="",100,J903)</f>
        <v>100</v>
      </c>
      <c r="AQ903" s="4"/>
      <c r="AR903" s="6" t="b">
        <f>NOT(TRIM(W903)&lt;&gt;"F")</f>
        <v>1</v>
      </c>
      <c r="AS903" s="6" t="str">
        <f>$B903&amp;" | "&amp;$AO903&amp;" | "&amp;IF(TRIM(H903)="","uniq"&amp;ROW(),TRIM(H903))</f>
        <v>461E | 90MB1BJ0-C1BAY0 | 59MB1BJB-MB0A02S |  |  |  |  |  |  | U9</v>
      </c>
      <c r="AT903" s="63">
        <f>IF(NOT(AR903),IF(TRIM($H903)="","Assembly","Phantom Alt"),VLOOKUP(F903,ZPCS04!B:G,6,0))</f>
        <v>1059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1.9999999659999999</v>
      </c>
      <c r="AX903" s="7"/>
      <c r="AY903" s="6" t="b">
        <f>SUMIF(AS:AS,AS903,AP:AP)=100</f>
        <v>1</v>
      </c>
      <c r="AZ903" s="6" t="b">
        <f>SUMIF(AS:AS,AS903,AE:AE)/COUNTIF(AS:AS,AS903)=AE903</f>
        <v>1</v>
      </c>
      <c r="BB903" s="38" t="str">
        <f ca="1">IF(AT903="Phantom Alt",MATCH($AS903,$AS$5:$AS903,0),IF(OR(OFFSET($AF903,0,8-COUNTBLANK($AG903:$AN903))=$F902,$BE903=$BE902),$BB902,""))</f>
        <v/>
      </c>
      <c r="BC903" s="41"/>
      <c r="BD903" s="55" t="str">
        <f>C903&amp;" | "&amp;F903</f>
        <v>90MB1BJ0-C1BAY0 | 12015-00064400</v>
      </c>
      <c r="BE903" s="55" t="str">
        <f ca="1">C903&amp;" | "&amp;OFFSET($AF903,0,8-COUNTBLANK($AG903:$AN903))</f>
        <v>90MB1BJ0-C1BAY0 | 59MB1BJB-MB0A02S</v>
      </c>
      <c r="BF903" s="57">
        <f ca="1">IFERROR(VLOOKUP($BE903,$BD$5:$BF902,3,0)*$AE903,VLOOKUP($C903,Demanda!$A:$B,2,0)*$AE903)*IF(AT903="Phantom Alt",$BC903,TRUE)</f>
        <v>2000</v>
      </c>
      <c r="BG903" s="57">
        <f ca="1">BF903*(AP903/100)</f>
        <v>2000</v>
      </c>
      <c r="BH903" s="57">
        <f>SUMIF(Invoice!A:A,F903,Invoice!B:B)</f>
        <v>3400</v>
      </c>
      <c r="BI903" s="57">
        <f ca="1">SUMIF(AS:AS,AS903,BG:BG)</f>
        <v>2000</v>
      </c>
      <c r="BJ903" s="57">
        <f ca="1">MIN((BI903-SUMIF($AS$5:AS902,AS903,$BJ$5:BJ902)),MAX(0,BH903-SUMIF($F$5:F902,F903,$BJ$5:BJ902)))</f>
        <v>2000</v>
      </c>
      <c r="BK903" s="57">
        <f ca="1">(-SUMIF(AS:AS,AS903,BG:BG)+SUMIF(AS:AS,AS903,BJ:BJ))*(AP903=100)*AR903</f>
        <v>0</v>
      </c>
      <c r="BL903" s="57">
        <f ca="1">MAX(0,SUMIF(Invoice!A:A,F903,Invoice!B:B)-SUMIF(F:F,F903,BJ:BJ))*(COUNTIF(F:F,F903)=COUNTIF($F$5:F903,F903))</f>
        <v>1400</v>
      </c>
    </row>
    <row r="904" spans="1:64" hidden="1">
      <c r="A904" s="43">
        <v>903</v>
      </c>
      <c r="B904" s="13" t="s">
        <v>147</v>
      </c>
      <c r="C904" s="13" t="s">
        <v>146</v>
      </c>
      <c r="D904" s="13">
        <v>2</v>
      </c>
      <c r="E904" s="13">
        <v>2990</v>
      </c>
      <c r="F904" s="71" t="s">
        <v>2072</v>
      </c>
      <c r="G904" s="71" t="s">
        <v>2073</v>
      </c>
      <c r="H904" s="13" t="s">
        <v>2074</v>
      </c>
      <c r="I904" s="13" t="s">
        <v>55</v>
      </c>
      <c r="J904" s="28">
        <v>0</v>
      </c>
      <c r="K904" s="13" t="s">
        <v>150</v>
      </c>
      <c r="L904" s="13" t="s">
        <v>53</v>
      </c>
      <c r="M904" s="13">
        <v>2</v>
      </c>
      <c r="O904" s="13">
        <v>1</v>
      </c>
      <c r="P904" s="13">
        <v>2</v>
      </c>
      <c r="Q904" s="13">
        <v>3</v>
      </c>
      <c r="R904" s="13" t="s">
        <v>73</v>
      </c>
      <c r="S904" s="13" t="s">
        <v>73</v>
      </c>
      <c r="T904" s="13">
        <v>44901</v>
      </c>
      <c r="U904" s="13">
        <v>2958465</v>
      </c>
      <c r="V904" s="13" t="s">
        <v>282</v>
      </c>
      <c r="W904" s="13" t="s">
        <v>145</v>
      </c>
      <c r="Y904" s="13" t="s">
        <v>143</v>
      </c>
      <c r="Z904" s="13">
        <v>7589154</v>
      </c>
      <c r="AA904" s="13">
        <v>1698</v>
      </c>
      <c r="AB904" s="13">
        <v>849</v>
      </c>
      <c r="AE904" s="51">
        <f>M904/O904</f>
        <v>2</v>
      </c>
      <c r="AG904" s="6" t="str">
        <f>C904</f>
        <v>90MB1BJ0-C1BAY0</v>
      </c>
      <c r="AH904" s="6" t="str">
        <f>IF($D904&lt;=AH$4,"",IF(AND($D903=AH$4,$D904&gt;AH$4),$F903,AH903))</f>
        <v>59MB1BJB-MB0A02S</v>
      </c>
      <c r="AI904" s="6" t="str">
        <f>IF($D904&lt;=AI$4,"",IF(AND($D903=AI$4,$D904&gt;AI$4),$F903,AI903))</f>
        <v/>
      </c>
      <c r="AJ904" s="6" t="str">
        <f>IF($D904&lt;=AJ$4,"",IF(AND($D903=AJ$4,$D904&gt;AJ$4),$F903,AJ903))</f>
        <v/>
      </c>
      <c r="AK904" s="6" t="str">
        <f>IF($D904&lt;=AK$4,"",IF(AND($D903=AK$4,$D904&gt;AK$4),$F903,AK903))</f>
        <v/>
      </c>
      <c r="AL904" s="6" t="str">
        <f>IF($D904&lt;=AL$4,"",IF(AND($D903=AL$4,$D904&gt;AL$4),$F903,AL903))</f>
        <v/>
      </c>
      <c r="AM904" s="6" t="str">
        <f>IF($D904&lt;=AM$4,"",IF(AND($D903=AM$4,$D904&gt;AM$4),$F903,AM903))</f>
        <v/>
      </c>
      <c r="AN904" s="6" t="str">
        <f>IF($D904&lt;=AN$4,"",IF(AND($D903=AN$4,$D904&gt;AN$4),$F903,AN903))</f>
        <v/>
      </c>
      <c r="AO904" s="6" t="str">
        <f>CONCATENATE(AG904," | ",AH904," | ",AI904," | ",AJ904," | ",AK904," | ",AL904," | ",AM904," | ",AN904)</f>
        <v xml:space="preserve">90MB1BJ0-C1BAY0 | 59MB1BJB-MB0A02S |  |  |  |  |  | </v>
      </c>
      <c r="AP904" s="6">
        <f>IF(TRIM(H904)="",100,J904)</f>
        <v>0</v>
      </c>
      <c r="AQ904" s="4"/>
      <c r="AR904" s="6" t="b">
        <f>NOT(TRIM(W904)&lt;&gt;"F")</f>
        <v>1</v>
      </c>
      <c r="AS904" s="6" t="str">
        <f>$B904&amp;" | "&amp;$AO904&amp;" | "&amp;IF(TRIM(H904)="","uniq"&amp;ROW(),TRIM(H904))</f>
        <v>461E | 90MB1BJ0-C1BAY0 | 59MB1BJB-MB0A02S |  |  |  |  |  |  | U9</v>
      </c>
      <c r="AT904" s="63">
        <f>IF(NOT(AR904),IF(TRIM($H904)="","Assembly","Phantom Alt"),VLOOKUP(F904,ZPCS04!B:G,6,0))</f>
        <v>1059</v>
      </c>
      <c r="AU904" s="7"/>
      <c r="AV904" s="38">
        <f ca="1">IF(TRIM($W904)="F",OFFSET($A$5,MATCH($AS904,$AS$5:$AS904,0)-1,0),$A904)</f>
        <v>904</v>
      </c>
      <c r="AW904" s="38">
        <f ca="1">IFERROR(OFFSET(ZPCS04!$A$1,MATCH(F904,ZPCS04!B:B,0)-1,0),100)</f>
        <v>2</v>
      </c>
      <c r="AX904" s="7"/>
      <c r="AY904" s="6" t="b">
        <f>SUMIF(AS:AS,AS904,AP:AP)=100</f>
        <v>1</v>
      </c>
      <c r="AZ904" s="6" t="b">
        <f>SUMIF(AS:AS,AS904,AE:AE)/COUNTIF(AS:AS,AS904)=AE904</f>
        <v>1</v>
      </c>
      <c r="BB904" s="38" t="str">
        <f ca="1">IF(AT904="Phantom Alt",MATCH($AS904,$AS$5:$AS904,0),IF(OR(OFFSET($AF904,0,8-COUNTBLANK($AG904:$AN904))=$F903,$BE904=$BE903),$BB903,""))</f>
        <v/>
      </c>
      <c r="BC904" s="41"/>
      <c r="BD904" s="55" t="str">
        <f>C904&amp;" | "&amp;F904</f>
        <v>90MB1BJ0-C1BAY0 | 12015-00063300</v>
      </c>
      <c r="BE904" s="55" t="str">
        <f ca="1">C904&amp;" | "&amp;OFFSET($AF904,0,8-COUNTBLANK($AG904:$AN904))</f>
        <v>90MB1BJ0-C1BAY0 | 59MB1BJB-MB0A02S</v>
      </c>
      <c r="BF904" s="57">
        <f ca="1">IFERROR(VLOOKUP($BE904,$BD$5:$BF903,3,0)*$AE904,VLOOKUP($C904,Demanda!$A:$B,2,0)*$AE904)*IF(AT904="Phantom Alt",$BC904,TRUE)</f>
        <v>2000</v>
      </c>
      <c r="BG904" s="57">
        <f ca="1">BF904*(AP904/100)</f>
        <v>0</v>
      </c>
      <c r="BH904" s="57">
        <f>SUMIF(Invoice!A:A,F904,Invoice!B:B)</f>
        <v>0</v>
      </c>
      <c r="BI904" s="57">
        <f ca="1">SUMIF(AS:AS,AS904,BG:BG)</f>
        <v>2000</v>
      </c>
      <c r="BJ904" s="57">
        <f ca="1">MIN((BI904-SUMIF($AS$5:AS903,AS904,$BJ$5:BJ903)),MAX(0,BH904-SUMIF($F$5:F903,F904,$BJ$5:BJ903)))</f>
        <v>0</v>
      </c>
      <c r="BK904" s="57">
        <f ca="1">(-SUMIF(AS:AS,AS904,BG:BG)+SUMIF(AS:AS,AS904,BJ:BJ))*(AP904=100)*AR904</f>
        <v>0</v>
      </c>
      <c r="BL904" s="57">
        <f ca="1">MAX(0,SUMIF(Invoice!A:A,F904,Invoice!B:B)-SUMIF(F:F,F904,BJ:BJ))*(COUNTIF(F:F,F904)=COUNTIF($F$5:F904,F904))</f>
        <v>0</v>
      </c>
    </row>
    <row r="905" spans="1:64" hidden="1">
      <c r="A905" s="43">
        <v>905</v>
      </c>
      <c r="B905" s="13" t="s">
        <v>147</v>
      </c>
      <c r="C905" s="13" t="s">
        <v>146</v>
      </c>
      <c r="D905" s="13">
        <v>2</v>
      </c>
      <c r="E905" s="13">
        <v>2990</v>
      </c>
      <c r="F905" s="71" t="s">
        <v>2077</v>
      </c>
      <c r="G905" s="71" t="s">
        <v>2078</v>
      </c>
      <c r="H905" s="13" t="s">
        <v>2074</v>
      </c>
      <c r="I905" s="13" t="s">
        <v>55</v>
      </c>
      <c r="J905" s="28">
        <v>0</v>
      </c>
      <c r="K905" s="13" t="s">
        <v>150</v>
      </c>
      <c r="L905" s="13" t="s">
        <v>53</v>
      </c>
      <c r="M905" s="13">
        <v>2</v>
      </c>
      <c r="O905" s="13">
        <v>1</v>
      </c>
      <c r="P905" s="13">
        <v>2</v>
      </c>
      <c r="Q905" s="13">
        <v>2</v>
      </c>
      <c r="R905" s="13" t="s">
        <v>73</v>
      </c>
      <c r="S905" s="13" t="s">
        <v>73</v>
      </c>
      <c r="T905" s="13">
        <v>44901</v>
      </c>
      <c r="U905" s="13">
        <v>2958465</v>
      </c>
      <c r="V905" s="13" t="s">
        <v>282</v>
      </c>
      <c r="W905" s="13" t="s">
        <v>145</v>
      </c>
      <c r="Y905" s="13" t="s">
        <v>143</v>
      </c>
      <c r="Z905" s="13">
        <v>7589154</v>
      </c>
      <c r="AA905" s="13">
        <v>1696</v>
      </c>
      <c r="AB905" s="13">
        <v>848</v>
      </c>
      <c r="AE905" s="51">
        <f>M905/O905</f>
        <v>2</v>
      </c>
      <c r="AG905" s="6" t="str">
        <f>C905</f>
        <v>90MB1BJ0-C1BAY0</v>
      </c>
      <c r="AH905" s="6" t="str">
        <f>IF($D905&lt;=AH$4,"",IF(AND($D904=AH$4,$D905&gt;AH$4),$F904,AH904))</f>
        <v>59MB1BJB-MB0A02S</v>
      </c>
      <c r="AI905" s="6" t="str">
        <f>IF($D905&lt;=AI$4,"",IF(AND($D904=AI$4,$D905&gt;AI$4),$F904,AI904))</f>
        <v/>
      </c>
      <c r="AJ905" s="6" t="str">
        <f>IF($D905&lt;=AJ$4,"",IF(AND($D904=AJ$4,$D905&gt;AJ$4),$F904,AJ904))</f>
        <v/>
      </c>
      <c r="AK905" s="6" t="str">
        <f>IF($D905&lt;=AK$4,"",IF(AND($D904=AK$4,$D905&gt;AK$4),$F904,AK904))</f>
        <v/>
      </c>
      <c r="AL905" s="6" t="str">
        <f>IF($D905&lt;=AL$4,"",IF(AND($D904=AL$4,$D905&gt;AL$4),$F904,AL904))</f>
        <v/>
      </c>
      <c r="AM905" s="6" t="str">
        <f>IF($D905&lt;=AM$4,"",IF(AND($D904=AM$4,$D905&gt;AM$4),$F904,AM904))</f>
        <v/>
      </c>
      <c r="AN905" s="6" t="str">
        <f>IF($D905&lt;=AN$4,"",IF(AND($D904=AN$4,$D905&gt;AN$4),$F904,AN904))</f>
        <v/>
      </c>
      <c r="AO905" s="6" t="str">
        <f>CONCATENATE(AG905," | ",AH905," | ",AI905," | ",AJ905," | ",AK905," | ",AL905," | ",AM905," | ",AN905)</f>
        <v xml:space="preserve">90MB1BJ0-C1BAY0 | 59MB1BJB-MB0A02S |  |  |  |  |  | </v>
      </c>
      <c r="AP905" s="6">
        <f>IF(TRIM(H905)="",100,J905)</f>
        <v>0</v>
      </c>
      <c r="AQ905" s="4"/>
      <c r="AR905" s="6" t="b">
        <f>NOT(TRIM(W905)&lt;&gt;"F")</f>
        <v>1</v>
      </c>
      <c r="AS905" s="6" t="str">
        <f>$B905&amp;" | "&amp;$AO905&amp;" | "&amp;IF(TRIM(H905)="","uniq"&amp;ROW(),TRIM(H905))</f>
        <v>461E | 90MB1BJ0-C1BAY0 | 59MB1BJB-MB0A02S |  |  |  |  |  |  | U9</v>
      </c>
      <c r="AT905" s="63">
        <f>IF(NOT(AR905),IF(TRIM($H905)="","Assembly","Phantom Alt"),VLOOKUP(F905,ZPCS04!B:G,6,0))</f>
        <v>1059</v>
      </c>
      <c r="AU905" s="7"/>
      <c r="AV905" s="38">
        <f ca="1">IF(TRIM($W905)="F",OFFSET($A$5,MATCH($AS905,$AS$5:$AS905,0)-1,0),$A905)</f>
        <v>904</v>
      </c>
      <c r="AW905" s="38">
        <f ca="1">IFERROR(OFFSET(ZPCS04!$A$1,MATCH(F905,ZPCS04!B:B,0)-1,0),100)</f>
        <v>2</v>
      </c>
      <c r="AX905" s="7"/>
      <c r="AY905" s="6" t="b">
        <f>SUMIF(AS:AS,AS905,AP:AP)=100</f>
        <v>1</v>
      </c>
      <c r="AZ905" s="6" t="b">
        <f>SUMIF(AS:AS,AS905,AE:AE)/COUNTIF(AS:AS,AS905)=AE905</f>
        <v>1</v>
      </c>
      <c r="BB905" s="38" t="str">
        <f ca="1">IF(AT905="Phantom Alt",MATCH($AS905,$AS$5:$AS905,0),IF(OR(OFFSET($AF905,0,8-COUNTBLANK($AG905:$AN905))=$F904,$BE905=$BE904),$BB904,""))</f>
        <v/>
      </c>
      <c r="BC905" s="41"/>
      <c r="BD905" s="55" t="str">
        <f>C905&amp;" | "&amp;F905</f>
        <v>90MB1BJ0-C1BAY0 | 12015-00064700</v>
      </c>
      <c r="BE905" s="55" t="str">
        <f ca="1">C905&amp;" | "&amp;OFFSET($AF905,0,8-COUNTBLANK($AG905:$AN905))</f>
        <v>90MB1BJ0-C1BAY0 | 59MB1BJB-MB0A02S</v>
      </c>
      <c r="BF905" s="57">
        <f ca="1">IFERROR(VLOOKUP($BE905,$BD$5:$BF904,3,0)*$AE905,VLOOKUP($C905,Demanda!$A:$B,2,0)*$AE905)*IF(AT905="Phantom Alt",$BC905,TRUE)</f>
        <v>2000</v>
      </c>
      <c r="BG905" s="57">
        <f ca="1">BF905*(AP905/100)</f>
        <v>0</v>
      </c>
      <c r="BH905" s="57">
        <f>SUMIF(Invoice!A:A,F905,Invoice!B:B)</f>
        <v>0</v>
      </c>
      <c r="BI905" s="57">
        <f ca="1">SUMIF(AS:AS,AS905,BG:BG)</f>
        <v>2000</v>
      </c>
      <c r="BJ905" s="57">
        <f ca="1">MIN((BI905-SUMIF($AS$5:AS904,AS905,$BJ$5:BJ904)),MAX(0,BH905-SUMIF($F$5:F904,F905,$BJ$5:BJ904)))</f>
        <v>0</v>
      </c>
      <c r="BK905" s="57">
        <f ca="1">(-SUMIF(AS:AS,AS905,BG:BG)+SUMIF(AS:AS,AS905,BJ:BJ))*(AP905=100)*AR905</f>
        <v>0</v>
      </c>
      <c r="BL905" s="57">
        <f ca="1">MAX(0,SUMIF(Invoice!A:A,F905,Invoice!B:B)-SUMIF(F:F,F905,BJ:BJ))*(COUNTIF(F:F,F905)=COUNTIF($F$5:F905,F905))</f>
        <v>0</v>
      </c>
    </row>
    <row r="906" spans="1:64" hidden="1">
      <c r="A906" s="43">
        <v>906</v>
      </c>
      <c r="B906" s="13" t="s">
        <v>147</v>
      </c>
      <c r="C906" s="13" t="s">
        <v>146</v>
      </c>
      <c r="D906" s="13">
        <v>2</v>
      </c>
      <c r="E906" s="13">
        <v>3000</v>
      </c>
      <c r="F906" s="71" t="s">
        <v>2079</v>
      </c>
      <c r="G906" s="71" t="s">
        <v>2080</v>
      </c>
      <c r="H906" s="13" t="s">
        <v>2081</v>
      </c>
      <c r="I906" s="13" t="s">
        <v>54</v>
      </c>
      <c r="J906" s="28">
        <v>100</v>
      </c>
      <c r="K906" s="13" t="s">
        <v>150</v>
      </c>
      <c r="L906" s="13" t="s">
        <v>53</v>
      </c>
      <c r="M906" s="13">
        <v>1</v>
      </c>
      <c r="N906" s="13">
        <v>1</v>
      </c>
      <c r="O906" s="13">
        <v>1</v>
      </c>
      <c r="P906" s="13">
        <v>2</v>
      </c>
      <c r="Q906" s="13">
        <v>1</v>
      </c>
      <c r="R906" s="13" t="s">
        <v>73</v>
      </c>
      <c r="S906" s="13" t="s">
        <v>73</v>
      </c>
      <c r="T906" s="13">
        <v>44901</v>
      </c>
      <c r="U906" s="13">
        <v>2958465</v>
      </c>
      <c r="V906" s="13" t="s">
        <v>282</v>
      </c>
      <c r="W906" s="13" t="s">
        <v>145</v>
      </c>
      <c r="Y906" s="13" t="s">
        <v>143</v>
      </c>
      <c r="Z906" s="13">
        <v>7589154</v>
      </c>
      <c r="AA906" s="13">
        <v>1700</v>
      </c>
      <c r="AB906" s="13">
        <v>850</v>
      </c>
      <c r="AE906" s="51">
        <f>M906/O906</f>
        <v>1</v>
      </c>
      <c r="AG906" s="6" t="str">
        <f>C906</f>
        <v>90MB1BJ0-C1BAY0</v>
      </c>
      <c r="AH906" s="6" t="str">
        <f>IF($D906&lt;=AH$4,"",IF(AND($D905=AH$4,$D906&gt;AH$4),$F905,AH905))</f>
        <v>59MB1BJB-MB0A02S</v>
      </c>
      <c r="AI906" s="6" t="str">
        <f>IF($D906&lt;=AI$4,"",IF(AND($D905=AI$4,$D906&gt;AI$4),$F905,AI905))</f>
        <v/>
      </c>
      <c r="AJ906" s="6" t="str">
        <f>IF($D906&lt;=AJ$4,"",IF(AND($D905=AJ$4,$D906&gt;AJ$4),$F905,AJ905))</f>
        <v/>
      </c>
      <c r="AK906" s="6" t="str">
        <f>IF($D906&lt;=AK$4,"",IF(AND($D905=AK$4,$D906&gt;AK$4),$F905,AK905))</f>
        <v/>
      </c>
      <c r="AL906" s="6" t="str">
        <f>IF($D906&lt;=AL$4,"",IF(AND($D905=AL$4,$D906&gt;AL$4),$F905,AL905))</f>
        <v/>
      </c>
      <c r="AM906" s="6" t="str">
        <f>IF($D906&lt;=AM$4,"",IF(AND($D905=AM$4,$D906&gt;AM$4),$F905,AM905))</f>
        <v/>
      </c>
      <c r="AN906" s="6" t="str">
        <f>IF($D906&lt;=AN$4,"",IF(AND($D905=AN$4,$D906&gt;AN$4),$F905,AN905))</f>
        <v/>
      </c>
      <c r="AO906" s="6" t="str">
        <f>CONCATENATE(AG906," | ",AH906," | ",AI906," | ",AJ906," | ",AK906," | ",AL906," | ",AM906," | ",AN906)</f>
        <v xml:space="preserve">90MB1BJ0-C1BAY0 | 59MB1BJB-MB0A02S |  |  |  |  |  | </v>
      </c>
      <c r="AP906" s="6">
        <f>IF(TRIM(H906)="",100,J906)</f>
        <v>100</v>
      </c>
      <c r="AQ906" s="4"/>
      <c r="AR906" s="6" t="b">
        <f>NOT(TRIM(W906)&lt;&gt;"F")</f>
        <v>1</v>
      </c>
      <c r="AS906" s="6" t="str">
        <f>$B906&amp;" | "&amp;$AO906&amp;" | "&amp;IF(TRIM(H906)="","uniq"&amp;ROW(),TRIM(H906))</f>
        <v>461E | 90MB1BJ0-C1BAY0 | 59MB1BJB-MB0A02S |  |  |  |  |  |  | T0</v>
      </c>
      <c r="AT906" s="63">
        <f>IF(NOT(AR906),IF(TRIM($H906)="","Assembly","Phantom Alt"),VLOOKUP(F906,ZPCS04!B:G,6,0))</f>
        <v>291</v>
      </c>
      <c r="AU906" s="7"/>
      <c r="AV906" s="38">
        <f ca="1">IF(TRIM($W906)="F",OFFSET($A$5,MATCH($AS906,$AS$5:$AS906,0)-1,0),$A906)</f>
        <v>906</v>
      </c>
      <c r="AW906" s="38">
        <f ca="1">IFERROR(OFFSET(ZPCS04!$A$1,MATCH(F906,ZPCS04!B:B,0)-1,0),100)</f>
        <v>1.9999999873999998</v>
      </c>
      <c r="AX906" s="7"/>
      <c r="AY906" s="6" t="b">
        <f>SUMIF(AS:AS,AS906,AP:AP)=100</f>
        <v>1</v>
      </c>
      <c r="AZ906" s="6" t="b">
        <f>SUMIF(AS:AS,AS906,AE:AE)/COUNTIF(AS:AS,AS906)=AE906</f>
        <v>1</v>
      </c>
      <c r="BB906" s="38" t="str">
        <f ca="1">IF(AT906="Phantom Alt",MATCH($AS906,$AS$5:$AS906,0),IF(OR(OFFSET($AF906,0,8-COUNTBLANK($AG906:$AN906))=$F905,$BE906=$BE905),$BB905,""))</f>
        <v/>
      </c>
      <c r="BC906" s="41"/>
      <c r="BD906" s="55" t="str">
        <f>C906&amp;" | "&amp;F906</f>
        <v>90MB1BJ0-C1BAY0 | 12022-00060000</v>
      </c>
      <c r="BE906" s="55" t="str">
        <f ca="1">C906&amp;" | "&amp;OFFSET($AF906,0,8-COUNTBLANK($AG906:$AN906))</f>
        <v>90MB1BJ0-C1BAY0 | 59MB1BJB-MB0A02S</v>
      </c>
      <c r="BF906" s="57">
        <f ca="1">IFERROR(VLOOKUP($BE906,$BD$5:$BF905,3,0)*$AE906,VLOOKUP($C906,Demanda!$A:$B,2,0)*$AE906)*IF(AT906="Phantom Alt",$BC906,TRUE)</f>
        <v>1000</v>
      </c>
      <c r="BG906" s="57">
        <f ca="1">BF906*(AP906/100)</f>
        <v>1000</v>
      </c>
      <c r="BH906" s="57">
        <f>SUMIF(Invoice!A:A,F906,Invoice!B:B)</f>
        <v>1260</v>
      </c>
      <c r="BI906" s="57">
        <f ca="1">SUMIF(AS:AS,AS906,BG:BG)</f>
        <v>1000</v>
      </c>
      <c r="BJ906" s="57">
        <f ca="1">MIN((BI906-SUMIF($AS$5:AS905,AS906,$BJ$5:BJ905)),MAX(0,BH906-SUMIF($F$5:F905,F906,$BJ$5:BJ905)))</f>
        <v>1000</v>
      </c>
      <c r="BK906" s="57">
        <f ca="1">(-SUMIF(AS:AS,AS906,BG:BG)+SUMIF(AS:AS,AS906,BJ:BJ))*(AP906=100)*AR906</f>
        <v>0</v>
      </c>
      <c r="BL906" s="57">
        <f ca="1">MAX(0,SUMIF(Invoice!A:A,F906,Invoice!B:B)-SUMIF(F:F,F906,BJ:BJ))*(COUNTIF(F:F,F906)=COUNTIF($F$5:F906,F906))</f>
        <v>260</v>
      </c>
    </row>
    <row r="907" spans="1:64" hidden="1">
      <c r="A907" s="43">
        <v>907</v>
      </c>
      <c r="B907" s="13" t="s">
        <v>147</v>
      </c>
      <c r="C907" s="13" t="s">
        <v>146</v>
      </c>
      <c r="D907" s="13">
        <v>2</v>
      </c>
      <c r="E907" s="13">
        <v>3000</v>
      </c>
      <c r="F907" s="71" t="s">
        <v>2082</v>
      </c>
      <c r="G907" s="71" t="s">
        <v>2083</v>
      </c>
      <c r="H907" s="13" t="s">
        <v>2081</v>
      </c>
      <c r="I907" s="13" t="s">
        <v>55</v>
      </c>
      <c r="J907" s="28">
        <v>0</v>
      </c>
      <c r="K907" s="13" t="s">
        <v>150</v>
      </c>
      <c r="L907" s="13" t="s">
        <v>53</v>
      </c>
      <c r="M907" s="13">
        <v>1</v>
      </c>
      <c r="O907" s="13">
        <v>1</v>
      </c>
      <c r="P907" s="13">
        <v>2</v>
      </c>
      <c r="Q907" s="13">
        <v>2</v>
      </c>
      <c r="R907" s="13" t="s">
        <v>73</v>
      </c>
      <c r="S907" s="13" t="s">
        <v>73</v>
      </c>
      <c r="T907" s="13">
        <v>44901</v>
      </c>
      <c r="U907" s="13">
        <v>2958465</v>
      </c>
      <c r="V907" s="13" t="s">
        <v>282</v>
      </c>
      <c r="W907" s="13" t="s">
        <v>145</v>
      </c>
      <c r="Y907" s="13" t="s">
        <v>143</v>
      </c>
      <c r="Z907" s="13">
        <v>7589154</v>
      </c>
      <c r="AA907" s="13">
        <v>1702</v>
      </c>
      <c r="AB907" s="13">
        <v>851</v>
      </c>
      <c r="AE907" s="51">
        <f>M907/O907</f>
        <v>1</v>
      </c>
      <c r="AG907" s="6" t="str">
        <f>C907</f>
        <v>90MB1BJ0-C1BAY0</v>
      </c>
      <c r="AH907" s="6" t="str">
        <f>IF($D907&lt;=AH$4,"",IF(AND($D906=AH$4,$D907&gt;AH$4),$F906,AH906))</f>
        <v>59MB1BJB-MB0A02S</v>
      </c>
      <c r="AI907" s="6" t="str">
        <f>IF($D907&lt;=AI$4,"",IF(AND($D906=AI$4,$D907&gt;AI$4),$F906,AI906))</f>
        <v/>
      </c>
      <c r="AJ907" s="6" t="str">
        <f>IF($D907&lt;=AJ$4,"",IF(AND($D906=AJ$4,$D907&gt;AJ$4),$F906,AJ906))</f>
        <v/>
      </c>
      <c r="AK907" s="6" t="str">
        <f>IF($D907&lt;=AK$4,"",IF(AND($D906=AK$4,$D907&gt;AK$4),$F906,AK906))</f>
        <v/>
      </c>
      <c r="AL907" s="6" t="str">
        <f>IF($D907&lt;=AL$4,"",IF(AND($D906=AL$4,$D907&gt;AL$4),$F906,AL906))</f>
        <v/>
      </c>
      <c r="AM907" s="6" t="str">
        <f>IF($D907&lt;=AM$4,"",IF(AND($D906=AM$4,$D907&gt;AM$4),$F906,AM906))</f>
        <v/>
      </c>
      <c r="AN907" s="6" t="str">
        <f>IF($D907&lt;=AN$4,"",IF(AND($D906=AN$4,$D907&gt;AN$4),$F906,AN906))</f>
        <v/>
      </c>
      <c r="AO907" s="6" t="str">
        <f>CONCATENATE(AG907," | ",AH907," | ",AI907," | ",AJ907," | ",AK907," | ",AL907," | ",AM907," | ",AN907)</f>
        <v xml:space="preserve">90MB1BJ0-C1BAY0 | 59MB1BJB-MB0A02S |  |  |  |  |  | </v>
      </c>
      <c r="AP907" s="6">
        <f>IF(TRIM(H907)="",100,J907)</f>
        <v>0</v>
      </c>
      <c r="AQ907" s="4"/>
      <c r="AR907" s="6" t="b">
        <f>NOT(TRIM(W907)&lt;&gt;"F")</f>
        <v>1</v>
      </c>
      <c r="AS907" s="6" t="str">
        <f>$B907&amp;" | "&amp;$AO907&amp;" | "&amp;IF(TRIM(H907)="","uniq"&amp;ROW(),TRIM(H907))</f>
        <v>461E | 90MB1BJ0-C1BAY0 | 59MB1BJB-MB0A02S |  |  |  |  |  |  | T0</v>
      </c>
      <c r="AT907" s="63">
        <f>IF(NOT(AR907),IF(TRIM($H907)="","Assembly","Phantom Alt"),VLOOKUP(F907,ZPCS04!B:G,6,0))</f>
        <v>291</v>
      </c>
      <c r="AU907" s="7"/>
      <c r="AV907" s="38">
        <f ca="1">IF(TRIM($W907)="F",OFFSET($A$5,MATCH($AS907,$AS$5:$AS907,0)-1,0),$A907)</f>
        <v>906</v>
      </c>
      <c r="AW907" s="38">
        <f ca="1">IFERROR(OFFSET(ZPCS04!$A$1,MATCH(F907,ZPCS04!B:B,0)-1,0),100)</f>
        <v>2</v>
      </c>
      <c r="AX907" s="7"/>
      <c r="AY907" s="6" t="b">
        <f>SUMIF(AS:AS,AS907,AP:AP)=100</f>
        <v>1</v>
      </c>
      <c r="AZ907" s="6" t="b">
        <f>SUMIF(AS:AS,AS907,AE:AE)/COUNTIF(AS:AS,AS907)=AE907</f>
        <v>1</v>
      </c>
      <c r="BB907" s="38" t="str">
        <f ca="1">IF(AT907="Phantom Alt",MATCH($AS907,$AS$5:$AS907,0),IF(OR(OFFSET($AF907,0,8-COUNTBLANK($AG907:$AN907))=$F906,$BE907=$BE906),$BB906,""))</f>
        <v/>
      </c>
      <c r="BC907" s="41"/>
      <c r="BD907" s="55" t="str">
        <f>C907&amp;" | "&amp;F907</f>
        <v>90MB1BJ0-C1BAY0 | 12022-00060100</v>
      </c>
      <c r="BE907" s="55" t="str">
        <f ca="1">C907&amp;" | "&amp;OFFSET($AF907,0,8-COUNTBLANK($AG907:$AN907))</f>
        <v>90MB1BJ0-C1BAY0 | 59MB1BJB-MB0A02S</v>
      </c>
      <c r="BF907" s="57">
        <f ca="1">IFERROR(VLOOKUP($BE907,$BD$5:$BF906,3,0)*$AE907,VLOOKUP($C907,Demanda!$A:$B,2,0)*$AE907)*IF(AT907="Phantom Alt",$BC907,TRUE)</f>
        <v>1000</v>
      </c>
      <c r="BG907" s="57">
        <f ca="1">BF907*(AP907/100)</f>
        <v>0</v>
      </c>
      <c r="BH907" s="57">
        <f>SUMIF(Invoice!A:A,F907,Invoice!B:B)</f>
        <v>0</v>
      </c>
      <c r="BI907" s="57">
        <f ca="1">SUMIF(AS:AS,AS907,BG:BG)</f>
        <v>1000</v>
      </c>
      <c r="BJ907" s="57">
        <f ca="1">MIN((BI907-SUMIF($AS$5:AS906,AS907,$BJ$5:BJ906)),MAX(0,BH907-SUMIF($F$5:F906,F907,$BJ$5:BJ906)))</f>
        <v>0</v>
      </c>
      <c r="BK907" s="57">
        <f ca="1">(-SUMIF(AS:AS,AS907,BG:BG)+SUMIF(AS:AS,AS907,BJ:BJ))*(AP907=100)*AR907</f>
        <v>0</v>
      </c>
      <c r="BL907" s="57">
        <f ca="1">MAX(0,SUMIF(Invoice!A:A,F907,Invoice!B:B)-SUMIF(F:F,F907,BJ:BJ))*(COUNTIF(F:F,F907)=COUNTIF($F$5:F907,F907))</f>
        <v>0</v>
      </c>
    </row>
    <row r="908" spans="1:64" hidden="1">
      <c r="A908" s="43">
        <v>908</v>
      </c>
      <c r="B908" s="13" t="s">
        <v>147</v>
      </c>
      <c r="C908" s="13" t="s">
        <v>146</v>
      </c>
      <c r="D908" s="13">
        <v>2</v>
      </c>
      <c r="E908" s="13">
        <v>3010</v>
      </c>
      <c r="F908" s="71" t="s">
        <v>2084</v>
      </c>
      <c r="G908" s="71" t="s">
        <v>2085</v>
      </c>
      <c r="I908" s="13" t="s">
        <v>54</v>
      </c>
      <c r="J908" s="28">
        <v>0</v>
      </c>
      <c r="K908" s="13" t="s">
        <v>150</v>
      </c>
      <c r="L908" s="13" t="s">
        <v>53</v>
      </c>
      <c r="M908" s="13">
        <v>1</v>
      </c>
      <c r="N908" s="13">
        <v>1</v>
      </c>
      <c r="O908" s="13">
        <v>1</v>
      </c>
      <c r="R908" s="13" t="s">
        <v>73</v>
      </c>
      <c r="S908" s="13" t="s">
        <v>73</v>
      </c>
      <c r="T908" s="13">
        <v>44901</v>
      </c>
      <c r="U908" s="13">
        <v>2958465</v>
      </c>
      <c r="V908" s="13" t="s">
        <v>282</v>
      </c>
      <c r="W908" s="13" t="s">
        <v>145</v>
      </c>
      <c r="Y908" s="13" t="s">
        <v>143</v>
      </c>
      <c r="Z908" s="13">
        <v>7589154</v>
      </c>
      <c r="AA908" s="13">
        <v>1704</v>
      </c>
      <c r="AB908" s="13">
        <v>852</v>
      </c>
      <c r="AE908" s="51">
        <f>M908/O908</f>
        <v>1</v>
      </c>
      <c r="AG908" s="6" t="str">
        <f>C908</f>
        <v>90MB1BJ0-C1BAY0</v>
      </c>
      <c r="AH908" s="6" t="str">
        <f>IF($D908&lt;=AH$4,"",IF(AND($D907=AH$4,$D908&gt;AH$4),$F907,AH907))</f>
        <v>59MB1BJB-MB0A02S</v>
      </c>
      <c r="AI908" s="6" t="str">
        <f>IF($D908&lt;=AI$4,"",IF(AND($D907=AI$4,$D908&gt;AI$4),$F907,AI907))</f>
        <v/>
      </c>
      <c r="AJ908" s="6" t="str">
        <f>IF($D908&lt;=AJ$4,"",IF(AND($D907=AJ$4,$D908&gt;AJ$4),$F907,AJ907))</f>
        <v/>
      </c>
      <c r="AK908" s="6" t="str">
        <f>IF($D908&lt;=AK$4,"",IF(AND($D907=AK$4,$D908&gt;AK$4),$F907,AK907))</f>
        <v/>
      </c>
      <c r="AL908" s="6" t="str">
        <f>IF($D908&lt;=AL$4,"",IF(AND($D907=AL$4,$D908&gt;AL$4),$F907,AL907))</f>
        <v/>
      </c>
      <c r="AM908" s="6" t="str">
        <f>IF($D908&lt;=AM$4,"",IF(AND($D907=AM$4,$D908&gt;AM$4),$F907,AM907))</f>
        <v/>
      </c>
      <c r="AN908" s="6" t="str">
        <f>IF($D908&lt;=AN$4,"",IF(AND($D907=AN$4,$D908&gt;AN$4),$F907,AN907))</f>
        <v/>
      </c>
      <c r="AO908" s="6" t="str">
        <f>CONCATENATE(AG908," | ",AH908," | ",AI908," | ",AJ908," | ",AK908," | ",AL908," | ",AM908," | ",AN908)</f>
        <v xml:space="preserve">90MB1BJ0-C1BAY0 | 59MB1BJB-MB0A02S |  |  |  |  |  | </v>
      </c>
      <c r="AP908" s="6">
        <f>IF(TRIM(H908)="",100,J908)</f>
        <v>100</v>
      </c>
      <c r="AQ908" s="4"/>
      <c r="AR908" s="6" t="b">
        <f>NOT(TRIM(W908)&lt;&gt;"F")</f>
        <v>1</v>
      </c>
      <c r="AS908" s="6" t="str">
        <f>$B908&amp;" | "&amp;$AO908&amp;" | "&amp;IF(TRIM(H908)="","uniq"&amp;ROW(),TRIM(H908))</f>
        <v>461E | 90MB1BJ0-C1BAY0 | 59MB1BJB-MB0A02S |  |  |  |  |  |  | uniq908</v>
      </c>
      <c r="AT908" s="63">
        <f>IF(NOT(AR908),IF(TRIM($H908)="","Assembly","Phantom Alt"),VLOOKUP(F908,ZPCS04!B:G,6,0))</f>
        <v>156</v>
      </c>
      <c r="AU908" s="7"/>
      <c r="AV908" s="38">
        <f ca="1">IF(TRIM($W908)="F",OFFSET($A$5,MATCH($AS908,$AS$5:$AS908,0)-1,0),$A908)</f>
        <v>908</v>
      </c>
      <c r="AW908" s="38">
        <f ca="1">IFERROR(OFFSET(ZPCS04!$A$1,MATCH(F908,ZPCS04!B:B,0)-1,0),100)</f>
        <v>1.9999999856000001</v>
      </c>
      <c r="AX908" s="7"/>
      <c r="AY908" s="6" t="b">
        <f>SUMIF(AS:AS,AS908,AP:AP)=100</f>
        <v>1</v>
      </c>
      <c r="AZ908" s="6" t="b">
        <f>SUMIF(AS:AS,AS908,AE:AE)/COUNTIF(AS:AS,AS908)=AE908</f>
        <v>1</v>
      </c>
      <c r="BB908" s="38" t="str">
        <f ca="1">IF(AT908="Phantom Alt",MATCH($AS908,$AS$5:$AS908,0),IF(OR(OFFSET($AF908,0,8-COUNTBLANK($AG908:$AN908))=$F907,$BE908=$BE907),$BB907,""))</f>
        <v/>
      </c>
      <c r="BC908" s="41"/>
      <c r="BD908" s="55" t="str">
        <f>C908&amp;" | "&amp;F908</f>
        <v>90MB1BJ0-C1BAY0 | 12G135110360</v>
      </c>
      <c r="BE908" s="55" t="str">
        <f ca="1">C908&amp;" | "&amp;OFFSET($AF908,0,8-COUNTBLANK($AG908:$AN908))</f>
        <v>90MB1BJ0-C1BAY0 | 59MB1BJB-MB0A02S</v>
      </c>
      <c r="BF908" s="57">
        <f ca="1">IFERROR(VLOOKUP($BE908,$BD$5:$BF907,3,0)*$AE908,VLOOKUP($C908,Demanda!$A:$B,2,0)*$AE908)*IF(AT908="Phantom Alt",$BC908,TRUE)</f>
        <v>1000</v>
      </c>
      <c r="BG908" s="57">
        <f ca="1">BF908*(AP908/100)</f>
        <v>1000</v>
      </c>
      <c r="BH908" s="57">
        <f>SUMIF(Invoice!A:A,F908,Invoice!B:B)</f>
        <v>1440</v>
      </c>
      <c r="BI908" s="57">
        <f ca="1">SUMIF(AS:AS,AS908,BG:BG)</f>
        <v>1000</v>
      </c>
      <c r="BJ908" s="57">
        <f ca="1">MIN((BI908-SUMIF($AS$5:AS907,AS908,$BJ$5:BJ907)),MAX(0,BH908-SUMIF($F$5:F907,F908,$BJ$5:BJ907)))</f>
        <v>1000</v>
      </c>
      <c r="BK908" s="57">
        <f ca="1">(-SUMIF(AS:AS,AS908,BG:BG)+SUMIF(AS:AS,AS908,BJ:BJ))*(AP908=100)*AR908</f>
        <v>0</v>
      </c>
      <c r="BL908" s="57">
        <f ca="1">MAX(0,SUMIF(Invoice!A:A,F908,Invoice!B:B)-SUMIF(F:F,F908,BJ:BJ))*(COUNTIF(F:F,F908)=COUNTIF($F$5:F908,F908))</f>
        <v>440</v>
      </c>
    </row>
    <row r="909" spans="1:64" hidden="1">
      <c r="A909" s="43">
        <v>909</v>
      </c>
      <c r="B909" s="13" t="s">
        <v>147</v>
      </c>
      <c r="C909" s="13" t="s">
        <v>146</v>
      </c>
      <c r="D909" s="13">
        <v>2</v>
      </c>
      <c r="E909" s="13">
        <v>3020</v>
      </c>
      <c r="F909" s="71" t="s">
        <v>2086</v>
      </c>
      <c r="G909" s="71" t="s">
        <v>2087</v>
      </c>
      <c r="I909" s="13" t="s">
        <v>54</v>
      </c>
      <c r="J909" s="28">
        <v>0</v>
      </c>
      <c r="K909" s="13" t="s">
        <v>2088</v>
      </c>
      <c r="L909" s="13" t="s">
        <v>53</v>
      </c>
      <c r="M909" s="13">
        <v>1</v>
      </c>
      <c r="N909" s="13">
        <v>1</v>
      </c>
      <c r="O909" s="13">
        <v>1</v>
      </c>
      <c r="R909" s="13" t="s">
        <v>122</v>
      </c>
      <c r="S909" s="13" t="s">
        <v>122</v>
      </c>
      <c r="T909" s="13">
        <v>44901</v>
      </c>
      <c r="U909" s="13">
        <v>2958465</v>
      </c>
      <c r="V909" s="13" t="s">
        <v>282</v>
      </c>
      <c r="W909" s="13" t="s">
        <v>145</v>
      </c>
      <c r="Y909" s="13" t="s">
        <v>143</v>
      </c>
      <c r="Z909" s="13">
        <v>7589154</v>
      </c>
      <c r="AA909" s="13">
        <v>1706</v>
      </c>
      <c r="AB909" s="13">
        <v>853</v>
      </c>
      <c r="AE909" s="51">
        <f>M909/O909</f>
        <v>1</v>
      </c>
      <c r="AG909" s="6" t="str">
        <f>C909</f>
        <v>90MB1BJ0-C1BAY0</v>
      </c>
      <c r="AH909" s="6" t="str">
        <f>IF($D909&lt;=AH$4,"",IF(AND($D908=AH$4,$D909&gt;AH$4),$F908,AH908))</f>
        <v>59MB1BJB-MB0A02S</v>
      </c>
      <c r="AI909" s="6" t="str">
        <f>IF($D909&lt;=AI$4,"",IF(AND($D908=AI$4,$D909&gt;AI$4),$F908,AI908))</f>
        <v/>
      </c>
      <c r="AJ909" s="6" t="str">
        <f>IF($D909&lt;=AJ$4,"",IF(AND($D908=AJ$4,$D909&gt;AJ$4),$F908,AJ908))</f>
        <v/>
      </c>
      <c r="AK909" s="6" t="str">
        <f>IF($D909&lt;=AK$4,"",IF(AND($D908=AK$4,$D909&gt;AK$4),$F908,AK908))</f>
        <v/>
      </c>
      <c r="AL909" s="6" t="str">
        <f>IF($D909&lt;=AL$4,"",IF(AND($D908=AL$4,$D909&gt;AL$4),$F908,AL908))</f>
        <v/>
      </c>
      <c r="AM909" s="6" t="str">
        <f>IF($D909&lt;=AM$4,"",IF(AND($D908=AM$4,$D909&gt;AM$4),$F908,AM908))</f>
        <v/>
      </c>
      <c r="AN909" s="6" t="str">
        <f>IF($D909&lt;=AN$4,"",IF(AND($D908=AN$4,$D909&gt;AN$4),$F908,AN908))</f>
        <v/>
      </c>
      <c r="AO909" s="6" t="str">
        <f>CONCATENATE(AG909," | ",AH909," | ",AI909," | ",AJ909," | ",AK909," | ",AL909," | ",AM909," | ",AN909)</f>
        <v xml:space="preserve">90MB1BJ0-C1BAY0 | 59MB1BJB-MB0A02S |  |  |  |  |  | </v>
      </c>
      <c r="AP909" s="6">
        <f>IF(TRIM(H909)="",100,J909)</f>
        <v>100</v>
      </c>
      <c r="AQ909" s="4"/>
      <c r="AR909" s="6" t="b">
        <f>NOT(TRIM(W909)&lt;&gt;"F")</f>
        <v>1</v>
      </c>
      <c r="AS909" s="6" t="str">
        <f>$B909&amp;" | "&amp;$AO909&amp;" | "&amp;IF(TRIM(H909)="","uniq"&amp;ROW(),TRIM(H909))</f>
        <v>461E | 90MB1BJ0-C1BAY0 | 59MB1BJB-MB0A02S |  |  |  |  |  |  | uniq909</v>
      </c>
      <c r="AT909" s="63">
        <f>IF(NOT(AR909),IF(TRIM($H909)="","Assembly","Phantom Alt"),VLOOKUP(F909,ZPCS04!B:G,6,0))</f>
        <v>159</v>
      </c>
      <c r="AU909" s="7"/>
      <c r="AV909" s="38">
        <f ca="1">IF(TRIM($W909)="F",OFFSET($A$5,MATCH($AS909,$AS$5:$AS909,0)-1,0),$A909)</f>
        <v>909</v>
      </c>
      <c r="AW909" s="38">
        <f ca="1">IFERROR(OFFSET(ZPCS04!$A$1,MATCH(F909,ZPCS04!B:B,0)-1,0),100)</f>
        <v>1.9999999800000001</v>
      </c>
      <c r="AX909" s="7"/>
      <c r="AY909" s="6" t="b">
        <f>SUMIF(AS:AS,AS909,AP:AP)=100</f>
        <v>1</v>
      </c>
      <c r="AZ909" s="6" t="b">
        <f>SUMIF(AS:AS,AS909,AE:AE)/COUNTIF(AS:AS,AS909)=AE909</f>
        <v>1</v>
      </c>
      <c r="BB909" s="38" t="str">
        <f ca="1">IF(AT909="Phantom Alt",MATCH($AS909,$AS$5:$AS909,0),IF(OR(OFFSET($AF909,0,8-COUNTBLANK($AG909:$AN909))=$F908,$BE909=$BE908),$BB908,""))</f>
        <v/>
      </c>
      <c r="BC909" s="41"/>
      <c r="BD909" s="55" t="str">
        <f>C909&amp;" | "&amp;F909</f>
        <v>90MB1BJ0-C1BAY0 | 12G20010020F</v>
      </c>
      <c r="BE909" s="55" t="str">
        <f ca="1">C909&amp;" | "&amp;OFFSET($AF909,0,8-COUNTBLANK($AG909:$AN909))</f>
        <v>90MB1BJ0-C1BAY0 | 59MB1BJB-MB0A02S</v>
      </c>
      <c r="BF909" s="57">
        <f ca="1">IFERROR(VLOOKUP($BE909,$BD$5:$BF908,3,0)*$AE909,VLOOKUP($C909,Demanda!$A:$B,2,0)*$AE909)*IF(AT909="Phantom Alt",$BC909,TRUE)</f>
        <v>1000</v>
      </c>
      <c r="BG909" s="57">
        <f ca="1">BF909*(AP909/100)</f>
        <v>1000</v>
      </c>
      <c r="BH909" s="57">
        <f>SUMIF(Invoice!A:A,F909,Invoice!B:B)</f>
        <v>2000</v>
      </c>
      <c r="BI909" s="57">
        <f ca="1">SUMIF(AS:AS,AS909,BG:BG)</f>
        <v>1000</v>
      </c>
      <c r="BJ909" s="57">
        <f ca="1">MIN((BI909-SUMIF($AS$5:AS908,AS909,$BJ$5:BJ908)),MAX(0,BH909-SUMIF($F$5:F908,F909,$BJ$5:BJ908)))</f>
        <v>1000</v>
      </c>
      <c r="BK909" s="57">
        <f ca="1">(-SUMIF(AS:AS,AS909,BG:BG)+SUMIF(AS:AS,AS909,BJ:BJ))*(AP909=100)*AR909</f>
        <v>0</v>
      </c>
      <c r="BL909" s="57">
        <f ca="1">MAX(0,SUMIF(Invoice!A:A,F909,Invoice!B:B)-SUMIF(F:F,F909,BJ:BJ))*(COUNTIF(F:F,F909)=COUNTIF($F$5:F909,F909))</f>
        <v>1000</v>
      </c>
    </row>
    <row r="910" spans="1:64" hidden="1">
      <c r="A910" s="43">
        <v>910</v>
      </c>
      <c r="B910" s="13" t="s">
        <v>147</v>
      </c>
      <c r="C910" s="13" t="s">
        <v>146</v>
      </c>
      <c r="D910" s="13">
        <v>2</v>
      </c>
      <c r="E910" s="13">
        <v>3030</v>
      </c>
      <c r="F910" s="71" t="s">
        <v>2089</v>
      </c>
      <c r="G910" s="71" t="s">
        <v>2090</v>
      </c>
      <c r="I910" s="13" t="s">
        <v>54</v>
      </c>
      <c r="J910" s="28">
        <v>0</v>
      </c>
      <c r="K910" s="13" t="s">
        <v>150</v>
      </c>
      <c r="L910" s="13" t="s">
        <v>53</v>
      </c>
      <c r="M910" s="13">
        <v>1</v>
      </c>
      <c r="N910" s="13">
        <v>1</v>
      </c>
      <c r="O910" s="13">
        <v>1</v>
      </c>
      <c r="R910" s="13" t="s">
        <v>73</v>
      </c>
      <c r="S910" s="13" t="s">
        <v>73</v>
      </c>
      <c r="T910" s="13">
        <v>44901</v>
      </c>
      <c r="U910" s="13">
        <v>2958465</v>
      </c>
      <c r="V910" s="13" t="s">
        <v>282</v>
      </c>
      <c r="W910" s="13" t="s">
        <v>145</v>
      </c>
      <c r="Y910" s="13" t="s">
        <v>143</v>
      </c>
      <c r="Z910" s="13">
        <v>7589154</v>
      </c>
      <c r="AA910" s="13">
        <v>1708</v>
      </c>
      <c r="AB910" s="13">
        <v>854</v>
      </c>
      <c r="AE910" s="51">
        <f>M910/O910</f>
        <v>1</v>
      </c>
      <c r="AG910" s="6" t="str">
        <f>C910</f>
        <v>90MB1BJ0-C1BAY0</v>
      </c>
      <c r="AH910" s="6" t="str">
        <f>IF($D910&lt;=AH$4,"",IF(AND($D909=AH$4,$D910&gt;AH$4),$F909,AH909))</f>
        <v>59MB1BJB-MB0A02S</v>
      </c>
      <c r="AI910" s="6" t="str">
        <f>IF($D910&lt;=AI$4,"",IF(AND($D909=AI$4,$D910&gt;AI$4),$F909,AI909))</f>
        <v/>
      </c>
      <c r="AJ910" s="6" t="str">
        <f>IF($D910&lt;=AJ$4,"",IF(AND($D909=AJ$4,$D910&gt;AJ$4),$F909,AJ909))</f>
        <v/>
      </c>
      <c r="AK910" s="6" t="str">
        <f>IF($D910&lt;=AK$4,"",IF(AND($D909=AK$4,$D910&gt;AK$4),$F909,AK909))</f>
        <v/>
      </c>
      <c r="AL910" s="6" t="str">
        <f>IF($D910&lt;=AL$4,"",IF(AND($D909=AL$4,$D910&gt;AL$4),$F909,AL909))</f>
        <v/>
      </c>
      <c r="AM910" s="6" t="str">
        <f>IF($D910&lt;=AM$4,"",IF(AND($D909=AM$4,$D910&gt;AM$4),$F909,AM909))</f>
        <v/>
      </c>
      <c r="AN910" s="6" t="str">
        <f>IF($D910&lt;=AN$4,"",IF(AND($D909=AN$4,$D910&gt;AN$4),$F909,AN909))</f>
        <v/>
      </c>
      <c r="AO910" s="6" t="str">
        <f>CONCATENATE(AG910," | ",AH910," | ",AI910," | ",AJ910," | ",AK910," | ",AL910," | ",AM910," | ",AN910)</f>
        <v xml:space="preserve">90MB1BJ0-C1BAY0 | 59MB1BJB-MB0A02S |  |  |  |  |  | </v>
      </c>
      <c r="AP910" s="6">
        <f>IF(TRIM(H910)="",100,J910)</f>
        <v>100</v>
      </c>
      <c r="AQ910" s="4"/>
      <c r="AR910" s="6" t="b">
        <f>NOT(TRIM(W910)&lt;&gt;"F")</f>
        <v>1</v>
      </c>
      <c r="AS910" s="6" t="str">
        <f>$B910&amp;" | "&amp;$AO910&amp;" | "&amp;IF(TRIM(H910)="","uniq"&amp;ROW(),TRIM(H910))</f>
        <v>461E | 90MB1BJ0-C1BAY0 | 59MB1BJB-MB0A02S |  |  |  |  |  |  | uniq910</v>
      </c>
      <c r="AT910" s="63">
        <f>IF(NOT(AR910),IF(TRIM($H910)="","Assembly","Phantom Alt"),VLOOKUP(F910,ZPCS04!B:G,6,0))</f>
        <v>166</v>
      </c>
      <c r="AU910" s="7"/>
      <c r="AV910" s="38">
        <f ca="1">IF(TRIM($W910)="F",OFFSET($A$5,MATCH($AS910,$AS$5:$AS910,0)-1,0),$A910)</f>
        <v>910</v>
      </c>
      <c r="AW910" s="38">
        <f ca="1">IFERROR(OFFSET(ZPCS04!$A$1,MATCH(F910,ZPCS04!B:B,0)-1,0),100)</f>
        <v>1.9999999900000001</v>
      </c>
      <c r="AX910" s="7"/>
      <c r="AY910" s="6" t="b">
        <f>SUMIF(AS:AS,AS910,AP:AP)=100</f>
        <v>1</v>
      </c>
      <c r="AZ910" s="6" t="b">
        <f>SUMIF(AS:AS,AS910,AE:AE)/COUNTIF(AS:AS,AS910)=AE910</f>
        <v>1</v>
      </c>
      <c r="BB910" s="38" t="str">
        <f ca="1">IF(AT910="Phantom Alt",MATCH($AS910,$AS$5:$AS910,0),IF(OR(OFFSET($AF910,0,8-COUNTBLANK($AG910:$AN910))=$F909,$BE910=$BE909),$BB909,""))</f>
        <v/>
      </c>
      <c r="BC910" s="41"/>
      <c r="BD910" s="55" t="str">
        <f>C910&amp;" | "&amp;F910</f>
        <v>90MB1BJ0-C1BAY0 | 13020-06150000</v>
      </c>
      <c r="BE910" s="55" t="str">
        <f ca="1">C910&amp;" | "&amp;OFFSET($AF910,0,8-COUNTBLANK($AG910:$AN910))</f>
        <v>90MB1BJ0-C1BAY0 | 59MB1BJB-MB0A02S</v>
      </c>
      <c r="BF910" s="57">
        <f ca="1">IFERROR(VLOOKUP($BE910,$BD$5:$BF909,3,0)*$AE910,VLOOKUP($C910,Demanda!$A:$B,2,0)*$AE910)*IF(AT910="Phantom Alt",$BC910,TRUE)</f>
        <v>1000</v>
      </c>
      <c r="BG910" s="57">
        <f ca="1">BF910*(AP910/100)</f>
        <v>1000</v>
      </c>
      <c r="BH910" s="57">
        <f>SUMIF(Invoice!A:A,F910,Invoice!B:B)</f>
        <v>1000</v>
      </c>
      <c r="BI910" s="57">
        <f ca="1">SUMIF(AS:AS,AS910,BG:BG)</f>
        <v>1000</v>
      </c>
      <c r="BJ910" s="57">
        <f ca="1">MIN((BI910-SUMIF($AS$5:AS909,AS910,$BJ$5:BJ909)),MAX(0,BH910-SUMIF($F$5:F909,F910,$BJ$5:BJ909)))</f>
        <v>1000</v>
      </c>
      <c r="BK910" s="57">
        <f ca="1">(-SUMIF(AS:AS,AS910,BG:BG)+SUMIF(AS:AS,AS910,BJ:BJ))*(AP910=100)*AR910</f>
        <v>0</v>
      </c>
      <c r="BL910" s="57">
        <f ca="1">MAX(0,SUMIF(Invoice!A:A,F910,Invoice!B:B)-SUMIF(F:F,F910,BJ:BJ))*(COUNTIF(F:F,F910)=COUNTIF($F$5:F910,F910))</f>
        <v>0</v>
      </c>
    </row>
    <row r="911" spans="1:64" hidden="1">
      <c r="A911" s="43">
        <v>911</v>
      </c>
      <c r="B911" s="13" t="s">
        <v>147</v>
      </c>
      <c r="C911" s="13" t="s">
        <v>146</v>
      </c>
      <c r="D911" s="13">
        <v>2</v>
      </c>
      <c r="E911" s="13">
        <v>3040</v>
      </c>
      <c r="F911" s="71" t="s">
        <v>2091</v>
      </c>
      <c r="G911" s="71" t="s">
        <v>2092</v>
      </c>
      <c r="H911" s="13" t="s">
        <v>2093</v>
      </c>
      <c r="I911" s="13" t="s">
        <v>54</v>
      </c>
      <c r="J911" s="28">
        <v>100</v>
      </c>
      <c r="K911" s="13" t="s">
        <v>275</v>
      </c>
      <c r="L911" s="13" t="s">
        <v>290</v>
      </c>
      <c r="M911" s="13">
        <v>1</v>
      </c>
      <c r="N911" s="13">
        <v>1</v>
      </c>
      <c r="O911" s="13">
        <v>1</v>
      </c>
      <c r="P911" s="13">
        <v>2</v>
      </c>
      <c r="Q911" s="13">
        <v>1</v>
      </c>
      <c r="R911" s="13" t="s">
        <v>73</v>
      </c>
      <c r="S911" s="13" t="s">
        <v>73</v>
      </c>
      <c r="T911" s="13">
        <v>44901</v>
      </c>
      <c r="U911" s="13">
        <v>2958465</v>
      </c>
      <c r="V911" s="13" t="s">
        <v>282</v>
      </c>
      <c r="W911" s="13" t="s">
        <v>142</v>
      </c>
      <c r="Y911" s="13" t="s">
        <v>143</v>
      </c>
      <c r="Z911" s="13">
        <v>7589154</v>
      </c>
      <c r="AA911" s="13">
        <v>1712</v>
      </c>
      <c r="AB911" s="13">
        <v>856</v>
      </c>
      <c r="AE911" s="51">
        <f>M911/O911</f>
        <v>1</v>
      </c>
      <c r="AG911" s="6" t="str">
        <f>C911</f>
        <v>90MB1BJ0-C1BAY0</v>
      </c>
      <c r="AH911" s="6" t="str">
        <f>IF($D911&lt;=AH$4,"",IF(AND($D910=AH$4,$D911&gt;AH$4),$F910,AH910))</f>
        <v>59MB1BJB-MB0A02S</v>
      </c>
      <c r="AI911" s="6" t="str">
        <f>IF($D911&lt;=AI$4,"",IF(AND($D910=AI$4,$D911&gt;AI$4),$F910,AI910))</f>
        <v/>
      </c>
      <c r="AJ911" s="6" t="str">
        <f>IF($D911&lt;=AJ$4,"",IF(AND($D910=AJ$4,$D911&gt;AJ$4),$F910,AJ910))</f>
        <v/>
      </c>
      <c r="AK911" s="6" t="str">
        <f>IF($D911&lt;=AK$4,"",IF(AND($D910=AK$4,$D911&gt;AK$4),$F910,AK910))</f>
        <v/>
      </c>
      <c r="AL911" s="6" t="str">
        <f>IF($D911&lt;=AL$4,"",IF(AND($D910=AL$4,$D911&gt;AL$4),$F910,AL910))</f>
        <v/>
      </c>
      <c r="AM911" s="6" t="str">
        <f>IF($D911&lt;=AM$4,"",IF(AND($D910=AM$4,$D911&gt;AM$4),$F910,AM910))</f>
        <v/>
      </c>
      <c r="AN911" s="6" t="str">
        <f>IF($D911&lt;=AN$4,"",IF(AND($D910=AN$4,$D911&gt;AN$4),$F910,AN910))</f>
        <v/>
      </c>
      <c r="AO911" s="6" t="str">
        <f>CONCATENATE(AG911," | ",AH911," | ",AI911," | ",AJ911," | ",AK911," | ",AL911," | ",AM911," | ",AN911)</f>
        <v xml:space="preserve">90MB1BJ0-C1BAY0 | 59MB1BJB-MB0A02S |  |  |  |  |  | </v>
      </c>
      <c r="AP911" s="6">
        <f>IF(TRIM(H911)="",100,J911)</f>
        <v>100</v>
      </c>
      <c r="AQ911" s="4"/>
      <c r="AR911" s="6" t="b">
        <f>NOT(TRIM(W911)&lt;&gt;"F")</f>
        <v>0</v>
      </c>
      <c r="AS911" s="6" t="str">
        <f>$B911&amp;" | "&amp;$AO911&amp;" | "&amp;IF(TRIM(H911)="","uniq"&amp;ROW(),TRIM(H911))</f>
        <v>461E | 90MB1BJ0-C1BAY0 | 59MB1BJB-MB0A02S |  |  |  |  |  |  | T1</v>
      </c>
      <c r="AT911" s="63" t="str">
        <f>IF(NOT(AR911),IF(TRIM($H911)="","Assembly","Phantom Alt"),VLOOKUP(F911,ZPCS04!B:G,6,0))</f>
        <v>Phantom Alt</v>
      </c>
      <c r="AU911" s="7"/>
      <c r="AV911" s="38">
        <f ca="1">IF(TRIM($W911)="F",OFFSET($A$5,MATCH($AS911,$AS$5:$AS911,0)-1,0),$A911)</f>
        <v>911</v>
      </c>
      <c r="AW911" s="38">
        <f ca="1">IFERROR(OFFSET(ZPCS04!$A$1,MATCH(F911,ZPCS04!B:B,0)-1,0),100)</f>
        <v>100</v>
      </c>
      <c r="AX911" s="7"/>
      <c r="AY911" s="6" t="b">
        <f>SUMIF(AS:AS,AS911,AP:AP)=100</f>
        <v>1</v>
      </c>
      <c r="AZ911" s="6" t="b">
        <f>SUMIF(AS:AS,AS911,AE:AE)/COUNTIF(AS:AS,AS911)=AE911</f>
        <v>1</v>
      </c>
      <c r="BB911" s="38">
        <f ca="1">IF(AT911="Phantom Alt",MATCH($AS911,$AS$5:$AS911,0),IF(OR(OFFSET($AF911,0,8-COUNTBLANK($AG911:$AN911))=$F910,$BE911=$BE910),$BB910,""))</f>
        <v>907</v>
      </c>
      <c r="BC911" s="41">
        <v>1</v>
      </c>
      <c r="BD911" s="55" t="str">
        <f>C911&amp;" | "&amp;F911</f>
        <v>90MB1BJ0-C1BAY0 | LBLSFISASUS01-GR-A</v>
      </c>
      <c r="BE911" s="55" t="str">
        <f ca="1">C911&amp;" | "&amp;OFFSET($AF911,0,8-COUNTBLANK($AG911:$AN911))</f>
        <v>90MB1BJ0-C1BAY0 | 59MB1BJB-MB0A02S</v>
      </c>
      <c r="BF911" s="57">
        <f ca="1">IFERROR(VLOOKUP($BE911,$BD$5:$BF910,3,0)*$AE911,VLOOKUP($C911,Demanda!$A:$B,2,0)*$AE911)*IF(AT911="Phantom Alt",$BC911,TRUE)</f>
        <v>1000</v>
      </c>
      <c r="BG911" s="57">
        <f ca="1">BF911*(AP911/100)</f>
        <v>1000</v>
      </c>
      <c r="BH911" s="57">
        <f>SUMIF(Invoice!A:A,F911,Invoice!B:B)</f>
        <v>0</v>
      </c>
      <c r="BI911" s="57">
        <f ca="1">SUMIF(AS:AS,AS911,BG:BG)</f>
        <v>1000</v>
      </c>
      <c r="BJ911" s="57">
        <f ca="1">MIN((BI911-SUMIF($AS$5:AS910,AS911,$BJ$5:BJ910)),MAX(0,BH911-SUMIF($F$5:F910,F911,$BJ$5:BJ910)))</f>
        <v>0</v>
      </c>
      <c r="BK911" s="57">
        <f ca="1">(-SUMIF(AS:AS,AS911,BG:BG)+SUMIF(AS:AS,AS911,BJ:BJ))*(AP911=100)*AR911</f>
        <v>0</v>
      </c>
      <c r="BL911" s="57">
        <f ca="1">MAX(0,SUMIF(Invoice!A:A,F911,Invoice!B:B)-SUMIF(F:F,F911,BJ:BJ))*(COUNTIF(F:F,F911)=COUNTIF($F$5:F911,F911))</f>
        <v>0</v>
      </c>
    </row>
    <row r="912" spans="1:64">
      <c r="A912" s="43">
        <v>912</v>
      </c>
      <c r="B912" s="13" t="s">
        <v>147</v>
      </c>
      <c r="C912" s="13" t="s">
        <v>146</v>
      </c>
      <c r="D912" s="13">
        <v>3</v>
      </c>
      <c r="E912" s="13">
        <v>10</v>
      </c>
      <c r="F912" s="71" t="s">
        <v>2094</v>
      </c>
      <c r="G912" s="71" t="s">
        <v>2095</v>
      </c>
      <c r="I912" s="13" t="s">
        <v>54</v>
      </c>
      <c r="J912" s="28">
        <v>0</v>
      </c>
      <c r="K912" s="13" t="s">
        <v>150</v>
      </c>
      <c r="L912" s="13" t="s">
        <v>53</v>
      </c>
      <c r="M912" s="13">
        <v>1</v>
      </c>
      <c r="N912" s="13">
        <v>1</v>
      </c>
      <c r="O912" s="13">
        <v>1</v>
      </c>
      <c r="R912" s="13" t="s">
        <v>73</v>
      </c>
      <c r="S912" s="13" t="s">
        <v>73</v>
      </c>
      <c r="T912" s="13">
        <v>44901</v>
      </c>
      <c r="U912" s="13">
        <v>2958465</v>
      </c>
      <c r="V912" s="13" t="s">
        <v>282</v>
      </c>
      <c r="W912" s="13" t="s">
        <v>145</v>
      </c>
      <c r="Y912" s="13" t="s">
        <v>143</v>
      </c>
      <c r="Z912" s="13">
        <v>7601522</v>
      </c>
      <c r="AA912" s="13">
        <v>2</v>
      </c>
      <c r="AB912" s="13">
        <v>1</v>
      </c>
      <c r="AE912" s="51">
        <f>M912/O912</f>
        <v>1</v>
      </c>
      <c r="AG912" s="6" t="str">
        <f>C912</f>
        <v>90MB1BJ0-C1BAY0</v>
      </c>
      <c r="AH912" s="6" t="str">
        <f>IF($D912&lt;=AH$4,"",IF(AND($D911=AH$4,$D912&gt;AH$4),$F911,AH911))</f>
        <v>59MB1BJB-MB0A02S</v>
      </c>
      <c r="AI912" s="6" t="str">
        <f>IF($D912&lt;=AI$4,"",IF(AND($D911=AI$4,$D912&gt;AI$4),$F911,AI911))</f>
        <v>LBLSFISASUS01-GR-A</v>
      </c>
      <c r="AJ912" s="6" t="str">
        <f>IF($D912&lt;=AJ$4,"",IF(AND($D911=AJ$4,$D912&gt;AJ$4),$F911,AJ911))</f>
        <v/>
      </c>
      <c r="AK912" s="6" t="str">
        <f>IF($D912&lt;=AK$4,"",IF(AND($D911=AK$4,$D912&gt;AK$4),$F911,AK911))</f>
        <v/>
      </c>
      <c r="AL912" s="6" t="str">
        <f>IF($D912&lt;=AL$4,"",IF(AND($D911=AL$4,$D912&gt;AL$4),$F911,AL911))</f>
        <v/>
      </c>
      <c r="AM912" s="6" t="str">
        <f>IF($D912&lt;=AM$4,"",IF(AND($D911=AM$4,$D912&gt;AM$4),$F911,AM911))</f>
        <v/>
      </c>
      <c r="AN912" s="6" t="str">
        <f>IF($D912&lt;=AN$4,"",IF(AND($D911=AN$4,$D912&gt;AN$4),$F911,AN911))</f>
        <v/>
      </c>
      <c r="AO912" s="6" t="str">
        <f>CONCATENATE(AG912," | ",AH912," | ",AI912," | ",AJ912," | ",AK912," | ",AL912," | ",AM912," | ",AN912)</f>
        <v xml:space="preserve">90MB1BJ0-C1BAY0 | 59MB1BJB-MB0A02S | LBLSFISASUS01-GR-A |  |  |  |  | </v>
      </c>
      <c r="AP912" s="6">
        <f>IF(TRIM(H912)="",100,J912)</f>
        <v>100</v>
      </c>
      <c r="AQ912" s="4"/>
      <c r="AR912" s="6" t="b">
        <f>NOT(TRIM(W912)&lt;&gt;"F")</f>
        <v>1</v>
      </c>
      <c r="AS912" s="6" t="str">
        <f>$B912&amp;" | "&amp;$AO912&amp;" | "&amp;IF(TRIM(H912)="","uniq"&amp;ROW(),TRIM(H912))</f>
        <v>461E | 90MB1BJ0-C1BAY0 | 59MB1BJB-MB0A02S | LBLSFISASUS01-GR-A |  |  |  |  |  | uniq912</v>
      </c>
      <c r="AT912" s="63">
        <f>IF(NOT(AR912),IF(TRIM($H912)="","Assembly","Phantom Alt"),VLOOKUP(F912,ZPCS04!B:G,6,0))</f>
        <v>292</v>
      </c>
      <c r="AU912" s="7"/>
      <c r="AV912" s="38">
        <f ca="1">IF(TRIM($W912)="F",OFFSET($A$5,MATCH($AS912,$AS$5:$AS912,0)-1,0),$A912)</f>
        <v>912</v>
      </c>
      <c r="AW912" s="38">
        <f ca="1">IFERROR(OFFSET(ZPCS04!$A$1,MATCH(F912,ZPCS04!B:B,0)-1,0),100)</f>
        <v>2</v>
      </c>
      <c r="AX912" s="7"/>
      <c r="AY912" s="6" t="b">
        <f>SUMIF(AS:AS,AS912,AP:AP)=100</f>
        <v>1</v>
      </c>
      <c r="AZ912" s="6" t="b">
        <f>SUMIF(AS:AS,AS912,AE:AE)/COUNTIF(AS:AS,AS912)=AE912</f>
        <v>1</v>
      </c>
      <c r="BB912" s="38">
        <f ca="1">IF(AT912="Phantom Alt",MATCH($AS912,$AS$5:$AS912,0),IF(OR(OFFSET($AF912,0,8-COUNTBLANK($AG912:$AN912))=$F911,$BE912=$BE911),$BB911,""))</f>
        <v>907</v>
      </c>
      <c r="BC912" s="41"/>
      <c r="BD912" s="55" t="str">
        <f>C912&amp;" | "&amp;F912</f>
        <v>90MB1BJ0-C1BAY0 | 15L-00000101-01</v>
      </c>
      <c r="BE912" s="55" t="str">
        <f ca="1">C912&amp;" | "&amp;OFFSET($AF912,0,8-COUNTBLANK($AG912:$AN912))</f>
        <v>90MB1BJ0-C1BAY0 | LBLSFISASUS01-GR-A</v>
      </c>
      <c r="BF912" s="57">
        <f ca="1">IFERROR(VLOOKUP($BE912,$BD$5:$BF911,3,0)*$AE912,VLOOKUP($C912,Demanda!$A:$B,2,0)*$AE912)*IF(AT912="Phantom Alt",$BC912,TRUE)</f>
        <v>1000</v>
      </c>
      <c r="BG912" s="57">
        <f ca="1">BF912*(AP912/100)</f>
        <v>1000</v>
      </c>
      <c r="BH912" s="57">
        <f>SUMIF(Invoice!A:A,F912,Invoice!B:B)</f>
        <v>0</v>
      </c>
      <c r="BI912" s="57">
        <f ca="1">SUMIF(AS:AS,AS912,BG:BG)</f>
        <v>1000</v>
      </c>
      <c r="BJ912" s="57">
        <f ca="1">MIN((BI912-SUMIF($AS$5:AS911,AS912,$BJ$5:BJ911)),MAX(0,BH912-SUMIF($F$5:F911,F912,$BJ$5:BJ911)))</f>
        <v>0</v>
      </c>
      <c r="BK912" s="57">
        <f ca="1">(-SUMIF(AS:AS,AS912,BG:BG)+SUMIF(AS:AS,AS912,BJ:BJ))*(AP912=100)*AR912</f>
        <v>-1000</v>
      </c>
      <c r="BL912" s="57">
        <f ca="1">MAX(0,SUMIF(Invoice!A:A,F912,Invoice!B:B)-SUMIF(F:F,F912,BJ:BJ))*(COUNTIF(F:F,F912)=COUNTIF($F$5:F912,F912))</f>
        <v>0</v>
      </c>
    </row>
    <row r="913" spans="1:64" hidden="1">
      <c r="A913" s="43">
        <v>913</v>
      </c>
      <c r="B913" s="13" t="s">
        <v>147</v>
      </c>
      <c r="C913" s="13" t="s">
        <v>146</v>
      </c>
      <c r="D913" s="13">
        <v>2</v>
      </c>
      <c r="E913" s="13">
        <v>3040</v>
      </c>
      <c r="F913" s="71" t="s">
        <v>2096</v>
      </c>
      <c r="G913" s="71" t="s">
        <v>2097</v>
      </c>
      <c r="H913" s="13" t="s">
        <v>2093</v>
      </c>
      <c r="I913" s="13" t="s">
        <v>55</v>
      </c>
      <c r="J913" s="28">
        <v>0</v>
      </c>
      <c r="K913" s="13" t="s">
        <v>275</v>
      </c>
      <c r="L913" s="13" t="s">
        <v>290</v>
      </c>
      <c r="M913" s="13">
        <v>1</v>
      </c>
      <c r="O913" s="13">
        <v>1</v>
      </c>
      <c r="P913" s="13">
        <v>2</v>
      </c>
      <c r="Q913" s="13">
        <v>2</v>
      </c>
      <c r="R913" s="13" t="s">
        <v>73</v>
      </c>
      <c r="S913" s="13" t="s">
        <v>73</v>
      </c>
      <c r="T913" s="13">
        <v>44901</v>
      </c>
      <c r="U913" s="13">
        <v>2958465</v>
      </c>
      <c r="V913" s="13" t="s">
        <v>282</v>
      </c>
      <c r="W913" s="13" t="s">
        <v>142</v>
      </c>
      <c r="Y913" s="13" t="s">
        <v>143</v>
      </c>
      <c r="Z913" s="13">
        <v>7589154</v>
      </c>
      <c r="AA913" s="13">
        <v>1710</v>
      </c>
      <c r="AB913" s="13">
        <v>855</v>
      </c>
      <c r="AE913" s="51">
        <f>M913/O913</f>
        <v>1</v>
      </c>
      <c r="AG913" s="6" t="str">
        <f>C913</f>
        <v>90MB1BJ0-C1BAY0</v>
      </c>
      <c r="AH913" s="6" t="str">
        <f>IF($D913&lt;=AH$4,"",IF(AND($D912=AH$4,$D913&gt;AH$4),$F912,AH912))</f>
        <v>59MB1BJB-MB0A02S</v>
      </c>
      <c r="AI913" s="6" t="str">
        <f>IF($D913&lt;=AI$4,"",IF(AND($D912=AI$4,$D913&gt;AI$4),$F912,AI912))</f>
        <v/>
      </c>
      <c r="AJ913" s="6" t="str">
        <f>IF($D913&lt;=AJ$4,"",IF(AND($D912=AJ$4,$D913&gt;AJ$4),$F912,AJ912))</f>
        <v/>
      </c>
      <c r="AK913" s="6" t="str">
        <f>IF($D913&lt;=AK$4,"",IF(AND($D912=AK$4,$D913&gt;AK$4),$F912,AK912))</f>
        <v/>
      </c>
      <c r="AL913" s="6" t="str">
        <f>IF($D913&lt;=AL$4,"",IF(AND($D912=AL$4,$D913&gt;AL$4),$F912,AL912))</f>
        <v/>
      </c>
      <c r="AM913" s="6" t="str">
        <f>IF($D913&lt;=AM$4,"",IF(AND($D912=AM$4,$D913&gt;AM$4),$F912,AM912))</f>
        <v/>
      </c>
      <c r="AN913" s="6" t="str">
        <f>IF($D913&lt;=AN$4,"",IF(AND($D912=AN$4,$D913&gt;AN$4),$F912,AN912))</f>
        <v/>
      </c>
      <c r="AO913" s="6" t="str">
        <f>CONCATENATE(AG913," | ",AH913," | ",AI913," | ",AJ913," | ",AK913," | ",AL913," | ",AM913," | ",AN913)</f>
        <v xml:space="preserve">90MB1BJ0-C1BAY0 | 59MB1BJB-MB0A02S |  |  |  |  |  | </v>
      </c>
      <c r="AP913" s="6">
        <f>IF(TRIM(H913)="",100,J913)</f>
        <v>0</v>
      </c>
      <c r="AQ913" s="4"/>
      <c r="AR913" s="6" t="b">
        <f>NOT(TRIM(W913)&lt;&gt;"F")</f>
        <v>0</v>
      </c>
      <c r="AS913" s="6" t="str">
        <f>$B913&amp;" | "&amp;$AO913&amp;" | "&amp;IF(TRIM(H913)="","uniq"&amp;ROW(),TRIM(H913))</f>
        <v>461E | 90MB1BJ0-C1BAY0 | 59MB1BJB-MB0A02S |  |  |  |  |  |  | T1</v>
      </c>
      <c r="AT913" s="63" t="str">
        <f>IF(NOT(AR913),IF(TRIM($H913)="","Assembly","Phantom Alt"),VLOOKUP(F913,ZPCS04!B:G,6,0))</f>
        <v>Phantom Alt</v>
      </c>
      <c r="AU913" s="7"/>
      <c r="AV913" s="38">
        <f ca="1">IF(TRIM($W913)="F",OFFSET($A$5,MATCH($AS913,$AS$5:$AS913,0)-1,0),$A913)</f>
        <v>913</v>
      </c>
      <c r="AW913" s="38">
        <f ca="1">IFERROR(OFFSET(ZPCS04!$A$1,MATCH(F913,ZPCS04!B:B,0)-1,0),100)</f>
        <v>100</v>
      </c>
      <c r="AX913" s="7"/>
      <c r="AY913" s="6" t="b">
        <f>SUMIF(AS:AS,AS913,AP:AP)=100</f>
        <v>1</v>
      </c>
      <c r="AZ913" s="6" t="b">
        <f>SUMIF(AS:AS,AS913,AE:AE)/COUNTIF(AS:AS,AS913)=AE913</f>
        <v>1</v>
      </c>
      <c r="BB913" s="38">
        <f ca="1">IF(AT913="Phantom Alt",MATCH($AS913,$AS$5:$AS913,0),IF(OR(OFFSET($AF913,0,8-COUNTBLANK($AG913:$AN913))=$F912,$BE913=$BE912),$BB912,""))</f>
        <v>907</v>
      </c>
      <c r="BC913" s="41"/>
      <c r="BD913" s="55" t="str">
        <f>C913&amp;" | "&amp;F913</f>
        <v>90MB1BJ0-C1BAY0 | LBLSFISASUS01-GR-B</v>
      </c>
      <c r="BE913" s="55" t="str">
        <f ca="1">C913&amp;" | "&amp;OFFSET($AF913,0,8-COUNTBLANK($AG913:$AN913))</f>
        <v>90MB1BJ0-C1BAY0 | 59MB1BJB-MB0A02S</v>
      </c>
      <c r="BF913" s="57">
        <f ca="1">IFERROR(VLOOKUP($BE913,$BD$5:$BF912,3,0)*$AE913,VLOOKUP($C913,Demanda!$A:$B,2,0)*$AE913)*IF(AT913="Phantom Alt",$BC913,TRUE)</f>
        <v>0</v>
      </c>
      <c r="BG913" s="57">
        <f ca="1">BF913*(AP913/100)</f>
        <v>0</v>
      </c>
      <c r="BH913" s="57">
        <f>SUMIF(Invoice!A:A,F913,Invoice!B:B)</f>
        <v>0</v>
      </c>
      <c r="BI913" s="57">
        <f ca="1">SUMIF(AS:AS,AS913,BG:BG)</f>
        <v>1000</v>
      </c>
      <c r="BJ913" s="57">
        <f ca="1">MIN((BI913-SUMIF($AS$5:AS912,AS913,$BJ$5:BJ912)),MAX(0,BH913-SUMIF($F$5:F912,F913,$BJ$5:BJ912)))</f>
        <v>0</v>
      </c>
      <c r="BK913" s="57">
        <f ca="1">(-SUMIF(AS:AS,AS913,BG:BG)+SUMIF(AS:AS,AS913,BJ:BJ))*(AP913=100)*AR913</f>
        <v>0</v>
      </c>
      <c r="BL913" s="57">
        <f ca="1">MAX(0,SUMIF(Invoice!A:A,F913,Invoice!B:B)-SUMIF(F:F,F913,BJ:BJ))*(COUNTIF(F:F,F913)=COUNTIF($F$5:F913,F913))</f>
        <v>0</v>
      </c>
    </row>
    <row r="914" spans="1:64" hidden="1">
      <c r="A914" s="43">
        <v>914</v>
      </c>
      <c r="B914" s="13" t="s">
        <v>147</v>
      </c>
      <c r="C914" s="13" t="s">
        <v>146</v>
      </c>
      <c r="D914" s="13">
        <v>3</v>
      </c>
      <c r="E914" s="13">
        <v>10</v>
      </c>
      <c r="F914" s="71" t="s">
        <v>2098</v>
      </c>
      <c r="G914" s="71" t="s">
        <v>2099</v>
      </c>
      <c r="I914" s="13" t="s">
        <v>55</v>
      </c>
      <c r="J914" s="28">
        <v>0</v>
      </c>
      <c r="K914" s="13" t="s">
        <v>150</v>
      </c>
      <c r="L914" s="13" t="s">
        <v>53</v>
      </c>
      <c r="M914" s="13">
        <v>1</v>
      </c>
      <c r="O914" s="13">
        <v>1</v>
      </c>
      <c r="R914" s="13" t="s">
        <v>73</v>
      </c>
      <c r="S914" s="13" t="s">
        <v>73</v>
      </c>
      <c r="T914" s="13">
        <v>44901</v>
      </c>
      <c r="U914" s="13">
        <v>2958465</v>
      </c>
      <c r="V914" s="13" t="s">
        <v>282</v>
      </c>
      <c r="W914" s="13" t="s">
        <v>145</v>
      </c>
      <c r="Y914" s="13" t="s">
        <v>143</v>
      </c>
      <c r="Z914" s="13">
        <v>7601523</v>
      </c>
      <c r="AA914" s="13">
        <v>2</v>
      </c>
      <c r="AB914" s="13">
        <v>1</v>
      </c>
      <c r="AE914" s="51">
        <f>M914/O914</f>
        <v>1</v>
      </c>
      <c r="AG914" s="6" t="str">
        <f>C914</f>
        <v>90MB1BJ0-C1BAY0</v>
      </c>
      <c r="AH914" s="6" t="str">
        <f>IF($D914&lt;=AH$4,"",IF(AND($D913=AH$4,$D914&gt;AH$4),$F913,AH913))</f>
        <v>59MB1BJB-MB0A02S</v>
      </c>
      <c r="AI914" s="6" t="str">
        <f>IF($D914&lt;=AI$4,"",IF(AND($D913=AI$4,$D914&gt;AI$4),$F913,AI913))</f>
        <v>LBLSFISASUS01-GR-B</v>
      </c>
      <c r="AJ914" s="6" t="str">
        <f>IF($D914&lt;=AJ$4,"",IF(AND($D913=AJ$4,$D914&gt;AJ$4),$F913,AJ913))</f>
        <v/>
      </c>
      <c r="AK914" s="6" t="str">
        <f>IF($D914&lt;=AK$4,"",IF(AND($D913=AK$4,$D914&gt;AK$4),$F913,AK913))</f>
        <v/>
      </c>
      <c r="AL914" s="6" t="str">
        <f>IF($D914&lt;=AL$4,"",IF(AND($D913=AL$4,$D914&gt;AL$4),$F913,AL913))</f>
        <v/>
      </c>
      <c r="AM914" s="6" t="str">
        <f>IF($D914&lt;=AM$4,"",IF(AND($D913=AM$4,$D914&gt;AM$4),$F913,AM913))</f>
        <v/>
      </c>
      <c r="AN914" s="6" t="str">
        <f>IF($D914&lt;=AN$4,"",IF(AND($D913=AN$4,$D914&gt;AN$4),$F913,AN913))</f>
        <v/>
      </c>
      <c r="AO914" s="6" t="str">
        <f>CONCATENATE(AG914," | ",AH914," | ",AI914," | ",AJ914," | ",AK914," | ",AL914," | ",AM914," | ",AN914)</f>
        <v xml:space="preserve">90MB1BJ0-C1BAY0 | 59MB1BJB-MB0A02S | LBLSFISASUS01-GR-B |  |  |  |  | </v>
      </c>
      <c r="AP914" s="6">
        <f>IF(TRIM(H914)="",100,J914)</f>
        <v>100</v>
      </c>
      <c r="AQ914" s="4"/>
      <c r="AR914" s="6" t="b">
        <f>NOT(TRIM(W914)&lt;&gt;"F")</f>
        <v>1</v>
      </c>
      <c r="AS914" s="6" t="str">
        <f>$B914&amp;" | "&amp;$AO914&amp;" | "&amp;IF(TRIM(H914)="","uniq"&amp;ROW(),TRIM(H914))</f>
        <v>461E | 90MB1BJ0-C1BAY0 | 59MB1BJB-MB0A02S | LBLSFISASUS01-GR-B |  |  |  |  |  | uniq914</v>
      </c>
      <c r="AT914" s="63">
        <f>IF(NOT(AR914),IF(TRIM($H914)="","Assembly","Phantom Alt"),VLOOKUP(F914,ZPCS04!B:G,6,0))</f>
        <v>292</v>
      </c>
      <c r="AU914" s="7"/>
      <c r="AV914" s="38">
        <f ca="1">IF(TRIM($W914)="F",OFFSET($A$5,MATCH($AS914,$AS$5:$AS914,0)-1,0),$A914)</f>
        <v>914</v>
      </c>
      <c r="AW914" s="38">
        <f ca="1">IFERROR(OFFSET(ZPCS04!$A$1,MATCH(F914,ZPCS04!B:B,0)-1,0),100)</f>
        <v>2</v>
      </c>
      <c r="AX914" s="7"/>
      <c r="AY914" s="6" t="b">
        <f>SUMIF(AS:AS,AS914,AP:AP)=100</f>
        <v>1</v>
      </c>
      <c r="AZ914" s="6" t="b">
        <f>SUMIF(AS:AS,AS914,AE:AE)/COUNTIF(AS:AS,AS914)=AE914</f>
        <v>1</v>
      </c>
      <c r="BB914" s="38">
        <f ca="1">IF(AT914="Phantom Alt",MATCH($AS914,$AS$5:$AS914,0),IF(OR(OFFSET($AF914,0,8-COUNTBLANK($AG914:$AN914))=$F913,$BE914=$BE913),$BB913,""))</f>
        <v>907</v>
      </c>
      <c r="BC914" s="41"/>
      <c r="BD914" s="55" t="str">
        <f>C914&amp;" | "&amp;F914</f>
        <v>90MB1BJ0-C1BAY0 | 15L-00000101</v>
      </c>
      <c r="BE914" s="55" t="str">
        <f ca="1">C914&amp;" | "&amp;OFFSET($AF914,0,8-COUNTBLANK($AG914:$AN914))</f>
        <v>90MB1BJ0-C1BAY0 | LBLSFISASUS01-GR-B</v>
      </c>
      <c r="BF914" s="57">
        <f ca="1">IFERROR(VLOOKUP($BE914,$BD$5:$BF913,3,0)*$AE914,VLOOKUP($C914,Demanda!$A:$B,2,0)*$AE914)*IF(AT914="Phantom Alt",$BC914,TRUE)</f>
        <v>0</v>
      </c>
      <c r="BG914" s="57">
        <f ca="1">BF914*(AP914/100)</f>
        <v>0</v>
      </c>
      <c r="BH914" s="57">
        <f>SUMIF(Invoice!A:A,F914,Invoice!B:B)</f>
        <v>0</v>
      </c>
      <c r="BI914" s="57">
        <f ca="1">SUMIF(AS:AS,AS914,BG:BG)</f>
        <v>0</v>
      </c>
      <c r="BJ914" s="57">
        <f ca="1">MIN((BI914-SUMIF($AS$5:AS913,AS914,$BJ$5:BJ913)),MAX(0,BH914-SUMIF($F$5:F913,F914,$BJ$5:BJ913)))</f>
        <v>0</v>
      </c>
      <c r="BK914" s="57">
        <f ca="1">(-SUMIF(AS:AS,AS914,BG:BG)+SUMIF(AS:AS,AS914,BJ:BJ))*(AP914=100)*AR914</f>
        <v>0</v>
      </c>
      <c r="BL914" s="57">
        <f ca="1">MAX(0,SUMIF(Invoice!A:A,F914,Invoice!B:B)-SUMIF(F:F,F914,BJ:BJ))*(COUNTIF(F:F,F914)=COUNTIF($F$5:F914,F914))</f>
        <v>0</v>
      </c>
    </row>
    <row r="915" spans="1:64">
      <c r="A915" s="43">
        <v>915</v>
      </c>
      <c r="B915" s="13" t="s">
        <v>147</v>
      </c>
      <c r="C915" s="13" t="s">
        <v>146</v>
      </c>
      <c r="D915" s="13">
        <v>2</v>
      </c>
      <c r="E915" s="13">
        <v>3050</v>
      </c>
      <c r="F915" s="71" t="s">
        <v>2100</v>
      </c>
      <c r="G915" s="71" t="s">
        <v>2101</v>
      </c>
      <c r="I915" s="13" t="s">
        <v>54</v>
      </c>
      <c r="J915" s="28">
        <v>0</v>
      </c>
      <c r="K915" s="13" t="s">
        <v>150</v>
      </c>
      <c r="L915" s="13" t="s">
        <v>53</v>
      </c>
      <c r="M915" s="13">
        <v>3.3</v>
      </c>
      <c r="N915" s="13">
        <v>3.3</v>
      </c>
      <c r="O915" s="13">
        <v>1</v>
      </c>
      <c r="R915" s="13" t="s">
        <v>2102</v>
      </c>
      <c r="S915" s="13" t="s">
        <v>2102</v>
      </c>
      <c r="T915" s="13">
        <v>44901</v>
      </c>
      <c r="U915" s="13">
        <v>2958465</v>
      </c>
      <c r="V915" s="13" t="s">
        <v>282</v>
      </c>
      <c r="W915" s="13" t="s">
        <v>145</v>
      </c>
      <c r="Y915" s="13" t="s">
        <v>143</v>
      </c>
      <c r="Z915" s="13">
        <v>7589154</v>
      </c>
      <c r="AA915" s="13">
        <v>1714</v>
      </c>
      <c r="AB915" s="13">
        <v>857</v>
      </c>
      <c r="AE915" s="51">
        <f>M915/O915</f>
        <v>3.3</v>
      </c>
      <c r="AG915" s="6" t="str">
        <f>C915</f>
        <v>90MB1BJ0-C1BAY0</v>
      </c>
      <c r="AH915" s="6" t="str">
        <f>IF($D915&lt;=AH$4,"",IF(AND($D914=AH$4,$D915&gt;AH$4),$F914,AH914))</f>
        <v>59MB1BJB-MB0A02S</v>
      </c>
      <c r="AI915" s="6" t="str">
        <f>IF($D915&lt;=AI$4,"",IF(AND($D914=AI$4,$D915&gt;AI$4),$F914,AI914))</f>
        <v/>
      </c>
      <c r="AJ915" s="6" t="str">
        <f>IF($D915&lt;=AJ$4,"",IF(AND($D914=AJ$4,$D915&gt;AJ$4),$F914,AJ914))</f>
        <v/>
      </c>
      <c r="AK915" s="6" t="str">
        <f>IF($D915&lt;=AK$4,"",IF(AND($D914=AK$4,$D915&gt;AK$4),$F914,AK914))</f>
        <v/>
      </c>
      <c r="AL915" s="6" t="str">
        <f>IF($D915&lt;=AL$4,"",IF(AND($D914=AL$4,$D915&gt;AL$4),$F914,AL914))</f>
        <v/>
      </c>
      <c r="AM915" s="6" t="str">
        <f>IF($D915&lt;=AM$4,"",IF(AND($D914=AM$4,$D915&gt;AM$4),$F914,AM914))</f>
        <v/>
      </c>
      <c r="AN915" s="6" t="str">
        <f>IF($D915&lt;=AN$4,"",IF(AND($D914=AN$4,$D915&gt;AN$4),$F914,AN914))</f>
        <v/>
      </c>
      <c r="AO915" s="6" t="str">
        <f>CONCATENATE(AG915," | ",AH915," | ",AI915," | ",AJ915," | ",AK915," | ",AL915," | ",AM915," | ",AN915)</f>
        <v xml:space="preserve">90MB1BJ0-C1BAY0 | 59MB1BJB-MB0A02S |  |  |  |  |  | </v>
      </c>
      <c r="AP915" s="6">
        <f>IF(TRIM(H915)="",100,J915)</f>
        <v>100</v>
      </c>
      <c r="AQ915" s="4"/>
      <c r="AR915" s="6" t="b">
        <f>NOT(TRIM(W915)&lt;&gt;"F")</f>
        <v>1</v>
      </c>
      <c r="AS915" s="6" t="str">
        <f>$B915&amp;" | "&amp;$AO915&amp;" | "&amp;IF(TRIM(H915)="","uniq"&amp;ROW(),TRIM(H915))</f>
        <v>461E | 90MB1BJ0-C1BAY0 | 59MB1BJB-MB0A02S |  |  |  |  |  |  | uniq915</v>
      </c>
      <c r="AT915" s="63">
        <f>IF(NOT(AR915),IF(TRIM($H915)="","Assembly","Phantom Alt"),VLOOKUP(F915,ZPCS04!B:G,6,0))</f>
        <v>240</v>
      </c>
      <c r="AU915" s="7"/>
      <c r="AV915" s="38">
        <f ca="1">IF(TRIM($W915)="F",OFFSET($A$5,MATCH($AS915,$AS$5:$AS915,0)-1,0),$A915)</f>
        <v>915</v>
      </c>
      <c r="AW915" s="38">
        <f ca="1">IFERROR(OFFSET(ZPCS04!$A$1,MATCH(F915,ZPCS04!B:B,0)-1,0),100)</f>
        <v>2</v>
      </c>
      <c r="AX915" s="7"/>
      <c r="AY915" s="6" t="b">
        <f>SUMIF(AS:AS,AS915,AP:AP)=100</f>
        <v>1</v>
      </c>
      <c r="AZ915" s="6" t="b">
        <f>SUMIF(AS:AS,AS915,AE:AE)/COUNTIF(AS:AS,AS915)=AE915</f>
        <v>1</v>
      </c>
      <c r="BB915" s="38" t="str">
        <f ca="1">IF(AT915="Phantom Alt",MATCH($AS915,$AS$5:$AS915,0),IF(OR(OFFSET($AF915,0,8-COUNTBLANK($AG915:$AN915))=$F914,$BE915=$BE914),$BB914,""))</f>
        <v/>
      </c>
      <c r="BC915" s="41"/>
      <c r="BD915" s="55" t="str">
        <f>C915&amp;" | "&amp;F915</f>
        <v>90MB1BJ0-C1BAY0 | G2492-0000-05</v>
      </c>
      <c r="BE915" s="55" t="str">
        <f ca="1">C915&amp;" | "&amp;OFFSET($AF915,0,8-COUNTBLANK($AG915:$AN915))</f>
        <v>90MB1BJ0-C1BAY0 | 59MB1BJB-MB0A02S</v>
      </c>
      <c r="BF915" s="57">
        <f ca="1">IFERROR(VLOOKUP($BE915,$BD$5:$BF914,3,0)*$AE915,VLOOKUP($C915,Demanda!$A:$B,2,0)*$AE915)*IF(AT915="Phantom Alt",$BC915,TRUE)</f>
        <v>3300</v>
      </c>
      <c r="BG915" s="57">
        <f ca="1">BF915*(AP915/100)</f>
        <v>3300</v>
      </c>
      <c r="BH915" s="57">
        <f>SUMIF(Invoice!A:A,F915,Invoice!B:B)</f>
        <v>0</v>
      </c>
      <c r="BI915" s="57">
        <f ca="1">SUMIF(AS:AS,AS915,BG:BG)</f>
        <v>3300</v>
      </c>
      <c r="BJ915" s="57">
        <f ca="1">MIN((BI915-SUMIF($AS$5:AS914,AS915,$BJ$5:BJ914)),MAX(0,BH915-SUMIF($F$5:F914,F915,$BJ$5:BJ914)))</f>
        <v>0</v>
      </c>
      <c r="BK915" s="57">
        <f ca="1">(-SUMIF(AS:AS,AS915,BG:BG)+SUMIF(AS:AS,AS915,BJ:BJ))*(AP915=100)*AR915</f>
        <v>-3300</v>
      </c>
      <c r="BL915" s="57">
        <f ca="1">MAX(0,SUMIF(Invoice!A:A,F915,Invoice!B:B)-SUMIF(F:F,F915,BJ:BJ))*(COUNTIF(F:F,F915)=COUNTIF($F$5:F915,F915))</f>
        <v>0</v>
      </c>
    </row>
    <row r="916" spans="1:64">
      <c r="A916" s="43">
        <v>916</v>
      </c>
      <c r="B916" s="13" t="s">
        <v>147</v>
      </c>
      <c r="C916" s="13" t="s">
        <v>146</v>
      </c>
      <c r="D916" s="13">
        <v>2</v>
      </c>
      <c r="E916" s="13">
        <v>3060</v>
      </c>
      <c r="F916" s="71" t="s">
        <v>2103</v>
      </c>
      <c r="G916" s="71" t="s">
        <v>2104</v>
      </c>
      <c r="I916" s="13" t="s">
        <v>54</v>
      </c>
      <c r="J916" s="28">
        <v>0</v>
      </c>
      <c r="K916" s="13" t="s">
        <v>150</v>
      </c>
      <c r="L916" s="13" t="s">
        <v>53</v>
      </c>
      <c r="M916" s="13">
        <v>12</v>
      </c>
      <c r="N916" s="13">
        <v>12</v>
      </c>
      <c r="O916" s="13">
        <v>1</v>
      </c>
      <c r="R916" s="13" t="s">
        <v>2105</v>
      </c>
      <c r="S916" s="13" t="s">
        <v>2105</v>
      </c>
      <c r="T916" s="13">
        <v>44901</v>
      </c>
      <c r="U916" s="13">
        <v>2958465</v>
      </c>
      <c r="V916" s="13" t="s">
        <v>282</v>
      </c>
      <c r="W916" s="13" t="s">
        <v>145</v>
      </c>
      <c r="Y916" s="13" t="s">
        <v>143</v>
      </c>
      <c r="Z916" s="13">
        <v>7589154</v>
      </c>
      <c r="AA916" s="13">
        <v>1716</v>
      </c>
      <c r="AB916" s="13">
        <v>858</v>
      </c>
      <c r="AE916" s="51">
        <f>M916/O916</f>
        <v>12</v>
      </c>
      <c r="AG916" s="6" t="str">
        <f>C916</f>
        <v>90MB1BJ0-C1BAY0</v>
      </c>
      <c r="AH916" s="6" t="str">
        <f>IF($D916&lt;=AH$4,"",IF(AND($D915=AH$4,$D916&gt;AH$4),$F915,AH915))</f>
        <v>59MB1BJB-MB0A02S</v>
      </c>
      <c r="AI916" s="6" t="str">
        <f>IF($D916&lt;=AI$4,"",IF(AND($D915=AI$4,$D916&gt;AI$4),$F915,AI915))</f>
        <v/>
      </c>
      <c r="AJ916" s="6" t="str">
        <f>IF($D916&lt;=AJ$4,"",IF(AND($D915=AJ$4,$D916&gt;AJ$4),$F915,AJ915))</f>
        <v/>
      </c>
      <c r="AK916" s="6" t="str">
        <f>IF($D916&lt;=AK$4,"",IF(AND($D915=AK$4,$D916&gt;AK$4),$F915,AK915))</f>
        <v/>
      </c>
      <c r="AL916" s="6" t="str">
        <f>IF($D916&lt;=AL$4,"",IF(AND($D915=AL$4,$D916&gt;AL$4),$F915,AL915))</f>
        <v/>
      </c>
      <c r="AM916" s="6" t="str">
        <f>IF($D916&lt;=AM$4,"",IF(AND($D915=AM$4,$D916&gt;AM$4),$F915,AM915))</f>
        <v/>
      </c>
      <c r="AN916" s="6" t="str">
        <f>IF($D916&lt;=AN$4,"",IF(AND($D915=AN$4,$D916&gt;AN$4),$F915,AN915))</f>
        <v/>
      </c>
      <c r="AO916" s="6" t="str">
        <f>CONCATENATE(AG916," | ",AH916," | ",AI916," | ",AJ916," | ",AK916," | ",AL916," | ",AM916," | ",AN916)</f>
        <v xml:space="preserve">90MB1BJ0-C1BAY0 | 59MB1BJB-MB0A02S |  |  |  |  |  | </v>
      </c>
      <c r="AP916" s="6">
        <f>IF(TRIM(H916)="",100,J916)</f>
        <v>100</v>
      </c>
      <c r="AQ916" s="4"/>
      <c r="AR916" s="6" t="b">
        <f>NOT(TRIM(W916)&lt;&gt;"F")</f>
        <v>1</v>
      </c>
      <c r="AS916" s="6" t="str">
        <f>$B916&amp;" | "&amp;$AO916&amp;" | "&amp;IF(TRIM(H916)="","uniq"&amp;ROW(),TRIM(H916))</f>
        <v>461E | 90MB1BJ0-C1BAY0 | 59MB1BJB-MB0A02S |  |  |  |  |  |  | uniq916</v>
      </c>
      <c r="AT916" s="63">
        <f>IF(NOT(AR916),IF(TRIM($H916)="","Assembly","Phantom Alt"),VLOOKUP(F916,ZPCS04!B:G,6,0))</f>
        <v>241</v>
      </c>
      <c r="AU916" s="7"/>
      <c r="AV916" s="38">
        <f ca="1">IF(TRIM($W916)="F",OFFSET($A$5,MATCH($AS916,$AS$5:$AS916,0)-1,0),$A916)</f>
        <v>916</v>
      </c>
      <c r="AW916" s="38">
        <f ca="1">IFERROR(OFFSET(ZPCS04!$A$1,MATCH(F916,ZPCS04!B:B,0)-1,0),100)</f>
        <v>2</v>
      </c>
      <c r="AX916" s="7"/>
      <c r="AY916" s="6" t="b">
        <f>SUMIF(AS:AS,AS916,AP:AP)=100</f>
        <v>1</v>
      </c>
      <c r="AZ916" s="6" t="b">
        <f>SUMIF(AS:AS,AS916,AE:AE)/COUNTIF(AS:AS,AS916)=AE916</f>
        <v>1</v>
      </c>
      <c r="BB916" s="38" t="str">
        <f ca="1">IF(AT916="Phantom Alt",MATCH($AS916,$AS$5:$AS916,0),IF(OR(OFFSET($AF916,0,8-COUNTBLANK($AG916:$AN916))=$F915,$BE916=$BE915),$BB915,""))</f>
        <v/>
      </c>
      <c r="BC916" s="41"/>
      <c r="BD916" s="55" t="str">
        <f>C916&amp;" | "&amp;F916</f>
        <v>90MB1BJ0-C1BAY0 | G2492-0001-04</v>
      </c>
      <c r="BE916" s="55" t="str">
        <f ca="1">C916&amp;" | "&amp;OFFSET($AF916,0,8-COUNTBLANK($AG916:$AN916))</f>
        <v>90MB1BJ0-C1BAY0 | 59MB1BJB-MB0A02S</v>
      </c>
      <c r="BF916" s="57">
        <f ca="1">IFERROR(VLOOKUP($BE916,$BD$5:$BF915,3,0)*$AE916,VLOOKUP($C916,Demanda!$A:$B,2,0)*$AE916)*IF(AT916="Phantom Alt",$BC916,TRUE)</f>
        <v>12000</v>
      </c>
      <c r="BG916" s="57">
        <f ca="1">BF916*(AP916/100)</f>
        <v>12000</v>
      </c>
      <c r="BH916" s="57">
        <f>SUMIF(Invoice!A:A,F916,Invoice!B:B)</f>
        <v>0</v>
      </c>
      <c r="BI916" s="57">
        <f ca="1">SUMIF(AS:AS,AS916,BG:BG)</f>
        <v>12000</v>
      </c>
      <c r="BJ916" s="57">
        <f ca="1">MIN((BI916-SUMIF($AS$5:AS915,AS916,$BJ$5:BJ915)),MAX(0,BH916-SUMIF($F$5:F915,F916,$BJ$5:BJ915)))</f>
        <v>0</v>
      </c>
      <c r="BK916" s="57">
        <f ca="1">(-SUMIF(AS:AS,AS916,BG:BG)+SUMIF(AS:AS,AS916,BJ:BJ))*(AP916=100)*AR916</f>
        <v>-12000</v>
      </c>
      <c r="BL916" s="57">
        <f ca="1">MAX(0,SUMIF(Invoice!A:A,F916,Invoice!B:B)-SUMIF(F:F,F916,BJ:BJ))*(COUNTIF(F:F,F916)=COUNTIF($F$5:F916,F916))</f>
        <v>0</v>
      </c>
    </row>
    <row r="917" spans="1:64" hidden="1">
      <c r="A917" s="43">
        <v>917</v>
      </c>
      <c r="B917" s="13" t="s">
        <v>147</v>
      </c>
      <c r="C917" s="13" t="s">
        <v>146</v>
      </c>
      <c r="D917" s="13">
        <v>2</v>
      </c>
      <c r="E917" s="13">
        <v>3070</v>
      </c>
      <c r="F917" s="71" t="s">
        <v>2106</v>
      </c>
      <c r="G917" s="71" t="s">
        <v>2107</v>
      </c>
      <c r="H917" s="13" t="s">
        <v>2108</v>
      </c>
      <c r="I917" s="13" t="s">
        <v>55</v>
      </c>
      <c r="J917" s="28">
        <v>0</v>
      </c>
      <c r="K917" s="13" t="s">
        <v>2109</v>
      </c>
      <c r="L917" s="13" t="s">
        <v>53</v>
      </c>
      <c r="M917" s="13">
        <v>25</v>
      </c>
      <c r="O917" s="13">
        <v>1</v>
      </c>
      <c r="P917" s="13">
        <v>2</v>
      </c>
      <c r="Q917" s="13">
        <v>2</v>
      </c>
      <c r="R917" s="13" t="s">
        <v>2102</v>
      </c>
      <c r="S917" s="13" t="s">
        <v>2102</v>
      </c>
      <c r="T917" s="13">
        <v>44901</v>
      </c>
      <c r="U917" s="13">
        <v>2958465</v>
      </c>
      <c r="V917" s="13" t="s">
        <v>282</v>
      </c>
      <c r="W917" s="13" t="s">
        <v>145</v>
      </c>
      <c r="Y917" s="13" t="s">
        <v>143</v>
      </c>
      <c r="Z917" s="13">
        <v>7589154</v>
      </c>
      <c r="AA917" s="13">
        <v>1720</v>
      </c>
      <c r="AB917" s="13">
        <v>860</v>
      </c>
      <c r="AE917" s="51">
        <f>M917/O917</f>
        <v>25</v>
      </c>
      <c r="AG917" s="6" t="str">
        <f>C917</f>
        <v>90MB1BJ0-C1BAY0</v>
      </c>
      <c r="AH917" s="6" t="str">
        <f>IF($D917&lt;=AH$4,"",IF(AND($D916=AH$4,$D917&gt;AH$4),$F916,AH916))</f>
        <v>59MB1BJB-MB0A02S</v>
      </c>
      <c r="AI917" s="6" t="str">
        <f>IF($D917&lt;=AI$4,"",IF(AND($D916=AI$4,$D917&gt;AI$4),$F916,AI916))</f>
        <v/>
      </c>
      <c r="AJ917" s="6" t="str">
        <f>IF($D917&lt;=AJ$4,"",IF(AND($D916=AJ$4,$D917&gt;AJ$4),$F916,AJ916))</f>
        <v/>
      </c>
      <c r="AK917" s="6" t="str">
        <f>IF($D917&lt;=AK$4,"",IF(AND($D916=AK$4,$D917&gt;AK$4),$F916,AK916))</f>
        <v/>
      </c>
      <c r="AL917" s="6" t="str">
        <f>IF($D917&lt;=AL$4,"",IF(AND($D916=AL$4,$D917&gt;AL$4),$F916,AL916))</f>
        <v/>
      </c>
      <c r="AM917" s="6" t="str">
        <f>IF($D917&lt;=AM$4,"",IF(AND($D916=AM$4,$D917&gt;AM$4),$F916,AM916))</f>
        <v/>
      </c>
      <c r="AN917" s="6" t="str">
        <f>IF($D917&lt;=AN$4,"",IF(AND($D916=AN$4,$D917&gt;AN$4),$F916,AN916))</f>
        <v/>
      </c>
      <c r="AO917" s="6" t="str">
        <f>CONCATENATE(AG917," | ",AH917," | ",AI917," | ",AJ917," | ",AK917," | ",AL917," | ",AM917," | ",AN917)</f>
        <v xml:space="preserve">90MB1BJ0-C1BAY0 | 59MB1BJB-MB0A02S |  |  |  |  |  | </v>
      </c>
      <c r="AP917" s="6">
        <f>IF(TRIM(H917)="",100,J917)</f>
        <v>0</v>
      </c>
      <c r="AQ917" s="4"/>
      <c r="AR917" s="6" t="b">
        <f>NOT(TRIM(W917)&lt;&gt;"F")</f>
        <v>1</v>
      </c>
      <c r="AS917" s="6" t="str">
        <f>$B917&amp;" | "&amp;$AO917&amp;" | "&amp;IF(TRIM(H917)="","uniq"&amp;ROW(),TRIM(H917))</f>
        <v>461E | 90MB1BJ0-C1BAY0 | 59MB1BJB-MB0A02S |  |  |  |  |  |  | T2</v>
      </c>
      <c r="AT917" s="63">
        <f>IF(NOT(AR917),IF(TRIM($H917)="","Assembly","Phantom Alt"),VLOOKUP(F917,ZPCS04!B:G,6,0))</f>
        <v>801</v>
      </c>
      <c r="AU917" s="7"/>
      <c r="AV917" s="38">
        <f ca="1">IF(TRIM($W917)="F",OFFSET($A$5,MATCH($AS917,$AS$5:$AS917,0)-1,0),$A917)</f>
        <v>917</v>
      </c>
      <c r="AW917" s="38">
        <f ca="1">IFERROR(OFFSET(ZPCS04!$A$1,MATCH(F917,ZPCS04!B:B,0)-1,0),100)</f>
        <v>2</v>
      </c>
      <c r="AX917" s="7"/>
      <c r="AY917" s="6" t="b">
        <f>SUMIF(AS:AS,AS917,AP:AP)=100</f>
        <v>1</v>
      </c>
      <c r="AZ917" s="6" t="b">
        <f>SUMIF(AS:AS,AS917,AE:AE)/COUNTIF(AS:AS,AS917)=AE917</f>
        <v>1</v>
      </c>
      <c r="BB917" s="38" t="str">
        <f ca="1">IF(AT917="Phantom Alt",MATCH($AS917,$AS$5:$AS917,0),IF(OR(OFFSET($AF917,0,8-COUNTBLANK($AG917:$AN917))=$F916,$BE917=$BE916),$BB916,""))</f>
        <v/>
      </c>
      <c r="BC917" s="41"/>
      <c r="BD917" s="55" t="str">
        <f>C917&amp;" | "&amp;F917</f>
        <v>90MB1BJ0-C1BAY0 | G2492-0000-01</v>
      </c>
      <c r="BE917" s="55" t="str">
        <f ca="1">C917&amp;" | "&amp;OFFSET($AF917,0,8-COUNTBLANK($AG917:$AN917))</f>
        <v>90MB1BJ0-C1BAY0 | 59MB1BJB-MB0A02S</v>
      </c>
      <c r="BF917" s="57">
        <f ca="1">IFERROR(VLOOKUP($BE917,$BD$5:$BF916,3,0)*$AE917,VLOOKUP($C917,Demanda!$A:$B,2,0)*$AE917)*IF(AT917="Phantom Alt",$BC917,TRUE)</f>
        <v>25000</v>
      </c>
      <c r="BG917" s="57">
        <f ca="1">BF917*(AP917/100)</f>
        <v>0</v>
      </c>
      <c r="BH917" s="57">
        <f>SUMIF(Invoice!A:A,F917,Invoice!B:B)</f>
        <v>0</v>
      </c>
      <c r="BI917" s="57">
        <f ca="1">SUMIF(AS:AS,AS917,BG:BG)</f>
        <v>25000</v>
      </c>
      <c r="BJ917" s="57">
        <f ca="1">MIN((BI917-SUMIF($AS$5:AS916,AS917,$BJ$5:BJ916)),MAX(0,BH917-SUMIF($F$5:F916,F917,$BJ$5:BJ916)))</f>
        <v>0</v>
      </c>
      <c r="BK917" s="57">
        <f ca="1">(-SUMIF(AS:AS,AS917,BG:BG)+SUMIF(AS:AS,AS917,BJ:BJ))*(AP917=100)*AR917</f>
        <v>0</v>
      </c>
      <c r="BL917" s="57">
        <f ca="1">MAX(0,SUMIF(Invoice!A:A,F917,Invoice!B:B)-SUMIF(F:F,F917,BJ:BJ))*(COUNTIF(F:F,F917)=COUNTIF($F$5:F917,F917))</f>
        <v>0</v>
      </c>
    </row>
    <row r="918" spans="1:64" hidden="1">
      <c r="A918" s="43">
        <v>919</v>
      </c>
      <c r="B918" s="13" t="s">
        <v>147</v>
      </c>
      <c r="C918" s="13" t="s">
        <v>146</v>
      </c>
      <c r="D918" s="13">
        <v>2</v>
      </c>
      <c r="E918" s="13">
        <v>3070</v>
      </c>
      <c r="F918" s="71" t="s">
        <v>2112</v>
      </c>
      <c r="G918" s="71" t="s">
        <v>2113</v>
      </c>
      <c r="H918" s="13" t="s">
        <v>2108</v>
      </c>
      <c r="I918" s="13" t="s">
        <v>55</v>
      </c>
      <c r="J918" s="28">
        <v>0</v>
      </c>
      <c r="K918" s="13" t="s">
        <v>2109</v>
      </c>
      <c r="L918" s="13" t="s">
        <v>53</v>
      </c>
      <c r="M918" s="13">
        <v>25</v>
      </c>
      <c r="O918" s="13">
        <v>1</v>
      </c>
      <c r="P918" s="13">
        <v>2</v>
      </c>
      <c r="Q918" s="13">
        <v>4</v>
      </c>
      <c r="R918" s="13" t="s">
        <v>2102</v>
      </c>
      <c r="S918" s="13" t="s">
        <v>2102</v>
      </c>
      <c r="T918" s="13">
        <v>44901</v>
      </c>
      <c r="U918" s="13">
        <v>2958465</v>
      </c>
      <c r="V918" s="13" t="s">
        <v>282</v>
      </c>
      <c r="W918" s="13" t="s">
        <v>145</v>
      </c>
      <c r="Y918" s="13" t="s">
        <v>143</v>
      </c>
      <c r="Z918" s="13">
        <v>7589154</v>
      </c>
      <c r="AA918" s="13">
        <v>1724</v>
      </c>
      <c r="AB918" s="13">
        <v>862</v>
      </c>
      <c r="AE918" s="51">
        <f>M918/O918</f>
        <v>25</v>
      </c>
      <c r="AG918" s="6" t="str">
        <f>C918</f>
        <v>90MB1BJ0-C1BAY0</v>
      </c>
      <c r="AH918" s="6" t="str">
        <f>IF($D918&lt;=AH$4,"",IF(AND($D917=AH$4,$D918&gt;AH$4),$F917,AH917))</f>
        <v>59MB1BJB-MB0A02S</v>
      </c>
      <c r="AI918" s="6" t="str">
        <f>IF($D918&lt;=AI$4,"",IF(AND($D917=AI$4,$D918&gt;AI$4),$F917,AI917))</f>
        <v/>
      </c>
      <c r="AJ918" s="6" t="str">
        <f>IF($D918&lt;=AJ$4,"",IF(AND($D917=AJ$4,$D918&gt;AJ$4),$F917,AJ917))</f>
        <v/>
      </c>
      <c r="AK918" s="6" t="str">
        <f>IF($D918&lt;=AK$4,"",IF(AND($D917=AK$4,$D918&gt;AK$4),$F917,AK917))</f>
        <v/>
      </c>
      <c r="AL918" s="6" t="str">
        <f>IF($D918&lt;=AL$4,"",IF(AND($D917=AL$4,$D918&gt;AL$4),$F917,AL917))</f>
        <v/>
      </c>
      <c r="AM918" s="6" t="str">
        <f>IF($D918&lt;=AM$4,"",IF(AND($D917=AM$4,$D918&gt;AM$4),$F917,AM917))</f>
        <v/>
      </c>
      <c r="AN918" s="6" t="str">
        <f>IF($D918&lt;=AN$4,"",IF(AND($D917=AN$4,$D918&gt;AN$4),$F917,AN917))</f>
        <v/>
      </c>
      <c r="AO918" s="6" t="str">
        <f>CONCATENATE(AG918," | ",AH918," | ",AI918," | ",AJ918," | ",AK918," | ",AL918," | ",AM918," | ",AN918)</f>
        <v xml:space="preserve">90MB1BJ0-C1BAY0 | 59MB1BJB-MB0A02S |  |  |  |  |  | </v>
      </c>
      <c r="AP918" s="6">
        <f>IF(TRIM(H918)="",100,J918)</f>
        <v>0</v>
      </c>
      <c r="AQ918" s="4"/>
      <c r="AR918" s="6" t="b">
        <f>NOT(TRIM(W918)&lt;&gt;"F")</f>
        <v>1</v>
      </c>
      <c r="AS918" s="6" t="str">
        <f>$B918&amp;" | "&amp;$AO918&amp;" | "&amp;IF(TRIM(H918)="","uniq"&amp;ROW(),TRIM(H918))</f>
        <v>461E | 90MB1BJ0-C1BAY0 | 59MB1BJB-MB0A02S |  |  |  |  |  |  | T2</v>
      </c>
      <c r="AT918" s="63">
        <f>IF(NOT(AR918),IF(TRIM($H918)="","Assembly","Phantom Alt"),VLOOKUP(F918,ZPCS04!B:G,6,0))</f>
        <v>801</v>
      </c>
      <c r="AU918" s="7"/>
      <c r="AV918" s="38">
        <f ca="1">IF(TRIM($W918)="F",OFFSET($A$5,MATCH($AS918,$AS$5:$AS918,0)-1,0),$A918)</f>
        <v>917</v>
      </c>
      <c r="AW918" s="38">
        <f ca="1">IFERROR(OFFSET(ZPCS04!$A$1,MATCH(F918,ZPCS04!B:B,0)-1,0),100)</f>
        <v>2</v>
      </c>
      <c r="AX918" s="7"/>
      <c r="AY918" s="6" t="b">
        <f>SUMIF(AS:AS,AS918,AP:AP)=100</f>
        <v>1</v>
      </c>
      <c r="AZ918" s="6" t="b">
        <f>SUMIF(AS:AS,AS918,AE:AE)/COUNTIF(AS:AS,AS918)=AE918</f>
        <v>1</v>
      </c>
      <c r="BB918" s="38" t="str">
        <f ca="1">IF(AT918="Phantom Alt",MATCH($AS918,$AS$5:$AS918,0),IF(OR(OFFSET($AF918,0,8-COUNTBLANK($AG918:$AN918))=$F917,$BE918=$BE917),$BB917,""))</f>
        <v/>
      </c>
      <c r="BC918" s="41"/>
      <c r="BD918" s="55" t="str">
        <f>C918&amp;" | "&amp;F918</f>
        <v>90MB1BJ0-C1BAY0 | G2492-0000-01S</v>
      </c>
      <c r="BE918" s="55" t="str">
        <f ca="1">C918&amp;" | "&amp;OFFSET($AF918,0,8-COUNTBLANK($AG918:$AN918))</f>
        <v>90MB1BJ0-C1BAY0 | 59MB1BJB-MB0A02S</v>
      </c>
      <c r="BF918" s="57">
        <f ca="1">IFERROR(VLOOKUP($BE918,$BD$5:$BF917,3,0)*$AE918,VLOOKUP($C918,Demanda!$A:$B,2,0)*$AE918)*IF(AT918="Phantom Alt",$BC918,TRUE)</f>
        <v>25000</v>
      </c>
      <c r="BG918" s="57">
        <f ca="1">BF918*(AP918/100)</f>
        <v>0</v>
      </c>
      <c r="BH918" s="57">
        <f>SUMIF(Invoice!A:A,F918,Invoice!B:B)</f>
        <v>0</v>
      </c>
      <c r="BI918" s="57">
        <f ca="1">SUMIF(AS:AS,AS918,BG:BG)</f>
        <v>25000</v>
      </c>
      <c r="BJ918" s="57">
        <f ca="1">MIN((BI918-SUMIF($AS$5:AS917,AS918,$BJ$5:BJ917)),MAX(0,BH918-SUMIF($F$5:F917,F918,$BJ$5:BJ917)))</f>
        <v>0</v>
      </c>
      <c r="BK918" s="57">
        <f ca="1">(-SUMIF(AS:AS,AS918,BG:BG)+SUMIF(AS:AS,AS918,BJ:BJ))*(AP918=100)*AR918</f>
        <v>0</v>
      </c>
      <c r="BL918" s="57">
        <f ca="1">MAX(0,SUMIF(Invoice!A:A,F918,Invoice!B:B)-SUMIF(F:F,F918,BJ:BJ))*(COUNTIF(F:F,F918)=COUNTIF($F$5:F918,F918))</f>
        <v>0</v>
      </c>
    </row>
    <row r="919" spans="1:64" hidden="1">
      <c r="A919" s="43">
        <v>918</v>
      </c>
      <c r="B919" s="13" t="s">
        <v>147</v>
      </c>
      <c r="C919" s="13" t="s">
        <v>146</v>
      </c>
      <c r="D919" s="13">
        <v>2</v>
      </c>
      <c r="E919" s="13">
        <v>3070</v>
      </c>
      <c r="F919" s="71" t="s">
        <v>2110</v>
      </c>
      <c r="G919" s="71" t="s">
        <v>2111</v>
      </c>
      <c r="H919" s="13" t="s">
        <v>2108</v>
      </c>
      <c r="I919" s="13" t="s">
        <v>55</v>
      </c>
      <c r="J919" s="28">
        <v>0</v>
      </c>
      <c r="K919" s="13" t="s">
        <v>2109</v>
      </c>
      <c r="L919" s="13" t="s">
        <v>53</v>
      </c>
      <c r="M919" s="13">
        <v>25</v>
      </c>
      <c r="O919" s="13">
        <v>1</v>
      </c>
      <c r="P919" s="13">
        <v>2</v>
      </c>
      <c r="Q919" s="13">
        <v>3</v>
      </c>
      <c r="R919" s="13" t="s">
        <v>2102</v>
      </c>
      <c r="S919" s="13" t="s">
        <v>2102</v>
      </c>
      <c r="T919" s="13">
        <v>44901</v>
      </c>
      <c r="U919" s="13">
        <v>2958465</v>
      </c>
      <c r="V919" s="13" t="s">
        <v>282</v>
      </c>
      <c r="W919" s="13" t="s">
        <v>145</v>
      </c>
      <c r="Y919" s="13" t="s">
        <v>143</v>
      </c>
      <c r="Z919" s="13">
        <v>7589154</v>
      </c>
      <c r="AA919" s="13">
        <v>1722</v>
      </c>
      <c r="AB919" s="13">
        <v>861</v>
      </c>
      <c r="AE919" s="51">
        <f>M919/O919</f>
        <v>25</v>
      </c>
      <c r="AG919" s="6" t="str">
        <f>C919</f>
        <v>90MB1BJ0-C1BAY0</v>
      </c>
      <c r="AH919" s="6" t="str">
        <f>IF($D919&lt;=AH$4,"",IF(AND($D918=AH$4,$D919&gt;AH$4),$F918,AH918))</f>
        <v>59MB1BJB-MB0A02S</v>
      </c>
      <c r="AI919" s="6" t="str">
        <f>IF($D919&lt;=AI$4,"",IF(AND($D918=AI$4,$D919&gt;AI$4),$F918,AI918))</f>
        <v/>
      </c>
      <c r="AJ919" s="6" t="str">
        <f>IF($D919&lt;=AJ$4,"",IF(AND($D918=AJ$4,$D919&gt;AJ$4),$F918,AJ918))</f>
        <v/>
      </c>
      <c r="AK919" s="6" t="str">
        <f>IF($D919&lt;=AK$4,"",IF(AND($D918=AK$4,$D919&gt;AK$4),$F918,AK918))</f>
        <v/>
      </c>
      <c r="AL919" s="6" t="str">
        <f>IF($D919&lt;=AL$4,"",IF(AND($D918=AL$4,$D919&gt;AL$4),$F918,AL918))</f>
        <v/>
      </c>
      <c r="AM919" s="6" t="str">
        <f>IF($D919&lt;=AM$4,"",IF(AND($D918=AM$4,$D919&gt;AM$4),$F918,AM918))</f>
        <v/>
      </c>
      <c r="AN919" s="6" t="str">
        <f>IF($D919&lt;=AN$4,"",IF(AND($D918=AN$4,$D919&gt;AN$4),$F918,AN918))</f>
        <v/>
      </c>
      <c r="AO919" s="6" t="str">
        <f>CONCATENATE(AG919," | ",AH919," | ",AI919," | ",AJ919," | ",AK919," | ",AL919," | ",AM919," | ",AN919)</f>
        <v xml:space="preserve">90MB1BJ0-C1BAY0 | 59MB1BJB-MB0A02S |  |  |  |  |  | </v>
      </c>
      <c r="AP919" s="6">
        <f>IF(TRIM(H919)="",100,J919)</f>
        <v>0</v>
      </c>
      <c r="AQ919" s="4"/>
      <c r="AR919" s="6" t="b">
        <f>NOT(TRIM(W919)&lt;&gt;"F")</f>
        <v>1</v>
      </c>
      <c r="AS919" s="6" t="str">
        <f>$B919&amp;" | "&amp;$AO919&amp;" | "&amp;IF(TRIM(H919)="","uniq"&amp;ROW(),TRIM(H919))</f>
        <v>461E | 90MB1BJ0-C1BAY0 | 59MB1BJB-MB0A02S |  |  |  |  |  |  | T2</v>
      </c>
      <c r="AT919" s="63">
        <f>IF(NOT(AR919),IF(TRIM($H919)="","Assembly","Phantom Alt"),VLOOKUP(F919,ZPCS04!B:G,6,0))</f>
        <v>801</v>
      </c>
      <c r="AU919" s="7"/>
      <c r="AV919" s="38">
        <f ca="1">IF(TRIM($W919)="F",OFFSET($A$5,MATCH($AS919,$AS$5:$AS919,0)-1,0),$A919)</f>
        <v>917</v>
      </c>
      <c r="AW919" s="38">
        <f ca="1">IFERROR(OFFSET(ZPCS04!$A$1,MATCH(F919,ZPCS04!B:B,0)-1,0),100)</f>
        <v>2</v>
      </c>
      <c r="AX919" s="7"/>
      <c r="AY919" s="6" t="b">
        <f>SUMIF(AS:AS,AS919,AP:AP)=100</f>
        <v>1</v>
      </c>
      <c r="AZ919" s="6" t="b">
        <f>SUMIF(AS:AS,AS919,AE:AE)/COUNTIF(AS:AS,AS919)=AE919</f>
        <v>1</v>
      </c>
      <c r="BB919" s="38" t="str">
        <f ca="1">IF(AT919="Phantom Alt",MATCH($AS919,$AS$5:$AS919,0),IF(OR(OFFSET($AF919,0,8-COUNTBLANK($AG919:$AN919))=$F918,$BE919=$BE918),$BB918,""))</f>
        <v/>
      </c>
      <c r="BC919" s="41"/>
      <c r="BD919" s="55" t="str">
        <f>C919&amp;" | "&amp;F919</f>
        <v>90MB1BJ0-C1BAY0 | G2492-0000-01P</v>
      </c>
      <c r="BE919" s="55" t="str">
        <f ca="1">C919&amp;" | "&amp;OFFSET($AF919,0,8-COUNTBLANK($AG919:$AN919))</f>
        <v>90MB1BJ0-C1BAY0 | 59MB1BJB-MB0A02S</v>
      </c>
      <c r="BF919" s="57">
        <f ca="1">IFERROR(VLOOKUP($BE919,$BD$5:$BF918,3,0)*$AE919,VLOOKUP($C919,Demanda!$A:$B,2,0)*$AE919)*IF(AT919="Phantom Alt",$BC919,TRUE)</f>
        <v>25000</v>
      </c>
      <c r="BG919" s="57">
        <f ca="1">BF919*(AP919/100)</f>
        <v>0</v>
      </c>
      <c r="BH919" s="57">
        <f>SUMIF(Invoice!A:A,F919,Invoice!B:B)</f>
        <v>0</v>
      </c>
      <c r="BI919" s="57">
        <f ca="1">SUMIF(AS:AS,AS919,BG:BG)</f>
        <v>25000</v>
      </c>
      <c r="BJ919" s="57">
        <f ca="1">MIN((BI919-SUMIF($AS$5:AS918,AS919,$BJ$5:BJ918)),MAX(0,BH919-SUMIF($F$5:F918,F919,$BJ$5:BJ918)))</f>
        <v>0</v>
      </c>
      <c r="BK919" s="57">
        <f ca="1">(-SUMIF(AS:AS,AS919,BG:BG)+SUMIF(AS:AS,AS919,BJ:BJ))*(AP919=100)*AR919</f>
        <v>0</v>
      </c>
      <c r="BL919" s="57">
        <f ca="1">MAX(0,SUMIF(Invoice!A:A,F919,Invoice!B:B)-SUMIF(F:F,F919,BJ:BJ))*(COUNTIF(F:F,F919)=COUNTIF($F$5:F919,F919))</f>
        <v>0</v>
      </c>
    </row>
    <row r="920" spans="1:64">
      <c r="A920" s="43">
        <v>920</v>
      </c>
      <c r="B920" s="13" t="s">
        <v>147</v>
      </c>
      <c r="C920" s="13" t="s">
        <v>146</v>
      </c>
      <c r="D920" s="13">
        <v>2</v>
      </c>
      <c r="E920" s="13">
        <v>3070</v>
      </c>
      <c r="F920" s="71" t="s">
        <v>2114</v>
      </c>
      <c r="G920" s="71" t="s">
        <v>2113</v>
      </c>
      <c r="H920" s="13" t="s">
        <v>2108</v>
      </c>
      <c r="I920" s="13" t="s">
        <v>54</v>
      </c>
      <c r="J920" s="28">
        <v>100</v>
      </c>
      <c r="K920" s="13" t="s">
        <v>2109</v>
      </c>
      <c r="L920" s="13" t="s">
        <v>53</v>
      </c>
      <c r="M920" s="13">
        <v>25</v>
      </c>
      <c r="N920" s="13">
        <v>25</v>
      </c>
      <c r="O920" s="13">
        <v>1</v>
      </c>
      <c r="P920" s="13">
        <v>2</v>
      </c>
      <c r="Q920" s="13">
        <v>1</v>
      </c>
      <c r="R920" s="13" t="s">
        <v>2102</v>
      </c>
      <c r="S920" s="13" t="s">
        <v>2102</v>
      </c>
      <c r="T920" s="13">
        <v>44901</v>
      </c>
      <c r="U920" s="13">
        <v>2958465</v>
      </c>
      <c r="V920" s="13" t="s">
        <v>282</v>
      </c>
      <c r="W920" s="13" t="s">
        <v>145</v>
      </c>
      <c r="Y920" s="13" t="s">
        <v>143</v>
      </c>
      <c r="Z920" s="13">
        <v>7589154</v>
      </c>
      <c r="AA920" s="13">
        <v>1718</v>
      </c>
      <c r="AB920" s="13">
        <v>859</v>
      </c>
      <c r="AE920" s="51">
        <f>M920/O920</f>
        <v>25</v>
      </c>
      <c r="AG920" s="6" t="str">
        <f>C920</f>
        <v>90MB1BJ0-C1BAY0</v>
      </c>
      <c r="AH920" s="6" t="str">
        <f>IF($D920&lt;=AH$4,"",IF(AND($D919=AH$4,$D920&gt;AH$4),$F919,AH919))</f>
        <v>59MB1BJB-MB0A02S</v>
      </c>
      <c r="AI920" s="6" t="str">
        <f>IF($D920&lt;=AI$4,"",IF(AND($D919=AI$4,$D920&gt;AI$4),$F919,AI919))</f>
        <v/>
      </c>
      <c r="AJ920" s="6" t="str">
        <f>IF($D920&lt;=AJ$4,"",IF(AND($D919=AJ$4,$D920&gt;AJ$4),$F919,AJ919))</f>
        <v/>
      </c>
      <c r="AK920" s="6" t="str">
        <f>IF($D920&lt;=AK$4,"",IF(AND($D919=AK$4,$D920&gt;AK$4),$F919,AK919))</f>
        <v/>
      </c>
      <c r="AL920" s="6" t="str">
        <f>IF($D920&lt;=AL$4,"",IF(AND($D919=AL$4,$D920&gt;AL$4),$F919,AL919))</f>
        <v/>
      </c>
      <c r="AM920" s="6" t="str">
        <f>IF($D920&lt;=AM$4,"",IF(AND($D919=AM$4,$D920&gt;AM$4),$F919,AM919))</f>
        <v/>
      </c>
      <c r="AN920" s="6" t="str">
        <f>IF($D920&lt;=AN$4,"",IF(AND($D919=AN$4,$D920&gt;AN$4),$F919,AN919))</f>
        <v/>
      </c>
      <c r="AO920" s="6" t="str">
        <f>CONCATENATE(AG920," | ",AH920," | ",AI920," | ",AJ920," | ",AK920," | ",AL920," | ",AM920," | ",AN920)</f>
        <v xml:space="preserve">90MB1BJ0-C1BAY0 | 59MB1BJB-MB0A02S |  |  |  |  |  | </v>
      </c>
      <c r="AP920" s="6">
        <f>IF(TRIM(H920)="",100,J920)</f>
        <v>100</v>
      </c>
      <c r="AQ920" s="4"/>
      <c r="AR920" s="6" t="b">
        <f>NOT(TRIM(W920)&lt;&gt;"F")</f>
        <v>1</v>
      </c>
      <c r="AS920" s="6" t="str">
        <f>$B920&amp;" | "&amp;$AO920&amp;" | "&amp;IF(TRIM(H920)="","uniq"&amp;ROW(),TRIM(H920))</f>
        <v>461E | 90MB1BJ0-C1BAY0 | 59MB1BJB-MB0A02S |  |  |  |  |  |  | T2</v>
      </c>
      <c r="AT920" s="63">
        <f>IF(NOT(AR920),IF(TRIM($H920)="","Assembly","Phantom Alt"),VLOOKUP(F920,ZPCS04!B:G,6,0))</f>
        <v>801</v>
      </c>
      <c r="AU920" s="7"/>
      <c r="AV920" s="38">
        <f ca="1">IF(TRIM($W920)="F",OFFSET($A$5,MATCH($AS920,$AS$5:$AS920,0)-1,0),$A920)</f>
        <v>917</v>
      </c>
      <c r="AW920" s="38">
        <f ca="1">IFERROR(OFFSET(ZPCS04!$A$1,MATCH(F920,ZPCS04!B:B,0)-1,0),100)</f>
        <v>2</v>
      </c>
      <c r="AX920" s="7"/>
      <c r="AY920" s="6" t="b">
        <f>SUMIF(AS:AS,AS920,AP:AP)=100</f>
        <v>1</v>
      </c>
      <c r="AZ920" s="6" t="b">
        <f>SUMIF(AS:AS,AS920,AE:AE)/COUNTIF(AS:AS,AS920)=AE920</f>
        <v>1</v>
      </c>
      <c r="BB920" s="38" t="str">
        <f ca="1">IF(AT920="Phantom Alt",MATCH($AS920,$AS$5:$AS920,0),IF(OR(OFFSET($AF920,0,8-COUNTBLANK($AG920:$AN920))=$F919,$BE920=$BE919),$BB919,""))</f>
        <v/>
      </c>
      <c r="BC920" s="41"/>
      <c r="BD920" s="55" t="str">
        <f>C920&amp;" | "&amp;F920</f>
        <v>90MB1BJ0-C1BAY0 | G2492-0000-02S</v>
      </c>
      <c r="BE920" s="55" t="str">
        <f ca="1">C920&amp;" | "&amp;OFFSET($AF920,0,8-COUNTBLANK($AG920:$AN920))</f>
        <v>90MB1BJ0-C1BAY0 | 59MB1BJB-MB0A02S</v>
      </c>
      <c r="BF920" s="57">
        <f ca="1">IFERROR(VLOOKUP($BE920,$BD$5:$BF919,3,0)*$AE920,VLOOKUP($C920,Demanda!$A:$B,2,0)*$AE920)*IF(AT920="Phantom Alt",$BC920,TRUE)</f>
        <v>25000</v>
      </c>
      <c r="BG920" s="57">
        <f ca="1">BF920*(AP920/100)</f>
        <v>25000</v>
      </c>
      <c r="BH920" s="57">
        <f>SUMIF(Invoice!A:A,F920,Invoice!B:B)</f>
        <v>0</v>
      </c>
      <c r="BI920" s="57">
        <f ca="1">SUMIF(AS:AS,AS920,BG:BG)</f>
        <v>25000</v>
      </c>
      <c r="BJ920" s="57">
        <f ca="1">MIN((BI920-SUMIF($AS$5:AS919,AS920,$BJ$5:BJ919)),MAX(0,BH920-SUMIF($F$5:F919,F920,$BJ$5:BJ919)))</f>
        <v>0</v>
      </c>
      <c r="BK920" s="57">
        <f ca="1">(-SUMIF(AS:AS,AS920,BG:BG)+SUMIF(AS:AS,AS920,BJ:BJ))*(AP920=100)*AR920</f>
        <v>-25000</v>
      </c>
      <c r="BL920" s="57">
        <f ca="1">MAX(0,SUMIF(Invoice!A:A,F920,Invoice!B:B)-SUMIF(F:F,F920,BJ:BJ))*(COUNTIF(F:F,F920)=COUNTIF($F$5:F920,F920))</f>
        <v>0</v>
      </c>
    </row>
    <row r="921" spans="1:64">
      <c r="A921" s="43">
        <v>921</v>
      </c>
      <c r="B921" s="13" t="s">
        <v>147</v>
      </c>
      <c r="C921" s="13" t="s">
        <v>146</v>
      </c>
      <c r="D921" s="13">
        <v>3</v>
      </c>
      <c r="E921" s="13">
        <v>10</v>
      </c>
      <c r="F921" s="71" t="s">
        <v>2115</v>
      </c>
      <c r="G921" s="71" t="s">
        <v>2116</v>
      </c>
      <c r="I921" s="13" t="s">
        <v>54</v>
      </c>
      <c r="J921" s="28">
        <v>0</v>
      </c>
      <c r="K921" s="13" t="s">
        <v>2109</v>
      </c>
      <c r="L921" s="13" t="s">
        <v>53</v>
      </c>
      <c r="M921" s="13">
        <v>1.25</v>
      </c>
      <c r="N921" s="13">
        <v>3.2000000000000001E-2</v>
      </c>
      <c r="O921" s="13">
        <v>1</v>
      </c>
      <c r="R921" s="13" t="s">
        <v>2117</v>
      </c>
      <c r="S921" s="13" t="s">
        <v>2117</v>
      </c>
      <c r="T921" s="13">
        <v>44923</v>
      </c>
      <c r="U921" s="13">
        <v>2958465</v>
      </c>
      <c r="V921" s="13" t="s">
        <v>2118</v>
      </c>
      <c r="W921" s="13" t="s">
        <v>145</v>
      </c>
      <c r="Y921" s="13" t="s">
        <v>143</v>
      </c>
      <c r="Z921" s="13">
        <v>7549388</v>
      </c>
      <c r="AA921" s="13">
        <v>5</v>
      </c>
      <c r="AB921" s="13">
        <v>2</v>
      </c>
      <c r="AE921" s="51">
        <f>M921/O921</f>
        <v>1.25</v>
      </c>
      <c r="AG921" s="6" t="str">
        <f>C921</f>
        <v>90MB1BJ0-C1BAY0</v>
      </c>
      <c r="AH921" s="6" t="str">
        <f>IF($D921&lt;=AH$4,"",IF(AND($D920=AH$4,$D921&gt;AH$4),$F920,AH920))</f>
        <v>59MB1BJB-MB0A02S</v>
      </c>
      <c r="AI921" s="6" t="str">
        <f>IF($D921&lt;=AI$4,"",IF(AND($D920=AI$4,$D921&gt;AI$4),$F920,AI920))</f>
        <v>G2492-0000-02S</v>
      </c>
      <c r="AJ921" s="6" t="str">
        <f>IF($D921&lt;=AJ$4,"",IF(AND($D920=AJ$4,$D921&gt;AJ$4),$F920,AJ920))</f>
        <v/>
      </c>
      <c r="AK921" s="6" t="str">
        <f>IF($D921&lt;=AK$4,"",IF(AND($D920=AK$4,$D921&gt;AK$4),$F920,AK920))</f>
        <v/>
      </c>
      <c r="AL921" s="6" t="str">
        <f>IF($D921&lt;=AL$4,"",IF(AND($D920=AL$4,$D921&gt;AL$4),$F920,AL920))</f>
        <v/>
      </c>
      <c r="AM921" s="6" t="str">
        <f>IF($D921&lt;=AM$4,"",IF(AND($D920=AM$4,$D921&gt;AM$4),$F920,AM920))</f>
        <v/>
      </c>
      <c r="AN921" s="6" t="str">
        <f>IF($D921&lt;=AN$4,"",IF(AND($D920=AN$4,$D921&gt;AN$4),$F920,AN920))</f>
        <v/>
      </c>
      <c r="AO921" s="6" t="str">
        <f>CONCATENATE(AG921," | ",AH921," | ",AI921," | ",AJ921," | ",AK921," | ",AL921," | ",AM921," | ",AN921)</f>
        <v xml:space="preserve">90MB1BJ0-C1BAY0 | 59MB1BJB-MB0A02S | G2492-0000-02S |  |  |  |  | </v>
      </c>
      <c r="AP921" s="6">
        <f>IF(TRIM(H921)="",100,J921)</f>
        <v>100</v>
      </c>
      <c r="AQ921" s="4"/>
      <c r="AR921" s="6" t="b">
        <f>NOT(TRIM(W921)&lt;&gt;"F")</f>
        <v>1</v>
      </c>
      <c r="AS921" s="6" t="str">
        <f>$B921&amp;" | "&amp;$AO921&amp;" | "&amp;IF(TRIM(H921)="","uniq"&amp;ROW(),TRIM(H921))</f>
        <v>461E | 90MB1BJ0-C1BAY0 | 59MB1BJB-MB0A02S | G2492-0000-02S |  |  |  |  |  | uniq921</v>
      </c>
      <c r="AT921" s="63">
        <f>IF(NOT(AR921),IF(TRIM($H921)="","Assembly","Phantom Alt"),VLOOKUP(F921,ZPCS04!B:G,6,0))</f>
        <v>239</v>
      </c>
      <c r="AU921" s="7"/>
      <c r="AV921" s="38">
        <f ca="1">IF(TRIM($W921)="F",OFFSET($A$5,MATCH($AS921,$AS$5:$AS921,0)-1,0),$A921)</f>
        <v>921</v>
      </c>
      <c r="AW921" s="38">
        <f ca="1">IFERROR(OFFSET(ZPCS04!$A$1,MATCH(F921,ZPCS04!B:B,0)-1,0),100)</f>
        <v>3</v>
      </c>
      <c r="AX921" s="7"/>
      <c r="AY921" s="6" t="b">
        <f>SUMIF(AS:AS,AS921,AP:AP)=100</f>
        <v>1</v>
      </c>
      <c r="AZ921" s="6" t="b">
        <f>SUMIF(AS:AS,AS921,AE:AE)/COUNTIF(AS:AS,AS921)=AE921</f>
        <v>1</v>
      </c>
      <c r="BB921" s="38" t="str">
        <f ca="1">IF(AT921="Phantom Alt",MATCH($AS921,$AS$5:$AS921,0),IF(OR(OFFSET($AF921,0,8-COUNTBLANK($AG921:$AN921))=$F920,$BE921=$BE920),$BB920,""))</f>
        <v/>
      </c>
      <c r="BC921" s="41"/>
      <c r="BD921" s="55" t="str">
        <f>C921&amp;" | "&amp;F921</f>
        <v>90MB1BJ0-C1BAY0 | G2492-0000-02B</v>
      </c>
      <c r="BE921" s="55" t="str">
        <f ca="1">C921&amp;" | "&amp;OFFSET($AF921,0,8-COUNTBLANK($AG921:$AN921))</f>
        <v>90MB1BJ0-C1BAY0 | G2492-0000-02S</v>
      </c>
      <c r="BF921" s="57">
        <f ca="1">IFERROR(VLOOKUP($BE921,$BD$5:$BF920,3,0)*$AE921,VLOOKUP($C921,Demanda!$A:$B,2,0)*$AE921)*IF(AT921="Phantom Alt",$BC921,TRUE)</f>
        <v>31250</v>
      </c>
      <c r="BG921" s="57">
        <f ca="1">BF921*(AP921/100)</f>
        <v>31250</v>
      </c>
      <c r="BH921" s="57">
        <f>SUMIF(Invoice!A:A,F921,Invoice!B:B)</f>
        <v>0</v>
      </c>
      <c r="BI921" s="57">
        <f ca="1">SUMIF(AS:AS,AS921,BG:BG)</f>
        <v>31250</v>
      </c>
      <c r="BJ921" s="57">
        <f ca="1">MIN((BI921-SUMIF($AS$5:AS920,AS921,$BJ$5:BJ920)),MAX(0,BH921-SUMIF($F$5:F920,F921,$BJ$5:BJ920)))</f>
        <v>0</v>
      </c>
      <c r="BK921" s="57">
        <f ca="1">(-SUMIF(AS:AS,AS921,BG:BG)+SUMIF(AS:AS,AS921,BJ:BJ))*(AP921=100)*AR921</f>
        <v>-31250</v>
      </c>
      <c r="BL921" s="57">
        <f ca="1">MAX(0,SUMIF(Invoice!A:A,F921,Invoice!B:B)-SUMIF(F:F,F921,BJ:BJ))*(COUNTIF(F:F,F921)=COUNTIF($F$5:F921,F921))</f>
        <v>0</v>
      </c>
    </row>
    <row r="922" spans="1:64">
      <c r="A922" s="43">
        <v>922</v>
      </c>
      <c r="B922" s="13" t="s">
        <v>147</v>
      </c>
      <c r="C922" s="13" t="s">
        <v>146</v>
      </c>
      <c r="D922" s="13">
        <v>2</v>
      </c>
      <c r="E922" s="13">
        <v>3080</v>
      </c>
      <c r="F922" s="71" t="s">
        <v>2119</v>
      </c>
      <c r="G922" s="71" t="s">
        <v>2120</v>
      </c>
      <c r="I922" s="13" t="s">
        <v>54</v>
      </c>
      <c r="J922" s="28">
        <v>0</v>
      </c>
      <c r="K922" s="13" t="s">
        <v>150</v>
      </c>
      <c r="L922" s="13" t="s">
        <v>53</v>
      </c>
      <c r="M922" s="13">
        <v>3.2</v>
      </c>
      <c r="N922" s="13">
        <v>3.2</v>
      </c>
      <c r="O922" s="13">
        <v>1</v>
      </c>
      <c r="R922" s="13" t="s">
        <v>2105</v>
      </c>
      <c r="S922" s="13" t="s">
        <v>2105</v>
      </c>
      <c r="T922" s="13">
        <v>44901</v>
      </c>
      <c r="U922" s="13">
        <v>2958465</v>
      </c>
      <c r="V922" s="13" t="s">
        <v>282</v>
      </c>
      <c r="W922" s="13" t="s">
        <v>145</v>
      </c>
      <c r="Y922" s="13" t="s">
        <v>143</v>
      </c>
      <c r="Z922" s="13">
        <v>7589154</v>
      </c>
      <c r="AA922" s="13">
        <v>1726</v>
      </c>
      <c r="AB922" s="13">
        <v>863</v>
      </c>
      <c r="AE922" s="51">
        <f>M922/O922</f>
        <v>3.2</v>
      </c>
      <c r="AG922" s="6" t="str">
        <f>C922</f>
        <v>90MB1BJ0-C1BAY0</v>
      </c>
      <c r="AH922" s="6" t="str">
        <f>IF($D922&lt;=AH$4,"",IF(AND($D921=AH$4,$D922&gt;AH$4),$F921,AH921))</f>
        <v>59MB1BJB-MB0A02S</v>
      </c>
      <c r="AI922" s="6" t="str">
        <f>IF($D922&lt;=AI$4,"",IF(AND($D921=AI$4,$D922&gt;AI$4),$F921,AI921))</f>
        <v/>
      </c>
      <c r="AJ922" s="6" t="str">
        <f>IF($D922&lt;=AJ$4,"",IF(AND($D921=AJ$4,$D922&gt;AJ$4),$F921,AJ921))</f>
        <v/>
      </c>
      <c r="AK922" s="6" t="str">
        <f>IF($D922&lt;=AK$4,"",IF(AND($D921=AK$4,$D922&gt;AK$4),$F921,AK921))</f>
        <v/>
      </c>
      <c r="AL922" s="6" t="str">
        <f>IF($D922&lt;=AL$4,"",IF(AND($D921=AL$4,$D922&gt;AL$4),$F921,AL921))</f>
        <v/>
      </c>
      <c r="AM922" s="6" t="str">
        <f>IF($D922&lt;=AM$4,"",IF(AND($D921=AM$4,$D922&gt;AM$4),$F921,AM921))</f>
        <v/>
      </c>
      <c r="AN922" s="6" t="str">
        <f>IF($D922&lt;=AN$4,"",IF(AND($D921=AN$4,$D922&gt;AN$4),$F921,AN921))</f>
        <v/>
      </c>
      <c r="AO922" s="6" t="str">
        <f>CONCATENATE(AG922," | ",AH922," | ",AI922," | ",AJ922," | ",AK922," | ",AL922," | ",AM922," | ",AN922)</f>
        <v xml:space="preserve">90MB1BJ0-C1BAY0 | 59MB1BJB-MB0A02S |  |  |  |  |  | </v>
      </c>
      <c r="AP922" s="6">
        <f>IF(TRIM(H922)="",100,J922)</f>
        <v>100</v>
      </c>
      <c r="AQ922" s="4"/>
      <c r="AR922" s="6" t="b">
        <f>NOT(TRIM(W922)&lt;&gt;"F")</f>
        <v>1</v>
      </c>
      <c r="AS922" s="6" t="str">
        <f>$B922&amp;" | "&amp;$AO922&amp;" | "&amp;IF(TRIM(H922)="","uniq"&amp;ROW(),TRIM(H922))</f>
        <v>461E | 90MB1BJ0-C1BAY0 | 59MB1BJB-MB0A02S |  |  |  |  |  |  | uniq922</v>
      </c>
      <c r="AT922" s="63">
        <f>IF(NOT(AR922),IF(TRIM($H922)="","Assembly","Phantom Alt"),VLOOKUP(F922,ZPCS04!B:G,6,0))</f>
        <v>242</v>
      </c>
      <c r="AU922" s="7"/>
      <c r="AV922" s="38">
        <f ca="1">IF(TRIM($W922)="F",OFFSET($A$5,MATCH($AS922,$AS$5:$AS922,0)-1,0),$A922)</f>
        <v>922</v>
      </c>
      <c r="AW922" s="38">
        <f ca="1">IFERROR(OFFSET(ZPCS04!$A$1,MATCH(F922,ZPCS04!B:B,0)-1,0),100)</f>
        <v>2</v>
      </c>
      <c r="AX922" s="7"/>
      <c r="AY922" s="6" t="b">
        <f>SUMIF(AS:AS,AS922,AP:AP)=100</f>
        <v>1</v>
      </c>
      <c r="AZ922" s="6" t="b">
        <f>SUMIF(AS:AS,AS922,AE:AE)/COUNTIF(AS:AS,AS922)=AE922</f>
        <v>1</v>
      </c>
      <c r="BB922" s="38" t="str">
        <f ca="1">IF(AT922="Phantom Alt",MATCH($AS922,$AS$5:$AS922,0),IF(OR(OFFSET($AF922,0,8-COUNTBLANK($AG922:$AN922))=$F921,$BE922=$BE921),$BB921,""))</f>
        <v/>
      </c>
      <c r="BC922" s="41"/>
      <c r="BD922" s="55" t="str">
        <f>C922&amp;" | "&amp;F922</f>
        <v>90MB1BJ0-C1BAY0 | G2492-0001-05</v>
      </c>
      <c r="BE922" s="55" t="str">
        <f ca="1">C922&amp;" | "&amp;OFFSET($AF922,0,8-COUNTBLANK($AG922:$AN922))</f>
        <v>90MB1BJ0-C1BAY0 | 59MB1BJB-MB0A02S</v>
      </c>
      <c r="BF922" s="57">
        <f ca="1">IFERROR(VLOOKUP($BE922,$BD$5:$BF921,3,0)*$AE922,VLOOKUP($C922,Demanda!$A:$B,2,0)*$AE922)*IF(AT922="Phantom Alt",$BC922,TRUE)</f>
        <v>3200</v>
      </c>
      <c r="BG922" s="57">
        <f ca="1">BF922*(AP922/100)</f>
        <v>3200</v>
      </c>
      <c r="BH922" s="57">
        <f>SUMIF(Invoice!A:A,F922,Invoice!B:B)</f>
        <v>0</v>
      </c>
      <c r="BI922" s="57">
        <f ca="1">SUMIF(AS:AS,AS922,BG:BG)</f>
        <v>3200</v>
      </c>
      <c r="BJ922" s="57">
        <f ca="1">MIN((BI922-SUMIF($AS$5:AS921,AS922,$BJ$5:BJ921)),MAX(0,BH922-SUMIF($F$5:F921,F922,$BJ$5:BJ921)))</f>
        <v>0</v>
      </c>
      <c r="BK922" s="57">
        <f ca="1">(-SUMIF(AS:AS,AS922,BG:BG)+SUMIF(AS:AS,AS922,BJ:BJ))*(AP922=100)*AR922</f>
        <v>-3200</v>
      </c>
      <c r="BL922" s="57">
        <f ca="1">MAX(0,SUMIF(Invoice!A:A,F922,Invoice!B:B)-SUMIF(F:F,F922,BJ:BJ))*(COUNTIF(F:F,F922)=COUNTIF($F$5:F922,F922))</f>
        <v>0</v>
      </c>
    </row>
    <row r="923" spans="1:64">
      <c r="A923" s="43">
        <v>923</v>
      </c>
      <c r="B923" s="13" t="s">
        <v>147</v>
      </c>
      <c r="C923" s="13" t="s">
        <v>146</v>
      </c>
      <c r="D923" s="13">
        <v>2</v>
      </c>
      <c r="E923" s="13">
        <v>3090</v>
      </c>
      <c r="F923" s="71" t="s">
        <v>2121</v>
      </c>
      <c r="G923" s="71" t="s">
        <v>2122</v>
      </c>
      <c r="H923" s="13" t="s">
        <v>2123</v>
      </c>
      <c r="I923" s="13" t="s">
        <v>54</v>
      </c>
      <c r="J923" s="28">
        <v>100</v>
      </c>
      <c r="K923" s="13" t="s">
        <v>150</v>
      </c>
      <c r="L923" s="13" t="s">
        <v>53</v>
      </c>
      <c r="M923" s="13">
        <v>0.2</v>
      </c>
      <c r="N923" s="13">
        <v>0.2</v>
      </c>
      <c r="O923" s="13">
        <v>1</v>
      </c>
      <c r="P923" s="13">
        <v>2</v>
      </c>
      <c r="Q923" s="13">
        <v>1</v>
      </c>
      <c r="R923" s="13" t="s">
        <v>2102</v>
      </c>
      <c r="S923" s="13" t="s">
        <v>2102</v>
      </c>
      <c r="T923" s="13">
        <v>44901</v>
      </c>
      <c r="U923" s="13">
        <v>2958465</v>
      </c>
      <c r="V923" s="13" t="s">
        <v>282</v>
      </c>
      <c r="W923" s="13" t="s">
        <v>145</v>
      </c>
      <c r="Y923" s="13" t="s">
        <v>143</v>
      </c>
      <c r="Z923" s="13">
        <v>7589154</v>
      </c>
      <c r="AA923" s="13">
        <v>1728</v>
      </c>
      <c r="AB923" s="13">
        <v>864</v>
      </c>
      <c r="AE923" s="51">
        <f>M923/O923</f>
        <v>0.2</v>
      </c>
      <c r="AG923" s="6" t="str">
        <f>C923</f>
        <v>90MB1BJ0-C1BAY0</v>
      </c>
      <c r="AH923" s="6" t="str">
        <f>IF($D923&lt;=AH$4,"",IF(AND($D922=AH$4,$D923&gt;AH$4),$F922,AH922))</f>
        <v>59MB1BJB-MB0A02S</v>
      </c>
      <c r="AI923" s="6" t="str">
        <f>IF($D923&lt;=AI$4,"",IF(AND($D922=AI$4,$D923&gt;AI$4),$F922,AI922))</f>
        <v/>
      </c>
      <c r="AJ923" s="6" t="str">
        <f>IF($D923&lt;=AJ$4,"",IF(AND($D922=AJ$4,$D923&gt;AJ$4),$F922,AJ922))</f>
        <v/>
      </c>
      <c r="AK923" s="6" t="str">
        <f>IF($D923&lt;=AK$4,"",IF(AND($D922=AK$4,$D923&gt;AK$4),$F922,AK922))</f>
        <v/>
      </c>
      <c r="AL923" s="6" t="str">
        <f>IF($D923&lt;=AL$4,"",IF(AND($D922=AL$4,$D923&gt;AL$4),$F922,AL922))</f>
        <v/>
      </c>
      <c r="AM923" s="6" t="str">
        <f>IF($D923&lt;=AM$4,"",IF(AND($D922=AM$4,$D923&gt;AM$4),$F922,AM922))</f>
        <v/>
      </c>
      <c r="AN923" s="6" t="str">
        <f>IF($D923&lt;=AN$4,"",IF(AND($D922=AN$4,$D923&gt;AN$4),$F922,AN922))</f>
        <v/>
      </c>
      <c r="AO923" s="6" t="str">
        <f>CONCATENATE(AG923," | ",AH923," | ",AI923," | ",AJ923," | ",AK923," | ",AL923," | ",AM923," | ",AN923)</f>
        <v xml:space="preserve">90MB1BJ0-C1BAY0 | 59MB1BJB-MB0A02S |  |  |  |  |  | </v>
      </c>
      <c r="AP923" s="6">
        <f>IF(TRIM(H923)="",100,J923)</f>
        <v>100</v>
      </c>
      <c r="AQ923" s="4"/>
      <c r="AR923" s="6" t="b">
        <f>NOT(TRIM(W923)&lt;&gt;"F")</f>
        <v>1</v>
      </c>
      <c r="AS923" s="6" t="str">
        <f>$B923&amp;" | "&amp;$AO923&amp;" | "&amp;IF(TRIM(H923)="","uniq"&amp;ROW(),TRIM(H923))</f>
        <v>461E | 90MB1BJ0-C1BAY0 | 59MB1BJB-MB0A02S |  |  |  |  |  |  | T3</v>
      </c>
      <c r="AT923" s="63">
        <f>IF(NOT(AR923),IF(TRIM($H923)="","Assembly","Phantom Alt"),VLOOKUP(F923,ZPCS04!B:G,6,0))</f>
        <v>802</v>
      </c>
      <c r="AU923" s="7"/>
      <c r="AV923" s="38">
        <f ca="1">IF(TRIM($W923)="F",OFFSET($A$5,MATCH($AS923,$AS$5:$AS923,0)-1,0),$A923)</f>
        <v>923</v>
      </c>
      <c r="AW923" s="38">
        <f ca="1">IFERROR(OFFSET(ZPCS04!$A$1,MATCH(F923,ZPCS04!B:B,0)-1,0),100)</f>
        <v>2</v>
      </c>
      <c r="AX923" s="7"/>
      <c r="AY923" s="6" t="b">
        <f>SUMIF(AS:AS,AS923,AP:AP)=100</f>
        <v>1</v>
      </c>
      <c r="AZ923" s="6" t="b">
        <f>SUMIF(AS:AS,AS923,AE:AE)/COUNTIF(AS:AS,AS923)=AE923</f>
        <v>1</v>
      </c>
      <c r="BB923" s="38" t="str">
        <f ca="1">IF(AT923="Phantom Alt",MATCH($AS923,$AS$5:$AS923,0),IF(OR(OFFSET($AF923,0,8-COUNTBLANK($AG923:$AN923))=$F922,$BE923=$BE922),$BB922,""))</f>
        <v/>
      </c>
      <c r="BC923" s="41"/>
      <c r="BD923" s="55" t="str">
        <f>C923&amp;" | "&amp;F923</f>
        <v>90MB1BJ0-C1BAY0 | G2492-0000-02</v>
      </c>
      <c r="BE923" s="55" t="str">
        <f ca="1">C923&amp;" | "&amp;OFFSET($AF923,0,8-COUNTBLANK($AG923:$AN923))</f>
        <v>90MB1BJ0-C1BAY0 | 59MB1BJB-MB0A02S</v>
      </c>
      <c r="BF923" s="57">
        <f ca="1">IFERROR(VLOOKUP($BE923,$BD$5:$BF922,3,0)*$AE923,VLOOKUP($C923,Demanda!$A:$B,2,0)*$AE923)*IF(AT923="Phantom Alt",$BC923,TRUE)</f>
        <v>200</v>
      </c>
      <c r="BG923" s="57">
        <f ca="1">BF923*(AP923/100)</f>
        <v>200</v>
      </c>
      <c r="BH923" s="57">
        <f>SUMIF(Invoice!A:A,F923,Invoice!B:B)</f>
        <v>0</v>
      </c>
      <c r="BI923" s="57">
        <f ca="1">SUMIF(AS:AS,AS923,BG:BG)</f>
        <v>200</v>
      </c>
      <c r="BJ923" s="57">
        <f ca="1">MIN((BI923-SUMIF($AS$5:AS922,AS923,$BJ$5:BJ922)),MAX(0,BH923-SUMIF($F$5:F922,F923,$BJ$5:BJ922)))</f>
        <v>0</v>
      </c>
      <c r="BK923" s="57">
        <f ca="1">(-SUMIF(AS:AS,AS923,BG:BG)+SUMIF(AS:AS,AS923,BJ:BJ))*(AP923=100)*AR923</f>
        <v>-200</v>
      </c>
      <c r="BL923" s="57">
        <f ca="1">MAX(0,SUMIF(Invoice!A:A,F923,Invoice!B:B)-SUMIF(F:F,F923,BJ:BJ))*(COUNTIF(F:F,F923)=COUNTIF($F$5:F923,F923))</f>
        <v>0</v>
      </c>
    </row>
    <row r="924" spans="1:64" hidden="1">
      <c r="A924" s="43">
        <v>924</v>
      </c>
      <c r="B924" s="13" t="s">
        <v>147</v>
      </c>
      <c r="C924" s="13" t="s">
        <v>146</v>
      </c>
      <c r="D924" s="13">
        <v>2</v>
      </c>
      <c r="E924" s="13">
        <v>3090</v>
      </c>
      <c r="F924" s="71" t="s">
        <v>2124</v>
      </c>
      <c r="G924" s="71" t="s">
        <v>2125</v>
      </c>
      <c r="H924" s="13" t="s">
        <v>2123</v>
      </c>
      <c r="I924" s="13" t="s">
        <v>55</v>
      </c>
      <c r="J924" s="28">
        <v>0</v>
      </c>
      <c r="K924" s="13" t="s">
        <v>150</v>
      </c>
      <c r="L924" s="13" t="s">
        <v>53</v>
      </c>
      <c r="M924" s="13">
        <v>0.2</v>
      </c>
      <c r="O924" s="13">
        <v>1</v>
      </c>
      <c r="P924" s="13">
        <v>2</v>
      </c>
      <c r="Q924" s="13">
        <v>2</v>
      </c>
      <c r="R924" s="13" t="s">
        <v>2102</v>
      </c>
      <c r="S924" s="13" t="s">
        <v>2102</v>
      </c>
      <c r="T924" s="13">
        <v>44901</v>
      </c>
      <c r="U924" s="13">
        <v>2958465</v>
      </c>
      <c r="V924" s="13" t="s">
        <v>282</v>
      </c>
      <c r="W924" s="13" t="s">
        <v>145</v>
      </c>
      <c r="Y924" s="13" t="s">
        <v>143</v>
      </c>
      <c r="Z924" s="13">
        <v>7589154</v>
      </c>
      <c r="AA924" s="13">
        <v>1730</v>
      </c>
      <c r="AB924" s="13">
        <v>865</v>
      </c>
      <c r="AE924" s="51">
        <f>M924/O924</f>
        <v>0.2</v>
      </c>
      <c r="AG924" s="6" t="str">
        <f>C924</f>
        <v>90MB1BJ0-C1BAY0</v>
      </c>
      <c r="AH924" s="6" t="str">
        <f>IF($D924&lt;=AH$4,"",IF(AND($D923=AH$4,$D924&gt;AH$4),$F923,AH923))</f>
        <v>59MB1BJB-MB0A02S</v>
      </c>
      <c r="AI924" s="6" t="str">
        <f>IF($D924&lt;=AI$4,"",IF(AND($D923=AI$4,$D924&gt;AI$4),$F923,AI923))</f>
        <v/>
      </c>
      <c r="AJ924" s="6" t="str">
        <f>IF($D924&lt;=AJ$4,"",IF(AND($D923=AJ$4,$D924&gt;AJ$4),$F923,AJ923))</f>
        <v/>
      </c>
      <c r="AK924" s="6" t="str">
        <f>IF($D924&lt;=AK$4,"",IF(AND($D923=AK$4,$D924&gt;AK$4),$F923,AK923))</f>
        <v/>
      </c>
      <c r="AL924" s="6" t="str">
        <f>IF($D924&lt;=AL$4,"",IF(AND($D923=AL$4,$D924&gt;AL$4),$F923,AL923))</f>
        <v/>
      </c>
      <c r="AM924" s="6" t="str">
        <f>IF($D924&lt;=AM$4,"",IF(AND($D923=AM$4,$D924&gt;AM$4),$F923,AM923))</f>
        <v/>
      </c>
      <c r="AN924" s="6" t="str">
        <f>IF($D924&lt;=AN$4,"",IF(AND($D923=AN$4,$D924&gt;AN$4),$F923,AN923))</f>
        <v/>
      </c>
      <c r="AO924" s="6" t="str">
        <f>CONCATENATE(AG924," | ",AH924," | ",AI924," | ",AJ924," | ",AK924," | ",AL924," | ",AM924," | ",AN924)</f>
        <v xml:space="preserve">90MB1BJ0-C1BAY0 | 59MB1BJB-MB0A02S |  |  |  |  |  | </v>
      </c>
      <c r="AP924" s="6">
        <f>IF(TRIM(H924)="",100,J924)</f>
        <v>0</v>
      </c>
      <c r="AQ924" s="4"/>
      <c r="AR924" s="6" t="b">
        <f>NOT(TRIM(W924)&lt;&gt;"F")</f>
        <v>1</v>
      </c>
      <c r="AS924" s="6" t="str">
        <f>$B924&amp;" | "&amp;$AO924&amp;" | "&amp;IF(TRIM(H924)="","uniq"&amp;ROW(),TRIM(H924))</f>
        <v>461E | 90MB1BJ0-C1BAY0 | 59MB1BJB-MB0A02S |  |  |  |  |  |  | T3</v>
      </c>
      <c r="AT924" s="63">
        <f>IF(NOT(AR924),IF(TRIM($H924)="","Assembly","Phantom Alt"),VLOOKUP(F924,ZPCS04!B:G,6,0))</f>
        <v>802</v>
      </c>
      <c r="AU924" s="7"/>
      <c r="AV924" s="38">
        <f ca="1">IF(TRIM($W924)="F",OFFSET($A$5,MATCH($AS924,$AS$5:$AS924,0)-1,0),$A924)</f>
        <v>923</v>
      </c>
      <c r="AW924" s="38">
        <f ca="1">IFERROR(OFFSET(ZPCS04!$A$1,MATCH(F924,ZPCS04!B:B,0)-1,0),100)</f>
        <v>2</v>
      </c>
      <c r="AX924" s="7"/>
      <c r="AY924" s="6" t="b">
        <f>SUMIF(AS:AS,AS924,AP:AP)=100</f>
        <v>1</v>
      </c>
      <c r="AZ924" s="6" t="b">
        <f>SUMIF(AS:AS,AS924,AE:AE)/COUNTIF(AS:AS,AS924)=AE924</f>
        <v>1</v>
      </c>
      <c r="BB924" s="38" t="str">
        <f ca="1">IF(AT924="Phantom Alt",MATCH($AS924,$AS$5:$AS924,0),IF(OR(OFFSET($AF924,0,8-COUNTBLANK($AG924:$AN924))=$F923,$BE924=$BE923),$BB923,""))</f>
        <v/>
      </c>
      <c r="BC924" s="41"/>
      <c r="BD924" s="55" t="str">
        <f>C924&amp;" | "&amp;F924</f>
        <v>90MB1BJ0-C1BAY0 | G2492-0000-06</v>
      </c>
      <c r="BE924" s="55" t="str">
        <f ca="1">C924&amp;" | "&amp;OFFSET($AF924,0,8-COUNTBLANK($AG924:$AN924))</f>
        <v>90MB1BJ0-C1BAY0 | 59MB1BJB-MB0A02S</v>
      </c>
      <c r="BF924" s="57">
        <f ca="1">IFERROR(VLOOKUP($BE924,$BD$5:$BF923,3,0)*$AE924,VLOOKUP($C924,Demanda!$A:$B,2,0)*$AE924)*IF(AT924="Phantom Alt",$BC924,TRUE)</f>
        <v>200</v>
      </c>
      <c r="BG924" s="57">
        <f ca="1">BF924*(AP924/100)</f>
        <v>0</v>
      </c>
      <c r="BH924" s="57">
        <f>SUMIF(Invoice!A:A,F924,Invoice!B:B)</f>
        <v>0</v>
      </c>
      <c r="BI924" s="57">
        <f ca="1">SUMIF(AS:AS,AS924,BG:BG)</f>
        <v>200</v>
      </c>
      <c r="BJ924" s="57">
        <f ca="1">MIN((BI924-SUMIF($AS$5:AS923,AS924,$BJ$5:BJ923)),MAX(0,BH924-SUMIF($F$5:F923,F924,$BJ$5:BJ923)))</f>
        <v>0</v>
      </c>
      <c r="BK924" s="57">
        <f ca="1">(-SUMIF(AS:AS,AS924,BG:BG)+SUMIF(AS:AS,AS924,BJ:BJ))*(AP924=100)*AR924</f>
        <v>0</v>
      </c>
      <c r="BL924" s="57">
        <f ca="1">MAX(0,SUMIF(Invoice!A:A,F924,Invoice!B:B)-SUMIF(F:F,F924,BJ:BJ))*(COUNTIF(F:F,F924)=COUNTIF($F$5:F924,F924))</f>
        <v>0</v>
      </c>
    </row>
    <row r="925" spans="1:64" hidden="1">
      <c r="A925" s="43">
        <v>925</v>
      </c>
      <c r="B925" s="13" t="s">
        <v>147</v>
      </c>
      <c r="C925" s="13" t="s">
        <v>146</v>
      </c>
      <c r="D925" s="13">
        <v>2</v>
      </c>
      <c r="E925" s="13">
        <v>4000</v>
      </c>
      <c r="F925" s="71" t="s">
        <v>2115</v>
      </c>
      <c r="G925" s="71" t="s">
        <v>2116</v>
      </c>
      <c r="I925" s="13" t="s">
        <v>54</v>
      </c>
      <c r="J925" s="28">
        <v>0</v>
      </c>
      <c r="K925" s="13" t="s">
        <v>2109</v>
      </c>
      <c r="L925" s="13" t="s">
        <v>53</v>
      </c>
      <c r="M925" s="13">
        <v>-1.7999999999999999E-2</v>
      </c>
      <c r="N925" s="13">
        <v>-1.7999999999999999E-2</v>
      </c>
      <c r="O925" s="13">
        <v>1</v>
      </c>
      <c r="R925" s="13" t="s">
        <v>2117</v>
      </c>
      <c r="S925" s="13" t="s">
        <v>2117</v>
      </c>
      <c r="T925" s="13">
        <v>44901</v>
      </c>
      <c r="U925" s="13">
        <v>2958465</v>
      </c>
      <c r="V925" s="13" t="s">
        <v>282</v>
      </c>
      <c r="W925" s="13" t="s">
        <v>145</v>
      </c>
      <c r="Y925" s="13" t="s">
        <v>143</v>
      </c>
      <c r="Z925" s="13">
        <v>7589154</v>
      </c>
      <c r="AA925" s="13">
        <v>1732</v>
      </c>
      <c r="AB925" s="13">
        <v>866</v>
      </c>
      <c r="AE925" s="51">
        <f>M925/O925</f>
        <v>-1.7999999999999999E-2</v>
      </c>
      <c r="AG925" s="6" t="str">
        <f>C925</f>
        <v>90MB1BJ0-C1BAY0</v>
      </c>
      <c r="AH925" s="6" t="str">
        <f>IF($D925&lt;=AH$4,"",IF(AND($D924=AH$4,$D925&gt;AH$4),$F924,AH924))</f>
        <v>59MB1BJB-MB0A02S</v>
      </c>
      <c r="AI925" s="6" t="str">
        <f>IF($D925&lt;=AI$4,"",IF(AND($D924=AI$4,$D925&gt;AI$4),$F924,AI924))</f>
        <v/>
      </c>
      <c r="AJ925" s="6" t="str">
        <f>IF($D925&lt;=AJ$4,"",IF(AND($D924=AJ$4,$D925&gt;AJ$4),$F924,AJ924))</f>
        <v/>
      </c>
      <c r="AK925" s="6" t="str">
        <f>IF($D925&lt;=AK$4,"",IF(AND($D924=AK$4,$D925&gt;AK$4),$F924,AK924))</f>
        <v/>
      </c>
      <c r="AL925" s="6" t="str">
        <f>IF($D925&lt;=AL$4,"",IF(AND($D924=AL$4,$D925&gt;AL$4),$F924,AL924))</f>
        <v/>
      </c>
      <c r="AM925" s="6" t="str">
        <f>IF($D925&lt;=AM$4,"",IF(AND($D924=AM$4,$D925&gt;AM$4),$F924,AM924))</f>
        <v/>
      </c>
      <c r="AN925" s="6" t="str">
        <f>IF($D925&lt;=AN$4,"",IF(AND($D924=AN$4,$D925&gt;AN$4),$F924,AN924))</f>
        <v/>
      </c>
      <c r="AO925" s="6" t="str">
        <f>CONCATENATE(AG925," | ",AH925," | ",AI925," | ",AJ925," | ",AK925," | ",AL925," | ",AM925," | ",AN925)</f>
        <v xml:space="preserve">90MB1BJ0-C1BAY0 | 59MB1BJB-MB0A02S |  |  |  |  |  | </v>
      </c>
      <c r="AP925" s="6">
        <f>IF(TRIM(H925)="",100,J925)</f>
        <v>100</v>
      </c>
      <c r="AQ925" s="4"/>
      <c r="AR925" s="6" t="b">
        <f>NOT(TRIM(W925)&lt;&gt;"F")</f>
        <v>1</v>
      </c>
      <c r="AS925" s="6" t="str">
        <f>$B925&amp;" | "&amp;$AO925&amp;" | "&amp;IF(TRIM(H925)="","uniq"&amp;ROW(),TRIM(H925))</f>
        <v>461E | 90MB1BJ0-C1BAY0 | 59MB1BJB-MB0A02S |  |  |  |  |  |  | uniq925</v>
      </c>
      <c r="AT925" s="63">
        <f>IF(NOT(AR925),IF(TRIM($H925)="","Assembly","Phantom Alt"),VLOOKUP(F925,ZPCS04!B:G,6,0))</f>
        <v>239</v>
      </c>
      <c r="AU925" s="7"/>
      <c r="AV925" s="38">
        <f ca="1">IF(TRIM($W925)="F",OFFSET($A$5,MATCH($AS925,$AS$5:$AS925,0)-1,0),$A925)</f>
        <v>925</v>
      </c>
      <c r="AW925" s="38">
        <f ca="1">IFERROR(OFFSET(ZPCS04!$A$1,MATCH(F925,ZPCS04!B:B,0)-1,0),100)</f>
        <v>3</v>
      </c>
      <c r="AX925" s="7"/>
      <c r="AY925" s="6" t="b">
        <f>SUMIF(AS:AS,AS925,AP:AP)=100</f>
        <v>1</v>
      </c>
      <c r="AZ925" s="6" t="b">
        <f>SUMIF(AS:AS,AS925,AE:AE)/COUNTIF(AS:AS,AS925)=AE925</f>
        <v>1</v>
      </c>
      <c r="BB925" s="38" t="str">
        <f ca="1">IF(AT925="Phantom Alt",MATCH($AS925,$AS$5:$AS925,0),IF(OR(OFFSET($AF925,0,8-COUNTBLANK($AG925:$AN925))=$F924,$BE925=$BE924),$BB924,""))</f>
        <v/>
      </c>
      <c r="BC925" s="41"/>
      <c r="BD925" s="55" t="str">
        <f>C925&amp;" | "&amp;F925</f>
        <v>90MB1BJ0-C1BAY0 | G2492-0000-02B</v>
      </c>
      <c r="BE925" s="55" t="str">
        <f ca="1">C925&amp;" | "&amp;OFFSET($AF925,0,8-COUNTBLANK($AG925:$AN925))</f>
        <v>90MB1BJ0-C1BAY0 | 59MB1BJB-MB0A02S</v>
      </c>
      <c r="BF925" s="57">
        <f ca="1">IFERROR(VLOOKUP($BE925,$BD$5:$BF924,3,0)*$AE925,VLOOKUP($C925,Demanda!$A:$B,2,0)*$AE925)*IF(AT925="Phantom Alt",$BC925,TRUE)</f>
        <v>-18</v>
      </c>
      <c r="BG925" s="57">
        <f ca="1">BF925*(AP925/100)</f>
        <v>-18</v>
      </c>
      <c r="BH925" s="57">
        <f>SUMIF(Invoice!A:A,F925,Invoice!B:B)</f>
        <v>0</v>
      </c>
      <c r="BI925" s="57">
        <f ca="1">SUMIF(AS:AS,AS925,BG:BG)</f>
        <v>-18</v>
      </c>
      <c r="BJ925" s="57">
        <f ca="1">MIN((BI925-SUMIF($AS$5:AS924,AS925,$BJ$5:BJ924)),MAX(0,BH925-SUMIF($F$5:F924,F925,$BJ$5:BJ924)))</f>
        <v>-18</v>
      </c>
      <c r="BK925" s="57">
        <f ca="1">(-SUMIF(AS:AS,AS925,BG:BG)+SUMIF(AS:AS,AS925,BJ:BJ))*(AP925=100)*AR925</f>
        <v>0</v>
      </c>
      <c r="BL925" s="57">
        <f ca="1">MAX(0,SUMIF(Invoice!A:A,F925,Invoice!B:B)-SUMIF(F:F,F925,BJ:BJ))*(COUNTIF(F:F,F925)=COUNTIF($F$5:F925,F925))</f>
        <v>18</v>
      </c>
    </row>
    <row r="926" spans="1:64" hidden="1">
      <c r="A926" s="43">
        <v>926</v>
      </c>
      <c r="B926" s="13" t="s">
        <v>147</v>
      </c>
      <c r="C926" s="13" t="s">
        <v>146</v>
      </c>
      <c r="D926" s="13">
        <v>2</v>
      </c>
      <c r="E926" s="13">
        <v>4010</v>
      </c>
      <c r="F926" s="88" t="s">
        <v>2126</v>
      </c>
      <c r="G926" s="71" t="s">
        <v>2127</v>
      </c>
      <c r="I926" s="13" t="s">
        <v>54</v>
      </c>
      <c r="J926" s="28">
        <v>0</v>
      </c>
      <c r="K926" s="13" t="s">
        <v>275</v>
      </c>
      <c r="L926" s="13" t="s">
        <v>290</v>
      </c>
      <c r="M926" s="13">
        <v>1</v>
      </c>
      <c r="N926" s="13">
        <v>1</v>
      </c>
      <c r="O926" s="13">
        <v>1</v>
      </c>
      <c r="R926" s="13" t="s">
        <v>73</v>
      </c>
      <c r="S926" s="13" t="s">
        <v>73</v>
      </c>
      <c r="T926" s="13">
        <v>44901</v>
      </c>
      <c r="U926" s="13">
        <v>2958465</v>
      </c>
      <c r="V926" s="13" t="s">
        <v>282</v>
      </c>
      <c r="W926" s="13" t="s">
        <v>142</v>
      </c>
      <c r="Y926" s="13" t="s">
        <v>143</v>
      </c>
      <c r="Z926" s="13">
        <v>7589154</v>
      </c>
      <c r="AA926" s="13">
        <v>14</v>
      </c>
      <c r="AB926" s="13">
        <v>7</v>
      </c>
      <c r="AE926" s="51">
        <f>M926/O926</f>
        <v>1</v>
      </c>
      <c r="AG926" s="6" t="str">
        <f>C926</f>
        <v>90MB1BJ0-C1BAY0</v>
      </c>
      <c r="AH926" s="6" t="str">
        <f>IF($D926&lt;=AH$4,"",IF(AND($D925=AH$4,$D926&gt;AH$4),$F925,AH925))</f>
        <v>59MB1BJB-MB0A02S</v>
      </c>
      <c r="AI926" s="6" t="str">
        <f>IF($D926&lt;=AI$4,"",IF(AND($D925=AI$4,$D926&gt;AI$4),$F925,AI925))</f>
        <v/>
      </c>
      <c r="AJ926" s="6" t="str">
        <f>IF($D926&lt;=AJ$4,"",IF(AND($D925=AJ$4,$D926&gt;AJ$4),$F925,AJ925))</f>
        <v/>
      </c>
      <c r="AK926" s="6" t="str">
        <f>IF($D926&lt;=AK$4,"",IF(AND($D925=AK$4,$D926&gt;AK$4),$F925,AK925))</f>
        <v/>
      </c>
      <c r="AL926" s="6" t="str">
        <f>IF($D926&lt;=AL$4,"",IF(AND($D925=AL$4,$D926&gt;AL$4),$F925,AL925))</f>
        <v/>
      </c>
      <c r="AM926" s="6" t="str">
        <f>IF($D926&lt;=AM$4,"",IF(AND($D925=AM$4,$D926&gt;AM$4),$F925,AM925))</f>
        <v/>
      </c>
      <c r="AN926" s="6" t="str">
        <f>IF($D926&lt;=AN$4,"",IF(AND($D925=AN$4,$D926&gt;AN$4),$F925,AN925))</f>
        <v/>
      </c>
      <c r="AO926" s="6" t="str">
        <f>CONCATENATE(AG926," | ",AH926," | ",AI926," | ",AJ926," | ",AK926," | ",AL926," | ",AM926," | ",AN926)</f>
        <v xml:space="preserve">90MB1BJ0-C1BAY0 | 59MB1BJB-MB0A02S |  |  |  |  |  | </v>
      </c>
      <c r="AP926" s="6">
        <f>IF(TRIM(H926)="",100,J926)</f>
        <v>100</v>
      </c>
      <c r="AQ926" s="4"/>
      <c r="AR926" s="6" t="b">
        <f>NOT(TRIM(W926)&lt;&gt;"F")</f>
        <v>0</v>
      </c>
      <c r="AS926" s="6" t="str">
        <f>$B926&amp;" | "&amp;$AO926&amp;" | "&amp;IF(TRIM(H926)="","uniq"&amp;ROW(),TRIM(H926))</f>
        <v>461E | 90MB1BJ0-C1BAY0 | 59MB1BJB-MB0A02S |  |  |  |  |  |  | uniq926</v>
      </c>
      <c r="AT926" s="63" t="str">
        <f>IF(NOT(AR926),IF(TRIM($H926)="","Assembly","Phantom Alt"),VLOOKUP(F926,ZPCS04!B:G,6,0))</f>
        <v>Assembly</v>
      </c>
      <c r="AU926" s="7"/>
      <c r="AV926" s="38">
        <f ca="1">IF(TRIM($W926)="F",OFFSET($A$5,MATCH($AS926,$AS$5:$AS926,0)-1,0),$A926)</f>
        <v>926</v>
      </c>
      <c r="AW926" s="38">
        <f ca="1">IFERROR(OFFSET(ZPCS04!$A$1,MATCH(F926,ZPCS04!B:B,0)-1,0),100)</f>
        <v>100</v>
      </c>
      <c r="AX926" s="7"/>
      <c r="AY926" s="6" t="b">
        <f>SUMIF(AS:AS,AS926,AP:AP)=100</f>
        <v>1</v>
      </c>
      <c r="AZ926" s="6" t="b">
        <f>SUMIF(AS:AS,AS926,AE:AE)/COUNTIF(AS:AS,AS926)=AE926</f>
        <v>1</v>
      </c>
      <c r="BB926" s="38" t="str">
        <f ca="1">IF(AT926="Phantom Alt",MATCH($AS926,$AS$5:$AS926,0),IF(OR(OFFSET($AF926,0,8-COUNTBLANK($AG926:$AN926))=$F925,$BE926=$BE925),$BB925,""))</f>
        <v/>
      </c>
      <c r="BC926" s="41"/>
      <c r="BD926" s="55" t="str">
        <f>C926&amp;" | "&amp;F926</f>
        <v>90MB1BJ0-C1BAY0 | X670-0821-A03-A</v>
      </c>
      <c r="BE926" s="55" t="str">
        <f ca="1">C926&amp;" | "&amp;OFFSET($AF926,0,8-COUNTBLANK($AG926:$AN926))</f>
        <v>90MB1BJ0-C1BAY0 | 59MB1BJB-MB0A02S</v>
      </c>
      <c r="BF926" s="57">
        <f ca="1">IFERROR(VLOOKUP($BE926,$BD$5:$BF925,3,0)*$AE926,VLOOKUP($C926,Demanda!$A:$B,2,0)*$AE926)*IF(AT926="Phantom Alt",$BC926,TRUE)</f>
        <v>1000</v>
      </c>
      <c r="BG926" s="57">
        <f ca="1">BF926*(AP926/100)</f>
        <v>1000</v>
      </c>
      <c r="BH926" s="57">
        <f>SUMIF(Invoice!A:A,F926,Invoice!B:B)</f>
        <v>0</v>
      </c>
      <c r="BI926" s="57">
        <f ca="1">SUMIF(AS:AS,AS926,BG:BG)</f>
        <v>1000</v>
      </c>
      <c r="BJ926" s="57">
        <f ca="1">MIN((BI926-SUMIF($AS$5:AS925,AS926,$BJ$5:BJ925)),MAX(0,BH926-SUMIF($F$5:F925,F926,$BJ$5:BJ925)))</f>
        <v>0</v>
      </c>
      <c r="BK926" s="57">
        <f ca="1">(-SUMIF(AS:AS,AS926,BG:BG)+SUMIF(AS:AS,AS926,BJ:BJ))*(AP926=100)*AR926</f>
        <v>0</v>
      </c>
      <c r="BL926" s="57">
        <f ca="1">MAX(0,SUMIF(Invoice!A:A,F926,Invoice!B:B)-SUMIF(F:F,F926,BJ:BJ))*(COUNTIF(F:F,F926)=COUNTIF($F$5:F926,F926))</f>
        <v>0</v>
      </c>
    </row>
    <row r="927" spans="1:64" hidden="1">
      <c r="A927" s="43">
        <v>927</v>
      </c>
      <c r="B927" s="13" t="s">
        <v>147</v>
      </c>
      <c r="C927" s="13" t="s">
        <v>146</v>
      </c>
      <c r="D927" s="13">
        <v>3</v>
      </c>
      <c r="E927" s="13">
        <v>10</v>
      </c>
      <c r="F927" s="88" t="s">
        <v>2128</v>
      </c>
      <c r="G927" s="71" t="s">
        <v>2129</v>
      </c>
      <c r="I927" s="13" t="s">
        <v>54</v>
      </c>
      <c r="J927" s="28">
        <v>0</v>
      </c>
      <c r="K927" s="13" t="s">
        <v>150</v>
      </c>
      <c r="L927" s="13" t="s">
        <v>53</v>
      </c>
      <c r="M927" s="13">
        <v>1</v>
      </c>
      <c r="N927" s="13">
        <v>1</v>
      </c>
      <c r="O927" s="13">
        <v>1</v>
      </c>
      <c r="R927" s="13" t="s">
        <v>73</v>
      </c>
      <c r="S927" s="13" t="s">
        <v>73</v>
      </c>
      <c r="T927" s="13">
        <v>44901</v>
      </c>
      <c r="U927" s="13">
        <v>2958465</v>
      </c>
      <c r="V927" s="13" t="s">
        <v>282</v>
      </c>
      <c r="W927" s="13" t="s">
        <v>145</v>
      </c>
      <c r="Y927" s="13" t="s">
        <v>143</v>
      </c>
      <c r="Z927" s="13">
        <v>7604301</v>
      </c>
      <c r="AA927" s="13">
        <v>2</v>
      </c>
      <c r="AB927" s="13">
        <v>1</v>
      </c>
      <c r="AE927" s="51">
        <f>M927/O927</f>
        <v>1</v>
      </c>
      <c r="AG927" s="6" t="str">
        <f>C927</f>
        <v>90MB1BJ0-C1BAY0</v>
      </c>
      <c r="AH927" s="6" t="str">
        <f>IF($D927&lt;=AH$4,"",IF(AND($D926=AH$4,$D927&gt;AH$4),$F926,AH926))</f>
        <v>59MB1BJB-MB0A02S</v>
      </c>
      <c r="AI927" s="6" t="str">
        <f>IF($D927&lt;=AI$4,"",IF(AND($D926=AI$4,$D927&gt;AI$4),$F926,AI926))</f>
        <v>X670-0821-A03-A</v>
      </c>
      <c r="AJ927" s="6" t="str">
        <f>IF($D927&lt;=AJ$4,"",IF(AND($D926=AJ$4,$D927&gt;AJ$4),$F926,AJ926))</f>
        <v/>
      </c>
      <c r="AK927" s="6" t="str">
        <f>IF($D927&lt;=AK$4,"",IF(AND($D926=AK$4,$D927&gt;AK$4),$F926,AK926))</f>
        <v/>
      </c>
      <c r="AL927" s="6" t="str">
        <f>IF($D927&lt;=AL$4,"",IF(AND($D926=AL$4,$D927&gt;AL$4),$F926,AL926))</f>
        <v/>
      </c>
      <c r="AM927" s="6" t="str">
        <f>IF($D927&lt;=AM$4,"",IF(AND($D926=AM$4,$D927&gt;AM$4),$F926,AM926))</f>
        <v/>
      </c>
      <c r="AN927" s="6" t="str">
        <f>IF($D927&lt;=AN$4,"",IF(AND($D926=AN$4,$D927&gt;AN$4),$F926,AN926))</f>
        <v/>
      </c>
      <c r="AO927" s="6" t="str">
        <f>CONCATENATE(AG927," | ",AH927," | ",AI927," | ",AJ927," | ",AK927," | ",AL927," | ",AM927," | ",AN927)</f>
        <v xml:space="preserve">90MB1BJ0-C1BAY0 | 59MB1BJB-MB0A02S | X670-0821-A03-A |  |  |  |  | </v>
      </c>
      <c r="AP927" s="6">
        <f>IF(TRIM(H927)="",100,J927)</f>
        <v>100</v>
      </c>
      <c r="AQ927" s="4"/>
      <c r="AR927" s="6" t="b">
        <f>NOT(TRIM(W927)&lt;&gt;"F")</f>
        <v>1</v>
      </c>
      <c r="AS927" s="6" t="str">
        <f>$B927&amp;" | "&amp;$AO927&amp;" | "&amp;IF(TRIM(H927)="","uniq"&amp;ROW(),TRIM(H927))</f>
        <v>461E | 90MB1BJ0-C1BAY0 | 59MB1BJB-MB0A02S | X670-0821-A03-A |  |  |  |  |  | uniq927</v>
      </c>
      <c r="AT927" s="63">
        <f>IF(NOT(AR927),IF(TRIM($H927)="","Assembly","Phantom Alt"),VLOOKUP(F927,ZPCS04!B:G,6,0))</f>
        <v>310</v>
      </c>
      <c r="AU927" s="7"/>
      <c r="AV927" s="38">
        <f ca="1">IF(TRIM($W927)="F",OFFSET($A$5,MATCH($AS927,$AS$5:$AS927,0)-1,0),$A927)</f>
        <v>927</v>
      </c>
      <c r="AW927" s="38">
        <f ca="1">IFERROR(OFFSET(ZPCS04!$A$1,MATCH(F927,ZPCS04!B:B,0)-1,0),100)</f>
        <v>1.9999999900000001</v>
      </c>
      <c r="AX927" s="7"/>
      <c r="AY927" s="6" t="b">
        <f>SUMIF(AS:AS,AS927,AP:AP)=100</f>
        <v>1</v>
      </c>
      <c r="AZ927" s="6" t="b">
        <f>SUMIF(AS:AS,AS927,AE:AE)/COUNTIF(AS:AS,AS927)=AE927</f>
        <v>1</v>
      </c>
      <c r="BB927" s="38" t="str">
        <f ca="1">IF(AT927="Phantom Alt",MATCH($AS927,$AS$5:$AS927,0),IF(OR(OFFSET($AF927,0,8-COUNTBLANK($AG927:$AN927))=$F926,$BE927=$BE926),$BB926,""))</f>
        <v/>
      </c>
      <c r="BC927" s="41"/>
      <c r="BD927" s="55" t="str">
        <f>C927&amp;" | "&amp;F927</f>
        <v>90MB1BJ0-C1BAY0 | 05006-00031700</v>
      </c>
      <c r="BE927" s="55" t="str">
        <f ca="1">C927&amp;" | "&amp;OFFSET($AF927,0,8-COUNTBLANK($AG927:$AN927))</f>
        <v>90MB1BJ0-C1BAY0 | X670-0821-A03-A</v>
      </c>
      <c r="BF927" s="57">
        <f ca="1">IFERROR(VLOOKUP($BE927,$BD$5:$BF926,3,0)*$AE927,VLOOKUP($C927,Demanda!$A:$B,2,0)*$AE927)*IF(AT927="Phantom Alt",$BC927,TRUE)</f>
        <v>1000</v>
      </c>
      <c r="BG927" s="57">
        <f ca="1">BF927*(AP927/100)</f>
        <v>1000</v>
      </c>
      <c r="BH927" s="57">
        <f>SUMIF(Invoice!A:A,F927,Invoice!B:B)</f>
        <v>1000</v>
      </c>
      <c r="BI927" s="57">
        <f ca="1">SUMIF(AS:AS,AS927,BG:BG)</f>
        <v>1000</v>
      </c>
      <c r="BJ927" s="57">
        <f ca="1">MIN((BI927-SUMIF($AS$5:AS926,AS927,$BJ$5:BJ926)),MAX(0,BH927-SUMIF($F$5:F926,F927,$BJ$5:BJ926)))</f>
        <v>1000</v>
      </c>
      <c r="BK927" s="57">
        <f ca="1">(-SUMIF(AS:AS,AS927,BG:BG)+SUMIF(AS:AS,AS927,BJ:BJ))*(AP927=100)*AR927</f>
        <v>0</v>
      </c>
      <c r="BL927" s="57">
        <f ca="1">MAX(0,SUMIF(Invoice!A:A,F927,Invoice!B:B)-SUMIF(F:F,F927,BJ:BJ))*(COUNTIF(F:F,F927)=COUNTIF($F$5:F927,F927))</f>
        <v>0</v>
      </c>
    </row>
    <row r="928" spans="1:64" hidden="1">
      <c r="A928" s="43">
        <v>928</v>
      </c>
      <c r="B928" s="13" t="s">
        <v>147</v>
      </c>
      <c r="C928" s="13" t="s">
        <v>146</v>
      </c>
      <c r="D928" s="13">
        <v>2</v>
      </c>
      <c r="E928" s="13">
        <v>4020</v>
      </c>
      <c r="F928" s="88" t="s">
        <v>2130</v>
      </c>
      <c r="G928" s="71" t="s">
        <v>2131</v>
      </c>
      <c r="H928" s="13">
        <v>4</v>
      </c>
      <c r="I928" s="13" t="s">
        <v>54</v>
      </c>
      <c r="J928" s="28">
        <v>100</v>
      </c>
      <c r="K928" s="13" t="s">
        <v>275</v>
      </c>
      <c r="L928" s="13" t="s">
        <v>290</v>
      </c>
      <c r="M928" s="13">
        <v>1</v>
      </c>
      <c r="N928" s="13">
        <v>1</v>
      </c>
      <c r="O928" s="13">
        <v>1</v>
      </c>
      <c r="P928" s="13">
        <v>2</v>
      </c>
      <c r="Q928" s="13">
        <v>1</v>
      </c>
      <c r="R928" s="13" t="s">
        <v>73</v>
      </c>
      <c r="S928" s="13" t="s">
        <v>73</v>
      </c>
      <c r="T928" s="13">
        <v>44901</v>
      </c>
      <c r="U928" s="13">
        <v>2958465</v>
      </c>
      <c r="V928" s="13" t="s">
        <v>282</v>
      </c>
      <c r="W928" s="13" t="s">
        <v>142</v>
      </c>
      <c r="Y928" s="13" t="s">
        <v>143</v>
      </c>
      <c r="Z928" s="13">
        <v>7589154</v>
      </c>
      <c r="AA928" s="13">
        <v>16</v>
      </c>
      <c r="AB928" s="13">
        <v>8</v>
      </c>
      <c r="AE928" s="51">
        <f>M928/O928</f>
        <v>1</v>
      </c>
      <c r="AG928" s="6" t="str">
        <f>C928</f>
        <v>90MB1BJ0-C1BAY0</v>
      </c>
      <c r="AH928" s="6" t="str">
        <f>IF($D928&lt;=AH$4,"",IF(AND($D927=AH$4,$D928&gt;AH$4),$F927,AH927))</f>
        <v>59MB1BJB-MB0A02S</v>
      </c>
      <c r="AI928" s="6" t="str">
        <f>IF($D928&lt;=AI$4,"",IF(AND($D927=AI$4,$D928&gt;AI$4),$F927,AI927))</f>
        <v/>
      </c>
      <c r="AJ928" s="6" t="str">
        <f>IF($D928&lt;=AJ$4,"",IF(AND($D927=AJ$4,$D928&gt;AJ$4),$F927,AJ927))</f>
        <v/>
      </c>
      <c r="AK928" s="6" t="str">
        <f>IF($D928&lt;=AK$4,"",IF(AND($D927=AK$4,$D928&gt;AK$4),$F927,AK927))</f>
        <v/>
      </c>
      <c r="AL928" s="6" t="str">
        <f>IF($D928&lt;=AL$4,"",IF(AND($D927=AL$4,$D928&gt;AL$4),$F927,AL927))</f>
        <v/>
      </c>
      <c r="AM928" s="6" t="str">
        <f>IF($D928&lt;=AM$4,"",IF(AND($D927=AM$4,$D928&gt;AM$4),$F927,AM927))</f>
        <v/>
      </c>
      <c r="AN928" s="6" t="str">
        <f>IF($D928&lt;=AN$4,"",IF(AND($D927=AN$4,$D928&gt;AN$4),$F927,AN927))</f>
        <v/>
      </c>
      <c r="AO928" s="6" t="str">
        <f>CONCATENATE(AG928," | ",AH928," | ",AI928," | ",AJ928," | ",AK928," | ",AL928," | ",AM928," | ",AN928)</f>
        <v xml:space="preserve">90MB1BJ0-C1BAY0 | 59MB1BJB-MB0A02S |  |  |  |  |  | </v>
      </c>
      <c r="AP928" s="6">
        <f>IF(TRIM(H928)="",100,J928)</f>
        <v>100</v>
      </c>
      <c r="AQ928" s="4"/>
      <c r="AR928" s="6" t="b">
        <f>NOT(TRIM(W928)&lt;&gt;"F")</f>
        <v>0</v>
      </c>
      <c r="AS928" s="6" t="str">
        <f>$B928&amp;" | "&amp;$AO928&amp;" | "&amp;IF(TRIM(H928)="","uniq"&amp;ROW(),TRIM(H928))</f>
        <v>461E | 90MB1BJ0-C1BAY0 | 59MB1BJB-MB0A02S |  |  |  |  |  |  | 4</v>
      </c>
      <c r="AT928" s="63" t="str">
        <f>IF(NOT(AR928),IF(TRIM($H928)="","Assembly","Phantom Alt"),VLOOKUP(F928,ZPCS04!B:G,6,0))</f>
        <v>Phantom Alt</v>
      </c>
      <c r="AU928" s="7"/>
      <c r="AV928" s="38">
        <f ca="1">IF(TRIM($W928)="F",OFFSET($A$5,MATCH($AS928,$AS$5:$AS928,0)-1,0),$A928)</f>
        <v>928</v>
      </c>
      <c r="AW928" s="38">
        <f ca="1">IFERROR(OFFSET(ZPCS04!$A$1,MATCH(F928,ZPCS04!B:B,0)-1,0),100)</f>
        <v>100</v>
      </c>
      <c r="AX928" s="7"/>
      <c r="AY928" s="6" t="b">
        <f>SUMIF(AS:AS,AS928,AP:AP)=100</f>
        <v>1</v>
      </c>
      <c r="AZ928" s="6" t="b">
        <f>SUMIF(AS:AS,AS928,AE:AE)/COUNTIF(AS:AS,AS928)=AE928</f>
        <v>1</v>
      </c>
      <c r="BB928" s="38">
        <f ca="1">IF(AT928="Phantom Alt",MATCH($AS928,$AS$5:$AS928,0),IF(OR(OFFSET($AF928,0,8-COUNTBLANK($AG928:$AN928))=$F927,$BE928=$BE927),$BB927,""))</f>
        <v>924</v>
      </c>
      <c r="BC928" s="41">
        <v>1</v>
      </c>
      <c r="BD928" s="55" t="str">
        <f>C928&amp;" | "&amp;F928</f>
        <v>90MB1BJ0-C1BAY0 | X670-MBEC-A</v>
      </c>
      <c r="BE928" s="55" t="str">
        <f ca="1">C928&amp;" | "&amp;OFFSET($AF928,0,8-COUNTBLANK($AG928:$AN928))</f>
        <v>90MB1BJ0-C1BAY0 | 59MB1BJB-MB0A02S</v>
      </c>
      <c r="BF928" s="57">
        <f ca="1">IFERROR(VLOOKUP($BE928,$BD$5:$BF927,3,0)*$AE928,VLOOKUP($C928,Demanda!$A:$B,2,0)*$AE928)*IF(AT928="Phantom Alt",$BC928,TRUE)</f>
        <v>1000</v>
      </c>
      <c r="BG928" s="57">
        <f ca="1">BF928*(AP928/100)</f>
        <v>1000</v>
      </c>
      <c r="BH928" s="57">
        <f>SUMIF(Invoice!A:A,F928,Invoice!B:B)</f>
        <v>0</v>
      </c>
      <c r="BI928" s="57">
        <f ca="1">SUMIF(AS:AS,AS928,BG:BG)</f>
        <v>1000</v>
      </c>
      <c r="BJ928" s="57">
        <f ca="1">MIN((BI928-SUMIF($AS$5:AS927,AS928,$BJ$5:BJ927)),MAX(0,BH928-SUMIF($F$5:F927,F928,$BJ$5:BJ927)))</f>
        <v>0</v>
      </c>
      <c r="BK928" s="57">
        <f ca="1">(-SUMIF(AS:AS,AS928,BG:BG)+SUMIF(AS:AS,AS928,BJ:BJ))*(AP928=100)*AR928</f>
        <v>0</v>
      </c>
      <c r="BL928" s="57">
        <f ca="1">MAX(0,SUMIF(Invoice!A:A,F928,Invoice!B:B)-SUMIF(F:F,F928,BJ:BJ))*(COUNTIF(F:F,F928)=COUNTIF($F$5:F928,F928))</f>
        <v>0</v>
      </c>
    </row>
    <row r="929" spans="1:64" hidden="1">
      <c r="A929" s="43">
        <v>929</v>
      </c>
      <c r="B929" s="13" t="s">
        <v>147</v>
      </c>
      <c r="C929" s="13" t="s">
        <v>146</v>
      </c>
      <c r="D929" s="13">
        <v>3</v>
      </c>
      <c r="E929" s="13">
        <v>20</v>
      </c>
      <c r="F929" s="88" t="s">
        <v>2132</v>
      </c>
      <c r="G929" s="71" t="s">
        <v>2133</v>
      </c>
      <c r="I929" s="13" t="s">
        <v>54</v>
      </c>
      <c r="J929" s="28">
        <v>0</v>
      </c>
      <c r="K929" s="13" t="s">
        <v>150</v>
      </c>
      <c r="L929" s="13" t="s">
        <v>53</v>
      </c>
      <c r="M929" s="13">
        <v>1</v>
      </c>
      <c r="N929" s="13">
        <v>1</v>
      </c>
      <c r="O929" s="13">
        <v>1</v>
      </c>
      <c r="R929" s="13" t="s">
        <v>73</v>
      </c>
      <c r="S929" s="13" t="s">
        <v>73</v>
      </c>
      <c r="T929" s="13">
        <v>44901</v>
      </c>
      <c r="U929" s="13">
        <v>2958465</v>
      </c>
      <c r="V929" s="13" t="s">
        <v>282</v>
      </c>
      <c r="W929" s="13" t="s">
        <v>145</v>
      </c>
      <c r="Y929" s="13" t="s">
        <v>143</v>
      </c>
      <c r="Z929" s="13">
        <v>7603937</v>
      </c>
      <c r="AA929" s="13">
        <v>2</v>
      </c>
      <c r="AB929" s="13">
        <v>1</v>
      </c>
      <c r="AE929" s="51">
        <f>M929/O929</f>
        <v>1</v>
      </c>
      <c r="AG929" s="6" t="str">
        <f>C929</f>
        <v>90MB1BJ0-C1BAY0</v>
      </c>
      <c r="AH929" s="6" t="str">
        <f>IF($D929&lt;=AH$4,"",IF(AND($D928=AH$4,$D929&gt;AH$4),$F928,AH928))</f>
        <v>59MB1BJB-MB0A02S</v>
      </c>
      <c r="AI929" s="6" t="str">
        <f>IF($D929&lt;=AI$4,"",IF(AND($D928=AI$4,$D929&gt;AI$4),$F928,AI928))</f>
        <v>X670-MBEC-A</v>
      </c>
      <c r="AJ929" s="6" t="str">
        <f>IF($D929&lt;=AJ$4,"",IF(AND($D928=AJ$4,$D929&gt;AJ$4),$F928,AJ928))</f>
        <v/>
      </c>
      <c r="AK929" s="6" t="str">
        <f>IF($D929&lt;=AK$4,"",IF(AND($D928=AK$4,$D929&gt;AK$4),$F928,AK928))</f>
        <v/>
      </c>
      <c r="AL929" s="6" t="str">
        <f>IF($D929&lt;=AL$4,"",IF(AND($D928=AL$4,$D929&gt;AL$4),$F928,AL928))</f>
        <v/>
      </c>
      <c r="AM929" s="6" t="str">
        <f>IF($D929&lt;=AM$4,"",IF(AND($D928=AM$4,$D929&gt;AM$4),$F928,AM928))</f>
        <v/>
      </c>
      <c r="AN929" s="6" t="str">
        <f>IF($D929&lt;=AN$4,"",IF(AND($D928=AN$4,$D929&gt;AN$4),$F928,AN928))</f>
        <v/>
      </c>
      <c r="AO929" s="6" t="str">
        <f>CONCATENATE(AG929," | ",AH929," | ",AI929," | ",AJ929," | ",AK929," | ",AL929," | ",AM929," | ",AN929)</f>
        <v xml:space="preserve">90MB1BJ0-C1BAY0 | 59MB1BJB-MB0A02S | X670-MBEC-A |  |  |  |  | </v>
      </c>
      <c r="AP929" s="6">
        <f>IF(TRIM(H929)="",100,J929)</f>
        <v>100</v>
      </c>
      <c r="AQ929" s="4"/>
      <c r="AR929" s="6" t="b">
        <f>NOT(TRIM(W929)&lt;&gt;"F")</f>
        <v>1</v>
      </c>
      <c r="AS929" s="6" t="str">
        <f>$B929&amp;" | "&amp;$AO929&amp;" | "&amp;IF(TRIM(H929)="","uniq"&amp;ROW(),TRIM(H929))</f>
        <v>461E | 90MB1BJ0-C1BAY0 | 59MB1BJB-MB0A02S | X670-MBEC-A |  |  |  |  |  | uniq929</v>
      </c>
      <c r="AT929" s="63">
        <f>IF(NOT(AR929),IF(TRIM($H929)="","Assembly","Phantom Alt"),VLOOKUP(F929,ZPCS04!B:G,6,0))</f>
        <v>17</v>
      </c>
      <c r="AU929" s="7"/>
      <c r="AV929" s="38">
        <f ca="1">IF(TRIM($W929)="F",OFFSET($A$5,MATCH($AS929,$AS$5:$AS929,0)-1,0),$A929)</f>
        <v>929</v>
      </c>
      <c r="AW929" s="38">
        <f ca="1">IFERROR(OFFSET(ZPCS04!$A$1,MATCH(F929,ZPCS04!B:B,0)-1,0),100)</f>
        <v>1.9999999900000001</v>
      </c>
      <c r="AX929" s="7"/>
      <c r="AY929" s="6" t="b">
        <f>SUMIF(AS:AS,AS929,AP:AP)=100</f>
        <v>1</v>
      </c>
      <c r="AZ929" s="6" t="b">
        <f>SUMIF(AS:AS,AS929,AE:AE)/COUNTIF(AS:AS,AS929)=AE929</f>
        <v>1</v>
      </c>
      <c r="BB929" s="38">
        <f ca="1">IF(AT929="Phantom Alt",MATCH($AS929,$AS$5:$AS929,0),IF(OR(OFFSET($AF929,0,8-COUNTBLANK($AG929:$AN929))=$F928,$BE929=$BE928),$BB928,""))</f>
        <v>924</v>
      </c>
      <c r="BC929" s="41"/>
      <c r="BD929" s="55" t="str">
        <f>C929&amp;" | "&amp;F929</f>
        <v>90MB1BJ0-C1BAY0 | 05006-00102000</v>
      </c>
      <c r="BE929" s="55" t="str">
        <f ca="1">C929&amp;" | "&amp;OFFSET($AF929,0,8-COUNTBLANK($AG929:$AN929))</f>
        <v>90MB1BJ0-C1BAY0 | X670-MBEC-A</v>
      </c>
      <c r="BF929" s="57">
        <f ca="1">IFERROR(VLOOKUP($BE929,$BD$5:$BF928,3,0)*$AE929,VLOOKUP($C929,Demanda!$A:$B,2,0)*$AE929)*IF(AT929="Phantom Alt",$BC929,TRUE)</f>
        <v>1000</v>
      </c>
      <c r="BG929" s="57">
        <f ca="1">BF929*(AP929/100)</f>
        <v>1000</v>
      </c>
      <c r="BH929" s="57">
        <f>SUMIF(Invoice!A:A,F929,Invoice!B:B)</f>
        <v>1000</v>
      </c>
      <c r="BI929" s="57">
        <f ca="1">SUMIF(AS:AS,AS929,BG:BG)</f>
        <v>1000</v>
      </c>
      <c r="BJ929" s="57">
        <f ca="1">MIN((BI929-SUMIF($AS$5:AS928,AS929,$BJ$5:BJ928)),MAX(0,BH929-SUMIF($F$5:F928,F929,$BJ$5:BJ928)))</f>
        <v>1000</v>
      </c>
      <c r="BK929" s="57">
        <f ca="1">(-SUMIF(AS:AS,AS929,BG:BG)+SUMIF(AS:AS,AS929,BJ:BJ))*(AP929=100)*AR929</f>
        <v>0</v>
      </c>
      <c r="BL929" s="57">
        <f ca="1">MAX(0,SUMIF(Invoice!A:A,F929,Invoice!B:B)-SUMIF(F:F,F929,BJ:BJ))*(COUNTIF(F:F,F929)=COUNTIF($F$5:F929,F929))</f>
        <v>0</v>
      </c>
    </row>
    <row r="930" spans="1:64" hidden="1">
      <c r="A930" s="43">
        <v>930</v>
      </c>
      <c r="B930" s="13" t="s">
        <v>147</v>
      </c>
      <c r="C930" s="13" t="s">
        <v>146</v>
      </c>
      <c r="D930" s="13">
        <v>2</v>
      </c>
      <c r="E930" s="13">
        <v>4020</v>
      </c>
      <c r="F930" s="88" t="s">
        <v>2134</v>
      </c>
      <c r="G930" s="71" t="s">
        <v>2131</v>
      </c>
      <c r="H930" s="13">
        <v>4</v>
      </c>
      <c r="I930" s="13" t="s">
        <v>55</v>
      </c>
      <c r="J930" s="28">
        <v>0</v>
      </c>
      <c r="K930" s="13" t="s">
        <v>275</v>
      </c>
      <c r="L930" s="13" t="s">
        <v>290</v>
      </c>
      <c r="M930" s="13">
        <v>1</v>
      </c>
      <c r="O930" s="13">
        <v>1</v>
      </c>
      <c r="P930" s="13">
        <v>2</v>
      </c>
      <c r="Q930" s="13">
        <v>2</v>
      </c>
      <c r="R930" s="13" t="s">
        <v>73</v>
      </c>
      <c r="S930" s="13" t="s">
        <v>73</v>
      </c>
      <c r="T930" s="13">
        <v>44901</v>
      </c>
      <c r="U930" s="13">
        <v>2958465</v>
      </c>
      <c r="V930" s="13" t="s">
        <v>282</v>
      </c>
      <c r="W930" s="13" t="s">
        <v>142</v>
      </c>
      <c r="Y930" s="13" t="s">
        <v>143</v>
      </c>
      <c r="Z930" s="13">
        <v>7589154</v>
      </c>
      <c r="AA930" s="13">
        <v>18</v>
      </c>
      <c r="AB930" s="13">
        <v>9</v>
      </c>
      <c r="AE930" s="51">
        <f>M930/O930</f>
        <v>1</v>
      </c>
      <c r="AG930" s="6" t="str">
        <f>C930</f>
        <v>90MB1BJ0-C1BAY0</v>
      </c>
      <c r="AH930" s="6" t="str">
        <f>IF($D930&lt;=AH$4,"",IF(AND($D929=AH$4,$D930&gt;AH$4),$F929,AH929))</f>
        <v>59MB1BJB-MB0A02S</v>
      </c>
      <c r="AI930" s="6" t="str">
        <f>IF($D930&lt;=AI$4,"",IF(AND($D929=AI$4,$D930&gt;AI$4),$F929,AI929))</f>
        <v/>
      </c>
      <c r="AJ930" s="6" t="str">
        <f>IF($D930&lt;=AJ$4,"",IF(AND($D929=AJ$4,$D930&gt;AJ$4),$F929,AJ929))</f>
        <v/>
      </c>
      <c r="AK930" s="6" t="str">
        <f>IF($D930&lt;=AK$4,"",IF(AND($D929=AK$4,$D930&gt;AK$4),$F929,AK929))</f>
        <v/>
      </c>
      <c r="AL930" s="6" t="str">
        <f>IF($D930&lt;=AL$4,"",IF(AND($D929=AL$4,$D930&gt;AL$4),$F929,AL929))</f>
        <v/>
      </c>
      <c r="AM930" s="6" t="str">
        <f>IF($D930&lt;=AM$4,"",IF(AND($D929=AM$4,$D930&gt;AM$4),$F929,AM929))</f>
        <v/>
      </c>
      <c r="AN930" s="6" t="str">
        <f>IF($D930&lt;=AN$4,"",IF(AND($D929=AN$4,$D930&gt;AN$4),$F929,AN929))</f>
        <v/>
      </c>
      <c r="AO930" s="6" t="str">
        <f>CONCATENATE(AG930," | ",AH930," | ",AI930," | ",AJ930," | ",AK930," | ",AL930," | ",AM930," | ",AN930)</f>
        <v xml:space="preserve">90MB1BJ0-C1BAY0 | 59MB1BJB-MB0A02S |  |  |  |  |  | </v>
      </c>
      <c r="AP930" s="6">
        <f>IF(TRIM(H930)="",100,J930)</f>
        <v>0</v>
      </c>
      <c r="AQ930" s="4"/>
      <c r="AR930" s="6" t="b">
        <f>NOT(TRIM(W930)&lt;&gt;"F")</f>
        <v>0</v>
      </c>
      <c r="AS930" s="6" t="str">
        <f>$B930&amp;" | "&amp;$AO930&amp;" | "&amp;IF(TRIM(H930)="","uniq"&amp;ROW(),TRIM(H930))</f>
        <v>461E | 90MB1BJ0-C1BAY0 | 59MB1BJB-MB0A02S |  |  |  |  |  |  | 4</v>
      </c>
      <c r="AT930" s="63" t="str">
        <f>IF(NOT(AR930),IF(TRIM($H930)="","Assembly","Phantom Alt"),VLOOKUP(F930,ZPCS04!B:G,6,0))</f>
        <v>Phantom Alt</v>
      </c>
      <c r="AU930" s="7"/>
      <c r="AV930" s="38">
        <f ca="1">IF(TRIM($W930)="F",OFFSET($A$5,MATCH($AS930,$AS$5:$AS930,0)-1,0),$A930)</f>
        <v>930</v>
      </c>
      <c r="AW930" s="38">
        <f ca="1">IFERROR(OFFSET(ZPCS04!$A$1,MATCH(F930,ZPCS04!B:B,0)-1,0),100)</f>
        <v>100</v>
      </c>
      <c r="AX930" s="7"/>
      <c r="AY930" s="6" t="b">
        <f>SUMIF(AS:AS,AS930,AP:AP)=100</f>
        <v>1</v>
      </c>
      <c r="AZ930" s="6" t="b">
        <f>SUMIF(AS:AS,AS930,AE:AE)/COUNTIF(AS:AS,AS930)=AE930</f>
        <v>1</v>
      </c>
      <c r="BB930" s="38">
        <f ca="1">IF(AT930="Phantom Alt",MATCH($AS930,$AS$5:$AS930,0),IF(OR(OFFSET($AF930,0,8-COUNTBLANK($AG930:$AN930))=$F929,$BE930=$BE929),$BB929,""))</f>
        <v>924</v>
      </c>
      <c r="BC930" s="41"/>
      <c r="BD930" s="55" t="str">
        <f>C930&amp;" | "&amp;F930</f>
        <v>90MB1BJ0-C1BAY0 | X670-MBEC-B</v>
      </c>
      <c r="BE930" s="55" t="str">
        <f ca="1">C930&amp;" | "&amp;OFFSET($AF930,0,8-COUNTBLANK($AG930:$AN930))</f>
        <v>90MB1BJ0-C1BAY0 | 59MB1BJB-MB0A02S</v>
      </c>
      <c r="BF930" s="57">
        <f ca="1">IFERROR(VLOOKUP($BE930,$BD$5:$BF929,3,0)*$AE930,VLOOKUP($C930,Demanda!$A:$B,2,0)*$AE930)*IF(AT930="Phantom Alt",$BC930,TRUE)</f>
        <v>0</v>
      </c>
      <c r="BG930" s="57">
        <f ca="1">BF930*(AP930/100)</f>
        <v>0</v>
      </c>
      <c r="BH930" s="57">
        <f>SUMIF(Invoice!A:A,F930,Invoice!B:B)</f>
        <v>0</v>
      </c>
      <c r="BI930" s="57">
        <f ca="1">SUMIF(AS:AS,AS930,BG:BG)</f>
        <v>1000</v>
      </c>
      <c r="BJ930" s="57">
        <f ca="1">MIN((BI930-SUMIF($AS$5:AS929,AS930,$BJ$5:BJ929)),MAX(0,BH930-SUMIF($F$5:F929,F930,$BJ$5:BJ929)))</f>
        <v>0</v>
      </c>
      <c r="BK930" s="57">
        <f ca="1">(-SUMIF(AS:AS,AS930,BG:BG)+SUMIF(AS:AS,AS930,BJ:BJ))*(AP930=100)*AR930</f>
        <v>0</v>
      </c>
      <c r="BL930" s="57">
        <f ca="1">MAX(0,SUMIF(Invoice!A:A,F930,Invoice!B:B)-SUMIF(F:F,F930,BJ:BJ))*(COUNTIF(F:F,F930)=COUNTIF($F$5:F930,F930))</f>
        <v>0</v>
      </c>
    </row>
    <row r="931" spans="1:64" hidden="1">
      <c r="A931" s="43">
        <v>931</v>
      </c>
      <c r="B931" s="13" t="s">
        <v>147</v>
      </c>
      <c r="C931" s="13" t="s">
        <v>146</v>
      </c>
      <c r="D931" s="13">
        <v>3</v>
      </c>
      <c r="E931" s="13">
        <v>20</v>
      </c>
      <c r="F931" s="88" t="s">
        <v>2135</v>
      </c>
      <c r="G931" s="71" t="s">
        <v>2136</v>
      </c>
      <c r="I931" s="13" t="s">
        <v>55</v>
      </c>
      <c r="J931" s="28">
        <v>0</v>
      </c>
      <c r="K931" s="13" t="s">
        <v>150</v>
      </c>
      <c r="L931" s="13" t="s">
        <v>53</v>
      </c>
      <c r="M931" s="13">
        <v>1</v>
      </c>
      <c r="O931" s="13">
        <v>1</v>
      </c>
      <c r="R931" s="13" t="s">
        <v>73</v>
      </c>
      <c r="S931" s="13" t="s">
        <v>73</v>
      </c>
      <c r="T931" s="13">
        <v>44901</v>
      </c>
      <c r="U931" s="13">
        <v>2958465</v>
      </c>
      <c r="V931" s="13" t="s">
        <v>282</v>
      </c>
      <c r="W931" s="13" t="s">
        <v>145</v>
      </c>
      <c r="Y931" s="13" t="s">
        <v>143</v>
      </c>
      <c r="Z931" s="13">
        <v>7603938</v>
      </c>
      <c r="AA931" s="13">
        <v>2</v>
      </c>
      <c r="AB931" s="13">
        <v>1</v>
      </c>
      <c r="AE931" s="51">
        <f>M931/O931</f>
        <v>1</v>
      </c>
      <c r="AG931" s="6" t="str">
        <f>C931</f>
        <v>90MB1BJ0-C1BAY0</v>
      </c>
      <c r="AH931" s="6" t="str">
        <f>IF($D931&lt;=AH$4,"",IF(AND($D930=AH$4,$D931&gt;AH$4),$F930,AH930))</f>
        <v>59MB1BJB-MB0A02S</v>
      </c>
      <c r="AI931" s="6" t="str">
        <f>IF($D931&lt;=AI$4,"",IF(AND($D930=AI$4,$D931&gt;AI$4),$F930,AI930))</f>
        <v>X670-MBEC-B</v>
      </c>
      <c r="AJ931" s="6" t="str">
        <f>IF($D931&lt;=AJ$4,"",IF(AND($D930=AJ$4,$D931&gt;AJ$4),$F930,AJ930))</f>
        <v/>
      </c>
      <c r="AK931" s="6" t="str">
        <f>IF($D931&lt;=AK$4,"",IF(AND($D930=AK$4,$D931&gt;AK$4),$F930,AK930))</f>
        <v/>
      </c>
      <c r="AL931" s="6" t="str">
        <f>IF($D931&lt;=AL$4,"",IF(AND($D930=AL$4,$D931&gt;AL$4),$F930,AL930))</f>
        <v/>
      </c>
      <c r="AM931" s="6" t="str">
        <f>IF($D931&lt;=AM$4,"",IF(AND($D930=AM$4,$D931&gt;AM$4),$F930,AM930))</f>
        <v/>
      </c>
      <c r="AN931" s="6" t="str">
        <f>IF($D931&lt;=AN$4,"",IF(AND($D930=AN$4,$D931&gt;AN$4),$F930,AN930))</f>
        <v/>
      </c>
      <c r="AO931" s="6" t="str">
        <f>CONCATENATE(AG931," | ",AH931," | ",AI931," | ",AJ931," | ",AK931," | ",AL931," | ",AM931," | ",AN931)</f>
        <v xml:space="preserve">90MB1BJ0-C1BAY0 | 59MB1BJB-MB0A02S | X670-MBEC-B |  |  |  |  | </v>
      </c>
      <c r="AP931" s="6">
        <f>IF(TRIM(H931)="",100,J931)</f>
        <v>100</v>
      </c>
      <c r="AQ931" s="4"/>
      <c r="AR931" s="6" t="b">
        <f>NOT(TRIM(W931)&lt;&gt;"F")</f>
        <v>1</v>
      </c>
      <c r="AS931" s="6" t="str">
        <f>$B931&amp;" | "&amp;$AO931&amp;" | "&amp;IF(TRIM(H931)="","uniq"&amp;ROW(),TRIM(H931))</f>
        <v>461E | 90MB1BJ0-C1BAY0 | 59MB1BJB-MB0A02S | X670-MBEC-B |  |  |  |  |  | uniq931</v>
      </c>
      <c r="AT931" s="63">
        <f>IF(NOT(AR931),IF(TRIM($H931)="","Assembly","Phantom Alt"),VLOOKUP(F931,ZPCS04!B:G,6,0))</f>
        <v>15</v>
      </c>
      <c r="AU931" s="7"/>
      <c r="AV931" s="38">
        <f ca="1">IF(TRIM($W931)="F",OFFSET($A$5,MATCH($AS931,$AS$5:$AS931,0)-1,0),$A931)</f>
        <v>931</v>
      </c>
      <c r="AW931" s="38">
        <f ca="1">IFERROR(OFFSET(ZPCS04!$A$1,MATCH(F931,ZPCS04!B:B,0)-1,0),100)</f>
        <v>2</v>
      </c>
      <c r="AX931" s="7"/>
      <c r="AY931" s="6" t="b">
        <f>SUMIF(AS:AS,AS931,AP:AP)=100</f>
        <v>1</v>
      </c>
      <c r="AZ931" s="6" t="b">
        <f>SUMIF(AS:AS,AS931,AE:AE)/COUNTIF(AS:AS,AS931)=AE931</f>
        <v>1</v>
      </c>
      <c r="BB931" s="38">
        <f ca="1">IF(AT931="Phantom Alt",MATCH($AS931,$AS$5:$AS931,0),IF(OR(OFFSET($AF931,0,8-COUNTBLANK($AG931:$AN931))=$F930,$BE931=$BE930),$BB930,""))</f>
        <v>924</v>
      </c>
      <c r="BC931" s="41"/>
      <c r="BD931" s="55" t="str">
        <f>C931&amp;" | "&amp;F931</f>
        <v>90MB1BJ0-C1BAY0 | 05006-00100000</v>
      </c>
      <c r="BE931" s="55" t="str">
        <f ca="1">C931&amp;" | "&amp;OFFSET($AF931,0,8-COUNTBLANK($AG931:$AN931))</f>
        <v>90MB1BJ0-C1BAY0 | X670-MBEC-B</v>
      </c>
      <c r="BF931" s="57">
        <f ca="1">IFERROR(VLOOKUP($BE931,$BD$5:$BF930,3,0)*$AE931,VLOOKUP($C931,Demanda!$A:$B,2,0)*$AE931)*IF(AT931="Phantom Alt",$BC931,TRUE)</f>
        <v>0</v>
      </c>
      <c r="BG931" s="57">
        <f ca="1">BF931*(AP931/100)</f>
        <v>0</v>
      </c>
      <c r="BH931" s="57">
        <f>SUMIF(Invoice!A:A,F931,Invoice!B:B)</f>
        <v>0</v>
      </c>
      <c r="BI931" s="57">
        <f ca="1">SUMIF(AS:AS,AS931,BG:BG)</f>
        <v>0</v>
      </c>
      <c r="BJ931" s="57">
        <f ca="1">MIN((BI931-SUMIF($AS$5:AS930,AS931,$BJ$5:BJ930)),MAX(0,BH931-SUMIF($F$5:F930,F931,$BJ$5:BJ930)))</f>
        <v>0</v>
      </c>
      <c r="BK931" s="57">
        <f ca="1">(-SUMIF(AS:AS,AS931,BG:BG)+SUMIF(AS:AS,AS931,BJ:BJ))*(AP931=100)*AR931</f>
        <v>0</v>
      </c>
      <c r="BL931" s="57">
        <f ca="1">MAX(0,SUMIF(Invoice!A:A,F931,Invoice!B:B)-SUMIF(F:F,F931,BJ:BJ))*(COUNTIF(F:F,F931)=COUNTIF($F$5:F931,F931))</f>
        <v>0</v>
      </c>
    </row>
    <row r="932" spans="1:64" hidden="1">
      <c r="A932" s="43">
        <v>932</v>
      </c>
      <c r="B932" s="13" t="s">
        <v>147</v>
      </c>
      <c r="C932" s="13" t="s">
        <v>146</v>
      </c>
      <c r="D932" s="13">
        <v>2</v>
      </c>
      <c r="E932" s="13">
        <v>4020</v>
      </c>
      <c r="F932" s="88" t="s">
        <v>2137</v>
      </c>
      <c r="G932" s="71" t="s">
        <v>2131</v>
      </c>
      <c r="H932" s="13">
        <v>4</v>
      </c>
      <c r="I932" s="13" t="s">
        <v>55</v>
      </c>
      <c r="J932" s="28">
        <v>0</v>
      </c>
      <c r="K932" s="13" t="s">
        <v>275</v>
      </c>
      <c r="L932" s="13" t="s">
        <v>290</v>
      </c>
      <c r="M932" s="13">
        <v>1</v>
      </c>
      <c r="O932" s="13">
        <v>1</v>
      </c>
      <c r="P932" s="13">
        <v>2</v>
      </c>
      <c r="Q932" s="13">
        <v>3</v>
      </c>
      <c r="R932" s="13" t="s">
        <v>73</v>
      </c>
      <c r="S932" s="13" t="s">
        <v>73</v>
      </c>
      <c r="T932" s="13">
        <v>44901</v>
      </c>
      <c r="U932" s="13">
        <v>2958465</v>
      </c>
      <c r="V932" s="13" t="s">
        <v>282</v>
      </c>
      <c r="W932" s="13" t="s">
        <v>142</v>
      </c>
      <c r="Y932" s="13" t="s">
        <v>143</v>
      </c>
      <c r="Z932" s="13">
        <v>7589154</v>
      </c>
      <c r="AA932" s="13">
        <v>20</v>
      </c>
      <c r="AB932" s="13">
        <v>10</v>
      </c>
      <c r="AE932" s="51">
        <f>M932/O932</f>
        <v>1</v>
      </c>
      <c r="AG932" s="6" t="str">
        <f>C932</f>
        <v>90MB1BJ0-C1BAY0</v>
      </c>
      <c r="AH932" s="6" t="str">
        <f>IF($D932&lt;=AH$4,"",IF(AND($D931=AH$4,$D932&gt;AH$4),$F931,AH931))</f>
        <v>59MB1BJB-MB0A02S</v>
      </c>
      <c r="AI932" s="6" t="str">
        <f>IF($D932&lt;=AI$4,"",IF(AND($D931=AI$4,$D932&gt;AI$4),$F931,AI931))</f>
        <v/>
      </c>
      <c r="AJ932" s="6" t="str">
        <f>IF($D932&lt;=AJ$4,"",IF(AND($D931=AJ$4,$D932&gt;AJ$4),$F931,AJ931))</f>
        <v/>
      </c>
      <c r="AK932" s="6" t="str">
        <f>IF($D932&lt;=AK$4,"",IF(AND($D931=AK$4,$D932&gt;AK$4),$F931,AK931))</f>
        <v/>
      </c>
      <c r="AL932" s="6" t="str">
        <f>IF($D932&lt;=AL$4,"",IF(AND($D931=AL$4,$D932&gt;AL$4),$F931,AL931))</f>
        <v/>
      </c>
      <c r="AM932" s="6" t="str">
        <f>IF($D932&lt;=AM$4,"",IF(AND($D931=AM$4,$D932&gt;AM$4),$F931,AM931))</f>
        <v/>
      </c>
      <c r="AN932" s="6" t="str">
        <f>IF($D932&lt;=AN$4,"",IF(AND($D931=AN$4,$D932&gt;AN$4),$F931,AN931))</f>
        <v/>
      </c>
      <c r="AO932" s="6" t="str">
        <f>CONCATENATE(AG932," | ",AH932," | ",AI932," | ",AJ932," | ",AK932," | ",AL932," | ",AM932," | ",AN932)</f>
        <v xml:space="preserve">90MB1BJ0-C1BAY0 | 59MB1BJB-MB0A02S |  |  |  |  |  | </v>
      </c>
      <c r="AP932" s="6">
        <f>IF(TRIM(H932)="",100,J932)</f>
        <v>0</v>
      </c>
      <c r="AQ932" s="4"/>
      <c r="AR932" s="6" t="b">
        <f>NOT(TRIM(W932)&lt;&gt;"F")</f>
        <v>0</v>
      </c>
      <c r="AS932" s="6" t="str">
        <f>$B932&amp;" | "&amp;$AO932&amp;" | "&amp;IF(TRIM(H932)="","uniq"&amp;ROW(),TRIM(H932))</f>
        <v>461E | 90MB1BJ0-C1BAY0 | 59MB1BJB-MB0A02S |  |  |  |  |  |  | 4</v>
      </c>
      <c r="AT932" s="63" t="str">
        <f>IF(NOT(AR932),IF(TRIM($H932)="","Assembly","Phantom Alt"),VLOOKUP(F932,ZPCS04!B:G,6,0))</f>
        <v>Phantom Alt</v>
      </c>
      <c r="AU932" s="7"/>
      <c r="AV932" s="38">
        <f ca="1">IF(TRIM($W932)="F",OFFSET($A$5,MATCH($AS932,$AS$5:$AS932,0)-1,0),$A932)</f>
        <v>932</v>
      </c>
      <c r="AW932" s="38">
        <f ca="1">IFERROR(OFFSET(ZPCS04!$A$1,MATCH(F932,ZPCS04!B:B,0)-1,0),100)</f>
        <v>100</v>
      </c>
      <c r="AX932" s="7"/>
      <c r="AY932" s="6" t="b">
        <f>SUMIF(AS:AS,AS932,AP:AP)=100</f>
        <v>1</v>
      </c>
      <c r="AZ932" s="6" t="b">
        <f>SUMIF(AS:AS,AS932,AE:AE)/COUNTIF(AS:AS,AS932)=AE932</f>
        <v>1</v>
      </c>
      <c r="BB932" s="38">
        <f ca="1">IF(AT932="Phantom Alt",MATCH($AS932,$AS$5:$AS932,0),IF(OR(OFFSET($AF932,0,8-COUNTBLANK($AG932:$AN932))=$F931,$BE932=$BE931),$BB931,""))</f>
        <v>924</v>
      </c>
      <c r="BC932" s="41"/>
      <c r="BD932" s="55" t="str">
        <f>C932&amp;" | "&amp;F932</f>
        <v>90MB1BJ0-C1BAY0 | X670-MBEC-C</v>
      </c>
      <c r="BE932" s="55" t="str">
        <f ca="1">C932&amp;" | "&amp;OFFSET($AF932,0,8-COUNTBLANK($AG932:$AN932))</f>
        <v>90MB1BJ0-C1BAY0 | 59MB1BJB-MB0A02S</v>
      </c>
      <c r="BF932" s="57">
        <f ca="1">IFERROR(VLOOKUP($BE932,$BD$5:$BF931,3,0)*$AE932,VLOOKUP($C932,Demanda!$A:$B,2,0)*$AE932)*IF(AT932="Phantom Alt",$BC932,TRUE)</f>
        <v>0</v>
      </c>
      <c r="BG932" s="57">
        <f ca="1">BF932*(AP932/100)</f>
        <v>0</v>
      </c>
      <c r="BH932" s="57">
        <f>SUMIF(Invoice!A:A,F932,Invoice!B:B)</f>
        <v>0</v>
      </c>
      <c r="BI932" s="57">
        <f ca="1">SUMIF(AS:AS,AS932,BG:BG)</f>
        <v>1000</v>
      </c>
      <c r="BJ932" s="57">
        <f ca="1">MIN((BI932-SUMIF($AS$5:AS931,AS932,$BJ$5:BJ931)),MAX(0,BH932-SUMIF($F$5:F931,F932,$BJ$5:BJ931)))</f>
        <v>0</v>
      </c>
      <c r="BK932" s="57">
        <f ca="1">(-SUMIF(AS:AS,AS932,BG:BG)+SUMIF(AS:AS,AS932,BJ:BJ))*(AP932=100)*AR932</f>
        <v>0</v>
      </c>
      <c r="BL932" s="57">
        <f ca="1">MAX(0,SUMIF(Invoice!A:A,F932,Invoice!B:B)-SUMIF(F:F,F932,BJ:BJ))*(COUNTIF(F:F,F932)=COUNTIF($F$5:F932,F932))</f>
        <v>0</v>
      </c>
    </row>
    <row r="933" spans="1:64" hidden="1">
      <c r="A933" s="43">
        <v>933</v>
      </c>
      <c r="B933" s="13" t="s">
        <v>147</v>
      </c>
      <c r="C933" s="13" t="s">
        <v>146</v>
      </c>
      <c r="D933" s="13">
        <v>3</v>
      </c>
      <c r="E933" s="13">
        <v>20</v>
      </c>
      <c r="F933" s="88" t="s">
        <v>2138</v>
      </c>
      <c r="G933" s="71" t="s">
        <v>2139</v>
      </c>
      <c r="I933" s="13" t="s">
        <v>55</v>
      </c>
      <c r="J933" s="28">
        <v>0</v>
      </c>
      <c r="K933" s="13" t="s">
        <v>150</v>
      </c>
      <c r="L933" s="13" t="s">
        <v>53</v>
      </c>
      <c r="M933" s="13">
        <v>1</v>
      </c>
      <c r="O933" s="13">
        <v>1</v>
      </c>
      <c r="R933" s="13" t="s">
        <v>73</v>
      </c>
      <c r="S933" s="13" t="s">
        <v>73</v>
      </c>
      <c r="T933" s="13">
        <v>44901</v>
      </c>
      <c r="U933" s="13">
        <v>2958465</v>
      </c>
      <c r="V933" s="13" t="s">
        <v>282</v>
      </c>
      <c r="W933" s="13" t="s">
        <v>145</v>
      </c>
      <c r="Y933" s="13" t="s">
        <v>143</v>
      </c>
      <c r="Z933" s="13">
        <v>7603939</v>
      </c>
      <c r="AA933" s="13">
        <v>2</v>
      </c>
      <c r="AB933" s="13">
        <v>1</v>
      </c>
      <c r="AE933" s="51">
        <f>M933/O933</f>
        <v>1</v>
      </c>
      <c r="AG933" s="6" t="str">
        <f>C933</f>
        <v>90MB1BJ0-C1BAY0</v>
      </c>
      <c r="AH933" s="6" t="str">
        <f>IF($D933&lt;=AH$4,"",IF(AND($D932=AH$4,$D933&gt;AH$4),$F932,AH932))</f>
        <v>59MB1BJB-MB0A02S</v>
      </c>
      <c r="AI933" s="6" t="str">
        <f>IF($D933&lt;=AI$4,"",IF(AND($D932=AI$4,$D933&gt;AI$4),$F932,AI932))</f>
        <v>X670-MBEC-C</v>
      </c>
      <c r="AJ933" s="6" t="str">
        <f>IF($D933&lt;=AJ$4,"",IF(AND($D932=AJ$4,$D933&gt;AJ$4),$F932,AJ932))</f>
        <v/>
      </c>
      <c r="AK933" s="6" t="str">
        <f>IF($D933&lt;=AK$4,"",IF(AND($D932=AK$4,$D933&gt;AK$4),$F932,AK932))</f>
        <v/>
      </c>
      <c r="AL933" s="6" t="str">
        <f>IF($D933&lt;=AL$4,"",IF(AND($D932=AL$4,$D933&gt;AL$4),$F932,AL932))</f>
        <v/>
      </c>
      <c r="AM933" s="6" t="str">
        <f>IF($D933&lt;=AM$4,"",IF(AND($D932=AM$4,$D933&gt;AM$4),$F932,AM932))</f>
        <v/>
      </c>
      <c r="AN933" s="6" t="str">
        <f>IF($D933&lt;=AN$4,"",IF(AND($D932=AN$4,$D933&gt;AN$4),$F932,AN932))</f>
        <v/>
      </c>
      <c r="AO933" s="6" t="str">
        <f>CONCATENATE(AG933," | ",AH933," | ",AI933," | ",AJ933," | ",AK933," | ",AL933," | ",AM933," | ",AN933)</f>
        <v xml:space="preserve">90MB1BJ0-C1BAY0 | 59MB1BJB-MB0A02S | X670-MBEC-C |  |  |  |  | </v>
      </c>
      <c r="AP933" s="6">
        <f>IF(TRIM(H933)="",100,J933)</f>
        <v>100</v>
      </c>
      <c r="AQ933" s="4"/>
      <c r="AR933" s="6" t="b">
        <f>NOT(TRIM(W933)&lt;&gt;"F")</f>
        <v>1</v>
      </c>
      <c r="AS933" s="6" t="str">
        <f>$B933&amp;" | "&amp;$AO933&amp;" | "&amp;IF(TRIM(H933)="","uniq"&amp;ROW(),TRIM(H933))</f>
        <v>461E | 90MB1BJ0-C1BAY0 | 59MB1BJB-MB0A02S | X670-MBEC-C |  |  |  |  |  | uniq933</v>
      </c>
      <c r="AT933" s="63">
        <f>IF(NOT(AR933),IF(TRIM($H933)="","Assembly","Phantom Alt"),VLOOKUP(F933,ZPCS04!B:G,6,0))</f>
        <v>16</v>
      </c>
      <c r="AU933" s="7"/>
      <c r="AV933" s="38">
        <f ca="1">IF(TRIM($W933)="F",OFFSET($A$5,MATCH($AS933,$AS$5:$AS933,0)-1,0),$A933)</f>
        <v>933</v>
      </c>
      <c r="AW933" s="38">
        <f ca="1">IFERROR(OFFSET(ZPCS04!$A$1,MATCH(F933,ZPCS04!B:B,0)-1,0),100)</f>
        <v>2</v>
      </c>
      <c r="AX933" s="7"/>
      <c r="AY933" s="6" t="b">
        <f>SUMIF(AS:AS,AS933,AP:AP)=100</f>
        <v>1</v>
      </c>
      <c r="AZ933" s="6" t="b">
        <f>SUMIF(AS:AS,AS933,AE:AE)/COUNTIF(AS:AS,AS933)=AE933</f>
        <v>1</v>
      </c>
      <c r="BB933" s="38">
        <f ca="1">IF(AT933="Phantom Alt",MATCH($AS933,$AS$5:$AS933,0),IF(OR(OFFSET($AF933,0,8-COUNTBLANK($AG933:$AN933))=$F932,$BE933=$BE932),$BB932,""))</f>
        <v>924</v>
      </c>
      <c r="BC933" s="41"/>
      <c r="BD933" s="55" t="str">
        <f>C933&amp;" | "&amp;F933</f>
        <v>90MB1BJ0-C1BAY0 | 05006-00101600</v>
      </c>
      <c r="BE933" s="55" t="str">
        <f ca="1">C933&amp;" | "&amp;OFFSET($AF933,0,8-COUNTBLANK($AG933:$AN933))</f>
        <v>90MB1BJ0-C1BAY0 | X670-MBEC-C</v>
      </c>
      <c r="BF933" s="57">
        <f ca="1">IFERROR(VLOOKUP($BE933,$BD$5:$BF932,3,0)*$AE933,VLOOKUP($C933,Demanda!$A:$B,2,0)*$AE933)*IF(AT933="Phantom Alt",$BC933,TRUE)</f>
        <v>0</v>
      </c>
      <c r="BG933" s="57">
        <f ca="1">BF933*(AP933/100)</f>
        <v>0</v>
      </c>
      <c r="BH933" s="57">
        <f>SUMIF(Invoice!A:A,F933,Invoice!B:B)</f>
        <v>0</v>
      </c>
      <c r="BI933" s="57">
        <f ca="1">SUMIF(AS:AS,AS933,BG:BG)</f>
        <v>0</v>
      </c>
      <c r="BJ933" s="57">
        <f ca="1">MIN((BI933-SUMIF($AS$5:AS932,AS933,$BJ$5:BJ932)),MAX(0,BH933-SUMIF($F$5:F932,F933,$BJ$5:BJ932)))</f>
        <v>0</v>
      </c>
      <c r="BK933" s="57">
        <f ca="1">(-SUMIF(AS:AS,AS933,BG:BG)+SUMIF(AS:AS,AS933,BJ:BJ))*(AP933=100)*AR933</f>
        <v>0</v>
      </c>
      <c r="BL933" s="57">
        <f ca="1">MAX(0,SUMIF(Invoice!A:A,F933,Invoice!B:B)-SUMIF(F:F,F933,BJ:BJ))*(COUNTIF(F:F,F933)=COUNTIF($F$5:F933,F933))</f>
        <v>0</v>
      </c>
    </row>
    <row r="934" spans="1:64" hidden="1">
      <c r="A934" s="43">
        <v>934</v>
      </c>
      <c r="B934" s="13" t="s">
        <v>147</v>
      </c>
      <c r="C934" s="13" t="s">
        <v>146</v>
      </c>
      <c r="D934" s="13">
        <v>2</v>
      </c>
      <c r="E934" s="13">
        <v>4020</v>
      </c>
      <c r="F934" s="88" t="s">
        <v>2140</v>
      </c>
      <c r="G934" s="71" t="s">
        <v>2131</v>
      </c>
      <c r="H934" s="13">
        <v>4</v>
      </c>
      <c r="I934" s="13" t="s">
        <v>55</v>
      </c>
      <c r="J934" s="28">
        <v>0</v>
      </c>
      <c r="K934" s="13" t="s">
        <v>275</v>
      </c>
      <c r="L934" s="13" t="s">
        <v>290</v>
      </c>
      <c r="M934" s="13">
        <v>1</v>
      </c>
      <c r="O934" s="13">
        <v>1</v>
      </c>
      <c r="P934" s="13">
        <v>2</v>
      </c>
      <c r="Q934" s="13">
        <v>4</v>
      </c>
      <c r="R934" s="13" t="s">
        <v>73</v>
      </c>
      <c r="S934" s="13" t="s">
        <v>73</v>
      </c>
      <c r="T934" s="13">
        <v>44901</v>
      </c>
      <c r="U934" s="13">
        <v>2958465</v>
      </c>
      <c r="V934" s="13" t="s">
        <v>282</v>
      </c>
      <c r="W934" s="13" t="s">
        <v>142</v>
      </c>
      <c r="Y934" s="13" t="s">
        <v>143</v>
      </c>
      <c r="Z934" s="13">
        <v>7589154</v>
      </c>
      <c r="AA934" s="13">
        <v>22</v>
      </c>
      <c r="AB934" s="13">
        <v>11</v>
      </c>
      <c r="AE934" s="51">
        <f>M934/O934</f>
        <v>1</v>
      </c>
      <c r="AG934" s="6" t="str">
        <f>C934</f>
        <v>90MB1BJ0-C1BAY0</v>
      </c>
      <c r="AH934" s="6" t="str">
        <f>IF($D934&lt;=AH$4,"",IF(AND($D933=AH$4,$D934&gt;AH$4),$F933,AH933))</f>
        <v>59MB1BJB-MB0A02S</v>
      </c>
      <c r="AI934" s="6" t="str">
        <f>IF($D934&lt;=AI$4,"",IF(AND($D933=AI$4,$D934&gt;AI$4),$F933,AI933))</f>
        <v/>
      </c>
      <c r="AJ934" s="6" t="str">
        <f>IF($D934&lt;=AJ$4,"",IF(AND($D933=AJ$4,$D934&gt;AJ$4),$F933,AJ933))</f>
        <v/>
      </c>
      <c r="AK934" s="6" t="str">
        <f>IF($D934&lt;=AK$4,"",IF(AND($D933=AK$4,$D934&gt;AK$4),$F933,AK933))</f>
        <v/>
      </c>
      <c r="AL934" s="6" t="str">
        <f>IF($D934&lt;=AL$4,"",IF(AND($D933=AL$4,$D934&gt;AL$4),$F933,AL933))</f>
        <v/>
      </c>
      <c r="AM934" s="6" t="str">
        <f>IF($D934&lt;=AM$4,"",IF(AND($D933=AM$4,$D934&gt;AM$4),$F933,AM933))</f>
        <v/>
      </c>
      <c r="AN934" s="6" t="str">
        <f>IF($D934&lt;=AN$4,"",IF(AND($D933=AN$4,$D934&gt;AN$4),$F933,AN933))</f>
        <v/>
      </c>
      <c r="AO934" s="6" t="str">
        <f>CONCATENATE(AG934," | ",AH934," | ",AI934," | ",AJ934," | ",AK934," | ",AL934," | ",AM934," | ",AN934)</f>
        <v xml:space="preserve">90MB1BJ0-C1BAY0 | 59MB1BJB-MB0A02S |  |  |  |  |  | </v>
      </c>
      <c r="AP934" s="6">
        <f>IF(TRIM(H934)="",100,J934)</f>
        <v>0</v>
      </c>
      <c r="AQ934" s="4"/>
      <c r="AR934" s="6" t="b">
        <f>NOT(TRIM(W934)&lt;&gt;"F")</f>
        <v>0</v>
      </c>
      <c r="AS934" s="6" t="str">
        <f>$B934&amp;" | "&amp;$AO934&amp;" | "&amp;IF(TRIM(H934)="","uniq"&amp;ROW(),TRIM(H934))</f>
        <v>461E | 90MB1BJ0-C1BAY0 | 59MB1BJB-MB0A02S |  |  |  |  |  |  | 4</v>
      </c>
      <c r="AT934" s="63" t="str">
        <f>IF(NOT(AR934),IF(TRIM($H934)="","Assembly","Phantom Alt"),VLOOKUP(F934,ZPCS04!B:G,6,0))</f>
        <v>Phantom Alt</v>
      </c>
      <c r="AU934" s="7"/>
      <c r="AV934" s="38">
        <f ca="1">IF(TRIM($W934)="F",OFFSET($A$5,MATCH($AS934,$AS$5:$AS934,0)-1,0),$A934)</f>
        <v>934</v>
      </c>
      <c r="AW934" s="38">
        <f ca="1">IFERROR(OFFSET(ZPCS04!$A$1,MATCH(F934,ZPCS04!B:B,0)-1,0),100)</f>
        <v>100</v>
      </c>
      <c r="AX934" s="7"/>
      <c r="AY934" s="6" t="b">
        <f>SUMIF(AS:AS,AS934,AP:AP)=100</f>
        <v>1</v>
      </c>
      <c r="AZ934" s="6" t="b">
        <f>SUMIF(AS:AS,AS934,AE:AE)/COUNTIF(AS:AS,AS934)=AE934</f>
        <v>1</v>
      </c>
      <c r="BB934" s="38">
        <f ca="1">IF(AT934="Phantom Alt",MATCH($AS934,$AS$5:$AS934,0),IF(OR(OFFSET($AF934,0,8-COUNTBLANK($AG934:$AN934))=$F933,$BE934=$BE933),$BB933,""))</f>
        <v>924</v>
      </c>
      <c r="BC934" s="41"/>
      <c r="BD934" s="55" t="str">
        <f>C934&amp;" | "&amp;F934</f>
        <v>90MB1BJ0-C1BAY0 | X670-MBEC-D</v>
      </c>
      <c r="BE934" s="55" t="str">
        <f ca="1">C934&amp;" | "&amp;OFFSET($AF934,0,8-COUNTBLANK($AG934:$AN934))</f>
        <v>90MB1BJ0-C1BAY0 | 59MB1BJB-MB0A02S</v>
      </c>
      <c r="BF934" s="57">
        <f ca="1">IFERROR(VLOOKUP($BE934,$BD$5:$BF933,3,0)*$AE934,VLOOKUP($C934,Demanda!$A:$B,2,0)*$AE934)*IF(AT934="Phantom Alt",$BC934,TRUE)</f>
        <v>0</v>
      </c>
      <c r="BG934" s="57">
        <f ca="1">BF934*(AP934/100)</f>
        <v>0</v>
      </c>
      <c r="BH934" s="57">
        <f>SUMIF(Invoice!A:A,F934,Invoice!B:B)</f>
        <v>0</v>
      </c>
      <c r="BI934" s="57">
        <f ca="1">SUMIF(AS:AS,AS934,BG:BG)</f>
        <v>1000</v>
      </c>
      <c r="BJ934" s="57">
        <f ca="1">MIN((BI934-SUMIF($AS$5:AS933,AS934,$BJ$5:BJ933)),MAX(0,BH934-SUMIF($F$5:F933,F934,$BJ$5:BJ933)))</f>
        <v>0</v>
      </c>
      <c r="BK934" s="57">
        <f ca="1">(-SUMIF(AS:AS,AS934,BG:BG)+SUMIF(AS:AS,AS934,BJ:BJ))*(AP934=100)*AR934</f>
        <v>0</v>
      </c>
      <c r="BL934" s="57">
        <f ca="1">MAX(0,SUMIF(Invoice!A:A,F934,Invoice!B:B)-SUMIF(F:F,F934,BJ:BJ))*(COUNTIF(F:F,F934)=COUNTIF($F$5:F934,F934))</f>
        <v>0</v>
      </c>
    </row>
    <row r="935" spans="1:64" hidden="1">
      <c r="A935" s="43">
        <v>935</v>
      </c>
      <c r="B935" s="13" t="s">
        <v>147</v>
      </c>
      <c r="C935" s="13" t="s">
        <v>146</v>
      </c>
      <c r="D935" s="13">
        <v>3</v>
      </c>
      <c r="E935" s="13">
        <v>20</v>
      </c>
      <c r="F935" s="88" t="s">
        <v>2141</v>
      </c>
      <c r="G935" s="71" t="s">
        <v>2142</v>
      </c>
      <c r="I935" s="13" t="s">
        <v>55</v>
      </c>
      <c r="J935" s="28">
        <v>0</v>
      </c>
      <c r="K935" s="13" t="s">
        <v>150</v>
      </c>
      <c r="L935" s="13" t="s">
        <v>53</v>
      </c>
      <c r="M935" s="13">
        <v>1</v>
      </c>
      <c r="O935" s="13">
        <v>1</v>
      </c>
      <c r="R935" s="13" t="s">
        <v>73</v>
      </c>
      <c r="S935" s="13" t="s">
        <v>73</v>
      </c>
      <c r="T935" s="13">
        <v>44901</v>
      </c>
      <c r="U935" s="13">
        <v>2958465</v>
      </c>
      <c r="V935" s="13" t="s">
        <v>282</v>
      </c>
      <c r="W935" s="13" t="s">
        <v>145</v>
      </c>
      <c r="Y935" s="13" t="s">
        <v>143</v>
      </c>
      <c r="Z935" s="13">
        <v>7603940</v>
      </c>
      <c r="AA935" s="13">
        <v>2</v>
      </c>
      <c r="AB935" s="13">
        <v>1</v>
      </c>
      <c r="AE935" s="51">
        <f>M935/O935</f>
        <v>1</v>
      </c>
      <c r="AG935" s="6" t="str">
        <f>C935</f>
        <v>90MB1BJ0-C1BAY0</v>
      </c>
      <c r="AH935" s="6" t="str">
        <f>IF($D935&lt;=AH$4,"",IF(AND($D934=AH$4,$D935&gt;AH$4),$F934,AH934))</f>
        <v>59MB1BJB-MB0A02S</v>
      </c>
      <c r="AI935" s="6" t="str">
        <f>IF($D935&lt;=AI$4,"",IF(AND($D934=AI$4,$D935&gt;AI$4),$F934,AI934))</f>
        <v>X670-MBEC-D</v>
      </c>
      <c r="AJ935" s="6" t="str">
        <f>IF($D935&lt;=AJ$4,"",IF(AND($D934=AJ$4,$D935&gt;AJ$4),$F934,AJ934))</f>
        <v/>
      </c>
      <c r="AK935" s="6" t="str">
        <f>IF($D935&lt;=AK$4,"",IF(AND($D934=AK$4,$D935&gt;AK$4),$F934,AK934))</f>
        <v/>
      </c>
      <c r="AL935" s="6" t="str">
        <f>IF($D935&lt;=AL$4,"",IF(AND($D934=AL$4,$D935&gt;AL$4),$F934,AL934))</f>
        <v/>
      </c>
      <c r="AM935" s="6" t="str">
        <f>IF($D935&lt;=AM$4,"",IF(AND($D934=AM$4,$D935&gt;AM$4),$F934,AM934))</f>
        <v/>
      </c>
      <c r="AN935" s="6" t="str">
        <f>IF($D935&lt;=AN$4,"",IF(AND($D934=AN$4,$D935&gt;AN$4),$F934,AN934))</f>
        <v/>
      </c>
      <c r="AO935" s="6" t="str">
        <f>CONCATENATE(AG935," | ",AH935," | ",AI935," | ",AJ935," | ",AK935," | ",AL935," | ",AM935," | ",AN935)</f>
        <v xml:space="preserve">90MB1BJ0-C1BAY0 | 59MB1BJB-MB0A02S | X670-MBEC-D |  |  |  |  | </v>
      </c>
      <c r="AP935" s="6">
        <f>IF(TRIM(H935)="",100,J935)</f>
        <v>100</v>
      </c>
      <c r="AQ935" s="4"/>
      <c r="AR935" s="6" t="b">
        <f>NOT(TRIM(W935)&lt;&gt;"F")</f>
        <v>1</v>
      </c>
      <c r="AS935" s="6" t="str">
        <f>$B935&amp;" | "&amp;$AO935&amp;" | "&amp;IF(TRIM(H935)="","uniq"&amp;ROW(),TRIM(H935))</f>
        <v>461E | 90MB1BJ0-C1BAY0 | 59MB1BJB-MB0A02S | X670-MBEC-D |  |  |  |  |  | uniq935</v>
      </c>
      <c r="AT935" s="63">
        <f>IF(NOT(AR935),IF(TRIM($H935)="","Assembly","Phantom Alt"),VLOOKUP(F935,ZPCS04!B:G,6,0))</f>
        <v>18</v>
      </c>
      <c r="AU935" s="7"/>
      <c r="AV935" s="38">
        <f ca="1">IF(TRIM($W935)="F",OFFSET($A$5,MATCH($AS935,$AS$5:$AS935,0)-1,0),$A935)</f>
        <v>935</v>
      </c>
      <c r="AW935" s="38">
        <f ca="1">IFERROR(OFFSET(ZPCS04!$A$1,MATCH(F935,ZPCS04!B:B,0)-1,0),100)</f>
        <v>2</v>
      </c>
      <c r="AX935" s="7"/>
      <c r="AY935" s="6" t="b">
        <f>SUMIF(AS:AS,AS935,AP:AP)=100</f>
        <v>1</v>
      </c>
      <c r="AZ935" s="6" t="b">
        <f>SUMIF(AS:AS,AS935,AE:AE)/COUNTIF(AS:AS,AS935)=AE935</f>
        <v>1</v>
      </c>
      <c r="BB935" s="38">
        <f ca="1">IF(AT935="Phantom Alt",MATCH($AS935,$AS$5:$AS935,0),IF(OR(OFFSET($AF935,0,8-COUNTBLANK($AG935:$AN935))=$F934,$BE935=$BE934),$BB934,""))</f>
        <v>924</v>
      </c>
      <c r="BC935" s="41"/>
      <c r="BD935" s="55" t="str">
        <f>C935&amp;" | "&amp;F935</f>
        <v>90MB1BJ0-C1BAY0 | 05006-00102100</v>
      </c>
      <c r="BE935" s="55" t="str">
        <f ca="1">C935&amp;" | "&amp;OFFSET($AF935,0,8-COUNTBLANK($AG935:$AN935))</f>
        <v>90MB1BJ0-C1BAY0 | X670-MBEC-D</v>
      </c>
      <c r="BF935" s="57">
        <f ca="1">IFERROR(VLOOKUP($BE935,$BD$5:$BF934,3,0)*$AE935,VLOOKUP($C935,Demanda!$A:$B,2,0)*$AE935)*IF(AT935="Phantom Alt",$BC935,TRUE)</f>
        <v>0</v>
      </c>
      <c r="BG935" s="57">
        <f ca="1">BF935*(AP935/100)</f>
        <v>0</v>
      </c>
      <c r="BH935" s="57">
        <f>SUMIF(Invoice!A:A,F935,Invoice!B:B)</f>
        <v>0</v>
      </c>
      <c r="BI935" s="57">
        <f ca="1">SUMIF(AS:AS,AS935,BG:BG)</f>
        <v>0</v>
      </c>
      <c r="BJ935" s="57">
        <f ca="1">MIN((BI935-SUMIF($AS$5:AS934,AS935,$BJ$5:BJ934)),MAX(0,BH935-SUMIF($F$5:F934,F935,$BJ$5:BJ934)))</f>
        <v>0</v>
      </c>
      <c r="BK935" s="57">
        <f ca="1">(-SUMIF(AS:AS,AS935,BG:BG)+SUMIF(AS:AS,AS935,BJ:BJ))*(AP935=100)*AR935</f>
        <v>0</v>
      </c>
      <c r="BL935" s="57">
        <f ca="1">MAX(0,SUMIF(Invoice!A:A,F935,Invoice!B:B)-SUMIF(F:F,F935,BJ:BJ))*(COUNTIF(F:F,F935)=COUNTIF($F$5:F935,F935))</f>
        <v>0</v>
      </c>
    </row>
    <row r="936" spans="1:64" hidden="1">
      <c r="A936" s="43">
        <v>936</v>
      </c>
      <c r="B936" s="13" t="s">
        <v>147</v>
      </c>
      <c r="C936" s="13" t="s">
        <v>146</v>
      </c>
      <c r="D936" s="13">
        <v>2</v>
      </c>
      <c r="E936" s="13">
        <v>4030</v>
      </c>
      <c r="F936" s="88" t="s">
        <v>2143</v>
      </c>
      <c r="G936" s="71" t="s">
        <v>2144</v>
      </c>
      <c r="H936" s="13">
        <v>1</v>
      </c>
      <c r="I936" s="13" t="s">
        <v>54</v>
      </c>
      <c r="J936" s="28">
        <v>100</v>
      </c>
      <c r="K936" s="13" t="s">
        <v>275</v>
      </c>
      <c r="L936" s="13" t="s">
        <v>290</v>
      </c>
      <c r="M936" s="13">
        <v>1</v>
      </c>
      <c r="N936" s="13">
        <v>1</v>
      </c>
      <c r="O936" s="13">
        <v>1</v>
      </c>
      <c r="P936" s="13">
        <v>2</v>
      </c>
      <c r="Q936" s="13">
        <v>1</v>
      </c>
      <c r="R936" s="13" t="s">
        <v>73</v>
      </c>
      <c r="S936" s="13" t="s">
        <v>73</v>
      </c>
      <c r="T936" s="13">
        <v>44901</v>
      </c>
      <c r="U936" s="13">
        <v>2958465</v>
      </c>
      <c r="V936" s="13" t="s">
        <v>282</v>
      </c>
      <c r="W936" s="13" t="s">
        <v>142</v>
      </c>
      <c r="Y936" s="13" t="s">
        <v>143</v>
      </c>
      <c r="Z936" s="13">
        <v>7589154</v>
      </c>
      <c r="AA936" s="13">
        <v>2</v>
      </c>
      <c r="AB936" s="13">
        <v>1</v>
      </c>
      <c r="AE936" s="51">
        <f>M936/O936</f>
        <v>1</v>
      </c>
      <c r="AG936" s="6" t="str">
        <f>C936</f>
        <v>90MB1BJ0-C1BAY0</v>
      </c>
      <c r="AH936" s="6" t="str">
        <f>IF($D936&lt;=AH$4,"",IF(AND($D935=AH$4,$D936&gt;AH$4),$F935,AH935))</f>
        <v>59MB1BJB-MB0A02S</v>
      </c>
      <c r="AI936" s="6" t="str">
        <f>IF($D936&lt;=AI$4,"",IF(AND($D935=AI$4,$D936&gt;AI$4),$F935,AI935))</f>
        <v/>
      </c>
      <c r="AJ936" s="6" t="str">
        <f>IF($D936&lt;=AJ$4,"",IF(AND($D935=AJ$4,$D936&gt;AJ$4),$F935,AJ935))</f>
        <v/>
      </c>
      <c r="AK936" s="6" t="str">
        <f>IF($D936&lt;=AK$4,"",IF(AND($D935=AK$4,$D936&gt;AK$4),$F935,AK935))</f>
        <v/>
      </c>
      <c r="AL936" s="6" t="str">
        <f>IF($D936&lt;=AL$4,"",IF(AND($D935=AL$4,$D936&gt;AL$4),$F935,AL935))</f>
        <v/>
      </c>
      <c r="AM936" s="6" t="str">
        <f>IF($D936&lt;=AM$4,"",IF(AND($D935=AM$4,$D936&gt;AM$4),$F935,AM935))</f>
        <v/>
      </c>
      <c r="AN936" s="6" t="str">
        <f>IF($D936&lt;=AN$4,"",IF(AND($D935=AN$4,$D936&gt;AN$4),$F935,AN935))</f>
        <v/>
      </c>
      <c r="AO936" s="6" t="str">
        <f>CONCATENATE(AG936," | ",AH936," | ",AI936," | ",AJ936," | ",AK936," | ",AL936," | ",AM936," | ",AN936)</f>
        <v xml:space="preserve">90MB1BJ0-C1BAY0 | 59MB1BJB-MB0A02S |  |  |  |  |  | </v>
      </c>
      <c r="AP936" s="6">
        <f>IF(TRIM(H936)="",100,J936)</f>
        <v>100</v>
      </c>
      <c r="AQ936" s="4"/>
      <c r="AR936" s="6" t="b">
        <f>NOT(TRIM(W936)&lt;&gt;"F")</f>
        <v>0</v>
      </c>
      <c r="AS936" s="6" t="str">
        <f>$B936&amp;" | "&amp;$AO936&amp;" | "&amp;IF(TRIM(H936)="","uniq"&amp;ROW(),TRIM(H936))</f>
        <v>461E | 90MB1BJ0-C1BAY0 | 59MB1BJB-MB0A02S |  |  |  |  |  |  | 1</v>
      </c>
      <c r="AT936" s="63" t="str">
        <f>IF(NOT(AR936),IF(TRIM($H936)="","Assembly","Phantom Alt"),VLOOKUP(F936,ZPCS04!B:G,6,0))</f>
        <v>Phantom Alt</v>
      </c>
      <c r="AU936" s="7"/>
      <c r="AV936" s="38">
        <f ca="1">IF(TRIM($W936)="F",OFFSET($A$5,MATCH($AS936,$AS$5:$AS936,0)-1,0),$A936)</f>
        <v>936</v>
      </c>
      <c r="AW936" s="38">
        <f ca="1">IFERROR(OFFSET(ZPCS04!$A$1,MATCH(F936,ZPCS04!B:B,0)-1,0),100)</f>
        <v>100</v>
      </c>
      <c r="AX936" s="7"/>
      <c r="AY936" s="6" t="b">
        <f>SUMIF(AS:AS,AS936,AP:AP)=100</f>
        <v>1</v>
      </c>
      <c r="AZ936" s="6" t="b">
        <f>SUMIF(AS:AS,AS936,AE:AE)/COUNTIF(AS:AS,AS936)=AE936</f>
        <v>1</v>
      </c>
      <c r="BB936" s="38">
        <f ca="1">IF(AT936="Phantom Alt",MATCH($AS936,$AS$5:$AS936,0),IF(OR(OFFSET($AF936,0,8-COUNTBLANK($AG936:$AN936))=$F935,$BE936=$BE935),$BB935,""))</f>
        <v>932</v>
      </c>
      <c r="BC936" s="41">
        <v>1</v>
      </c>
      <c r="BD936" s="55" t="str">
        <f>C936&amp;" | "&amp;F936</f>
        <v>90MB1BJ0-C1BAY0 | X670-FLBK-BUTON-A</v>
      </c>
      <c r="BE936" s="55" t="str">
        <f ca="1">C936&amp;" | "&amp;OFFSET($AF936,0,8-COUNTBLANK($AG936:$AN936))</f>
        <v>90MB1BJ0-C1BAY0 | 59MB1BJB-MB0A02S</v>
      </c>
      <c r="BF936" s="57">
        <f ca="1">IFERROR(VLOOKUP($BE936,$BD$5:$BF935,3,0)*$AE936,VLOOKUP($C936,Demanda!$A:$B,2,0)*$AE936)*IF(AT936="Phantom Alt",$BC936,TRUE)</f>
        <v>1000</v>
      </c>
      <c r="BG936" s="57">
        <f ca="1">BF936*(AP936/100)</f>
        <v>1000</v>
      </c>
      <c r="BH936" s="57">
        <f>SUMIF(Invoice!A:A,F936,Invoice!B:B)</f>
        <v>0</v>
      </c>
      <c r="BI936" s="57">
        <f ca="1">SUMIF(AS:AS,AS936,BG:BG)</f>
        <v>1000</v>
      </c>
      <c r="BJ936" s="57">
        <f ca="1">MIN((BI936-SUMIF($AS$5:AS935,AS936,$BJ$5:BJ935)),MAX(0,BH936-SUMIF($F$5:F935,F936,$BJ$5:BJ935)))</f>
        <v>0</v>
      </c>
      <c r="BK936" s="57">
        <f ca="1">(-SUMIF(AS:AS,AS936,BG:BG)+SUMIF(AS:AS,AS936,BJ:BJ))*(AP936=100)*AR936</f>
        <v>0</v>
      </c>
      <c r="BL936" s="57">
        <f ca="1">MAX(0,SUMIF(Invoice!A:A,F936,Invoice!B:B)-SUMIF(F:F,F936,BJ:BJ))*(COUNTIF(F:F,F936)=COUNTIF($F$5:F936,F936))</f>
        <v>0</v>
      </c>
    </row>
    <row r="937" spans="1:64" hidden="1">
      <c r="A937" s="43">
        <v>937</v>
      </c>
      <c r="B937" s="13" t="s">
        <v>147</v>
      </c>
      <c r="C937" s="13" t="s">
        <v>146</v>
      </c>
      <c r="D937" s="13">
        <v>3</v>
      </c>
      <c r="E937" s="13">
        <v>30</v>
      </c>
      <c r="F937" s="88" t="s">
        <v>2145</v>
      </c>
      <c r="G937" s="71" t="s">
        <v>2146</v>
      </c>
      <c r="I937" s="13" t="s">
        <v>54</v>
      </c>
      <c r="J937" s="28">
        <v>0</v>
      </c>
      <c r="K937" s="13" t="s">
        <v>150</v>
      </c>
      <c r="L937" s="13" t="s">
        <v>53</v>
      </c>
      <c r="M937" s="13">
        <v>1</v>
      </c>
      <c r="N937" s="13">
        <v>1</v>
      </c>
      <c r="O937" s="13">
        <v>1</v>
      </c>
      <c r="R937" s="13" t="s">
        <v>73</v>
      </c>
      <c r="S937" s="13" t="s">
        <v>73</v>
      </c>
      <c r="T937" s="13">
        <v>44901</v>
      </c>
      <c r="U937" s="13">
        <v>2958465</v>
      </c>
      <c r="V937" s="13" t="s">
        <v>282</v>
      </c>
      <c r="W937" s="13" t="s">
        <v>145</v>
      </c>
      <c r="Y937" s="13" t="s">
        <v>143</v>
      </c>
      <c r="Z937" s="13">
        <v>7603941</v>
      </c>
      <c r="AA937" s="13">
        <v>2</v>
      </c>
      <c r="AB937" s="13">
        <v>1</v>
      </c>
      <c r="AE937" s="51">
        <f>M937/O937</f>
        <v>1</v>
      </c>
      <c r="AG937" s="6" t="str">
        <f>C937</f>
        <v>90MB1BJ0-C1BAY0</v>
      </c>
      <c r="AH937" s="6" t="str">
        <f>IF($D937&lt;=AH$4,"",IF(AND($D936=AH$4,$D937&gt;AH$4),$F936,AH936))</f>
        <v>59MB1BJB-MB0A02S</v>
      </c>
      <c r="AI937" s="6" t="str">
        <f>IF($D937&lt;=AI$4,"",IF(AND($D936=AI$4,$D937&gt;AI$4),$F936,AI936))</f>
        <v>X670-FLBK-BUTON-A</v>
      </c>
      <c r="AJ937" s="6" t="str">
        <f>IF($D937&lt;=AJ$4,"",IF(AND($D936=AJ$4,$D937&gt;AJ$4),$F936,AJ936))</f>
        <v/>
      </c>
      <c r="AK937" s="6" t="str">
        <f>IF($D937&lt;=AK$4,"",IF(AND($D936=AK$4,$D937&gt;AK$4),$F936,AK936))</f>
        <v/>
      </c>
      <c r="AL937" s="6" t="str">
        <f>IF($D937&lt;=AL$4,"",IF(AND($D936=AL$4,$D937&gt;AL$4),$F936,AL936))</f>
        <v/>
      </c>
      <c r="AM937" s="6" t="str">
        <f>IF($D937&lt;=AM$4,"",IF(AND($D936=AM$4,$D937&gt;AM$4),$F936,AM936))</f>
        <v/>
      </c>
      <c r="AN937" s="6" t="str">
        <f>IF($D937&lt;=AN$4,"",IF(AND($D936=AN$4,$D937&gt;AN$4),$F936,AN936))</f>
        <v/>
      </c>
      <c r="AO937" s="6" t="str">
        <f>CONCATENATE(AG937," | ",AH937," | ",AI937," | ",AJ937," | ",AK937," | ",AL937," | ",AM937," | ",AN937)</f>
        <v xml:space="preserve">90MB1BJ0-C1BAY0 | 59MB1BJB-MB0A02S | X670-FLBK-BUTON-A |  |  |  |  | </v>
      </c>
      <c r="AP937" s="6">
        <f>IF(TRIM(H937)="",100,J937)</f>
        <v>100</v>
      </c>
      <c r="AQ937" s="4"/>
      <c r="AR937" s="6" t="b">
        <f>NOT(TRIM(W937)&lt;&gt;"F")</f>
        <v>1</v>
      </c>
      <c r="AS937" s="6" t="str">
        <f>$B937&amp;" | "&amp;$AO937&amp;" | "&amp;IF(TRIM(H937)="","uniq"&amp;ROW(),TRIM(H937))</f>
        <v>461E | 90MB1BJ0-C1BAY0 | 59MB1BJB-MB0A02S | X670-FLBK-BUTON-A |  |  |  |  |  | uniq937</v>
      </c>
      <c r="AT937" s="63">
        <f>IF(NOT(AR937),IF(TRIM($H937)="","Assembly","Phantom Alt"),VLOOKUP(F937,ZPCS04!B:G,6,0))</f>
        <v>302</v>
      </c>
      <c r="AU937" s="7"/>
      <c r="AV937" s="38">
        <f ca="1">IF(TRIM($W937)="F",OFFSET($A$5,MATCH($AS937,$AS$5:$AS937,0)-1,0),$A937)</f>
        <v>937</v>
      </c>
      <c r="AW937" s="38">
        <f ca="1">IFERROR(OFFSET(ZPCS04!$A$1,MATCH(F937,ZPCS04!B:B,0)-1,0),100)</f>
        <v>1.9999999900000001</v>
      </c>
      <c r="AX937" s="7"/>
      <c r="AY937" s="6" t="b">
        <f>SUMIF(AS:AS,AS937,AP:AP)=100</f>
        <v>1</v>
      </c>
      <c r="AZ937" s="6" t="b">
        <f>SUMIF(AS:AS,AS937,AE:AE)/COUNTIF(AS:AS,AS937)=AE937</f>
        <v>1</v>
      </c>
      <c r="BB937" s="38">
        <f ca="1">IF(AT937="Phantom Alt",MATCH($AS937,$AS$5:$AS937,0),IF(OR(OFFSET($AF937,0,8-COUNTBLANK($AG937:$AN937))=$F936,$BE937=$BE936),$BB936,""))</f>
        <v>932</v>
      </c>
      <c r="BC937" s="41"/>
      <c r="BD937" s="55" t="str">
        <f>C937&amp;" | "&amp;F937</f>
        <v>90MB1BJ0-C1BAY0 | 05002-00060400</v>
      </c>
      <c r="BE937" s="55" t="str">
        <f ca="1">C937&amp;" | "&amp;OFFSET($AF937,0,8-COUNTBLANK($AG937:$AN937))</f>
        <v>90MB1BJ0-C1BAY0 | X670-FLBK-BUTON-A</v>
      </c>
      <c r="BF937" s="57">
        <f ca="1">IFERROR(VLOOKUP($BE937,$BD$5:$BF936,3,0)*$AE937,VLOOKUP($C937,Demanda!$A:$B,2,0)*$AE937)*IF(AT937="Phantom Alt",$BC937,TRUE)</f>
        <v>1000</v>
      </c>
      <c r="BG937" s="57">
        <f ca="1">BF937*(AP937/100)</f>
        <v>1000</v>
      </c>
      <c r="BH937" s="57">
        <f>SUMIF(Invoice!A:A,F937,Invoice!B:B)</f>
        <v>1000</v>
      </c>
      <c r="BI937" s="57">
        <f ca="1">SUMIF(AS:AS,AS937,BG:BG)</f>
        <v>1000</v>
      </c>
      <c r="BJ937" s="57">
        <f ca="1">MIN((BI937-SUMIF($AS$5:AS936,AS937,$BJ$5:BJ936)),MAX(0,BH937-SUMIF($F$5:F936,F937,$BJ$5:BJ936)))</f>
        <v>1000</v>
      </c>
      <c r="BK937" s="57">
        <f ca="1">(-SUMIF(AS:AS,AS937,BG:BG)+SUMIF(AS:AS,AS937,BJ:BJ))*(AP937=100)*AR937</f>
        <v>0</v>
      </c>
      <c r="BL937" s="57">
        <f ca="1">MAX(0,SUMIF(Invoice!A:A,F937,Invoice!B:B)-SUMIF(F:F,F937,BJ:BJ))*(COUNTIF(F:F,F937)=COUNTIF($F$5:F937,F937))</f>
        <v>0</v>
      </c>
    </row>
    <row r="938" spans="1:64" hidden="1">
      <c r="A938" s="43">
        <v>938</v>
      </c>
      <c r="B938" s="13" t="s">
        <v>147</v>
      </c>
      <c r="C938" s="13" t="s">
        <v>146</v>
      </c>
      <c r="D938" s="13">
        <v>2</v>
      </c>
      <c r="E938" s="13">
        <v>4030</v>
      </c>
      <c r="F938" s="88" t="s">
        <v>2147</v>
      </c>
      <c r="G938" s="71" t="s">
        <v>2144</v>
      </c>
      <c r="H938" s="13">
        <v>1</v>
      </c>
      <c r="I938" s="13" t="s">
        <v>55</v>
      </c>
      <c r="J938" s="28">
        <v>0</v>
      </c>
      <c r="K938" s="13" t="s">
        <v>275</v>
      </c>
      <c r="L938" s="13" t="s">
        <v>290</v>
      </c>
      <c r="M938" s="13">
        <v>1</v>
      </c>
      <c r="O938" s="13">
        <v>1</v>
      </c>
      <c r="P938" s="13">
        <v>2</v>
      </c>
      <c r="Q938" s="13">
        <v>2</v>
      </c>
      <c r="R938" s="13" t="s">
        <v>73</v>
      </c>
      <c r="S938" s="13" t="s">
        <v>73</v>
      </c>
      <c r="T938" s="13">
        <v>44901</v>
      </c>
      <c r="U938" s="13">
        <v>2958465</v>
      </c>
      <c r="V938" s="13" t="s">
        <v>282</v>
      </c>
      <c r="W938" s="13" t="s">
        <v>142</v>
      </c>
      <c r="Y938" s="13" t="s">
        <v>143</v>
      </c>
      <c r="Z938" s="13">
        <v>7589154</v>
      </c>
      <c r="AA938" s="13">
        <v>4</v>
      </c>
      <c r="AB938" s="13">
        <v>2</v>
      </c>
      <c r="AE938" s="51">
        <f>M938/O938</f>
        <v>1</v>
      </c>
      <c r="AG938" s="6" t="str">
        <f>C938</f>
        <v>90MB1BJ0-C1BAY0</v>
      </c>
      <c r="AH938" s="6" t="str">
        <f>IF($D938&lt;=AH$4,"",IF(AND($D937=AH$4,$D938&gt;AH$4),$F937,AH937))</f>
        <v>59MB1BJB-MB0A02S</v>
      </c>
      <c r="AI938" s="6" t="str">
        <f>IF($D938&lt;=AI$4,"",IF(AND($D937=AI$4,$D938&gt;AI$4),$F937,AI937))</f>
        <v/>
      </c>
      <c r="AJ938" s="6" t="str">
        <f>IF($D938&lt;=AJ$4,"",IF(AND($D937=AJ$4,$D938&gt;AJ$4),$F937,AJ937))</f>
        <v/>
      </c>
      <c r="AK938" s="6" t="str">
        <f>IF($D938&lt;=AK$4,"",IF(AND($D937=AK$4,$D938&gt;AK$4),$F937,AK937))</f>
        <v/>
      </c>
      <c r="AL938" s="6" t="str">
        <f>IF($D938&lt;=AL$4,"",IF(AND($D937=AL$4,$D938&gt;AL$4),$F937,AL937))</f>
        <v/>
      </c>
      <c r="AM938" s="6" t="str">
        <f>IF($D938&lt;=AM$4,"",IF(AND($D937=AM$4,$D938&gt;AM$4),$F937,AM937))</f>
        <v/>
      </c>
      <c r="AN938" s="6" t="str">
        <f>IF($D938&lt;=AN$4,"",IF(AND($D937=AN$4,$D938&gt;AN$4),$F937,AN937))</f>
        <v/>
      </c>
      <c r="AO938" s="6" t="str">
        <f>CONCATENATE(AG938," | ",AH938," | ",AI938," | ",AJ938," | ",AK938," | ",AL938," | ",AM938," | ",AN938)</f>
        <v xml:space="preserve">90MB1BJ0-C1BAY0 | 59MB1BJB-MB0A02S |  |  |  |  |  | </v>
      </c>
      <c r="AP938" s="6">
        <f>IF(TRIM(H938)="",100,J938)</f>
        <v>0</v>
      </c>
      <c r="AQ938" s="4"/>
      <c r="AR938" s="6" t="b">
        <f>NOT(TRIM(W938)&lt;&gt;"F")</f>
        <v>0</v>
      </c>
      <c r="AS938" s="6" t="str">
        <f>$B938&amp;" | "&amp;$AO938&amp;" | "&amp;IF(TRIM(H938)="","uniq"&amp;ROW(),TRIM(H938))</f>
        <v>461E | 90MB1BJ0-C1BAY0 | 59MB1BJB-MB0A02S |  |  |  |  |  |  | 1</v>
      </c>
      <c r="AT938" s="63" t="str">
        <f>IF(NOT(AR938),IF(TRIM($H938)="","Assembly","Phantom Alt"),VLOOKUP(F938,ZPCS04!B:G,6,0))</f>
        <v>Phantom Alt</v>
      </c>
      <c r="AU938" s="7"/>
      <c r="AV938" s="38">
        <f ca="1">IF(TRIM($W938)="F",OFFSET($A$5,MATCH($AS938,$AS$5:$AS938,0)-1,0),$A938)</f>
        <v>938</v>
      </c>
      <c r="AW938" s="38">
        <f ca="1">IFERROR(OFFSET(ZPCS04!$A$1,MATCH(F938,ZPCS04!B:B,0)-1,0),100)</f>
        <v>100</v>
      </c>
      <c r="AX938" s="7"/>
      <c r="AY938" s="6" t="b">
        <f>SUMIF(AS:AS,AS938,AP:AP)=100</f>
        <v>1</v>
      </c>
      <c r="AZ938" s="6" t="b">
        <f>SUMIF(AS:AS,AS938,AE:AE)/COUNTIF(AS:AS,AS938)=AE938</f>
        <v>1</v>
      </c>
      <c r="BB938" s="38">
        <f ca="1">IF(AT938="Phantom Alt",MATCH($AS938,$AS$5:$AS938,0),IF(OR(OFFSET($AF938,0,8-COUNTBLANK($AG938:$AN938))=$F937,$BE938=$BE937),$BB937,""))</f>
        <v>932</v>
      </c>
      <c r="BC938" s="41"/>
      <c r="BD938" s="55" t="str">
        <f>C938&amp;" | "&amp;F938</f>
        <v>90MB1BJ0-C1BAY0 | X670-FLBK-BUTON-B</v>
      </c>
      <c r="BE938" s="55" t="str">
        <f ca="1">C938&amp;" | "&amp;OFFSET($AF938,0,8-COUNTBLANK($AG938:$AN938))</f>
        <v>90MB1BJ0-C1BAY0 | 59MB1BJB-MB0A02S</v>
      </c>
      <c r="BF938" s="57">
        <f ca="1">IFERROR(VLOOKUP($BE938,$BD$5:$BF937,3,0)*$AE938,VLOOKUP($C938,Demanda!$A:$B,2,0)*$AE938)*IF(AT938="Phantom Alt",$BC938,TRUE)</f>
        <v>0</v>
      </c>
      <c r="BG938" s="57">
        <f ca="1">BF938*(AP938/100)</f>
        <v>0</v>
      </c>
      <c r="BH938" s="57">
        <f>SUMIF(Invoice!A:A,F938,Invoice!B:B)</f>
        <v>0</v>
      </c>
      <c r="BI938" s="57">
        <f ca="1">SUMIF(AS:AS,AS938,BG:BG)</f>
        <v>1000</v>
      </c>
      <c r="BJ938" s="57">
        <f ca="1">MIN((BI938-SUMIF($AS$5:AS937,AS938,$BJ$5:BJ937)),MAX(0,BH938-SUMIF($F$5:F937,F938,$BJ$5:BJ937)))</f>
        <v>0</v>
      </c>
      <c r="BK938" s="57">
        <f ca="1">(-SUMIF(AS:AS,AS938,BG:BG)+SUMIF(AS:AS,AS938,BJ:BJ))*(AP938=100)*AR938</f>
        <v>0</v>
      </c>
      <c r="BL938" s="57">
        <f ca="1">MAX(0,SUMIF(Invoice!A:A,F938,Invoice!B:B)-SUMIF(F:F,F938,BJ:BJ))*(COUNTIF(F:F,F938)=COUNTIF($F$5:F938,F938))</f>
        <v>0</v>
      </c>
    </row>
    <row r="939" spans="1:64" hidden="1">
      <c r="A939" s="43">
        <v>939</v>
      </c>
      <c r="B939" s="13" t="s">
        <v>147</v>
      </c>
      <c r="C939" s="13" t="s">
        <v>146</v>
      </c>
      <c r="D939" s="13">
        <v>3</v>
      </c>
      <c r="E939" s="13">
        <v>30</v>
      </c>
      <c r="F939" s="88" t="s">
        <v>2148</v>
      </c>
      <c r="G939" s="71" t="s">
        <v>2149</v>
      </c>
      <c r="I939" s="13" t="s">
        <v>55</v>
      </c>
      <c r="J939" s="28">
        <v>0</v>
      </c>
      <c r="K939" s="13" t="s">
        <v>150</v>
      </c>
      <c r="L939" s="13" t="s">
        <v>53</v>
      </c>
      <c r="M939" s="13">
        <v>1</v>
      </c>
      <c r="O939" s="13">
        <v>1</v>
      </c>
      <c r="R939" s="13" t="s">
        <v>73</v>
      </c>
      <c r="S939" s="13" t="s">
        <v>73</v>
      </c>
      <c r="T939" s="13">
        <v>44901</v>
      </c>
      <c r="U939" s="13">
        <v>2958465</v>
      </c>
      <c r="V939" s="13" t="s">
        <v>282</v>
      </c>
      <c r="W939" s="13" t="s">
        <v>145</v>
      </c>
      <c r="Y939" s="13" t="s">
        <v>143</v>
      </c>
      <c r="Z939" s="13">
        <v>7603942</v>
      </c>
      <c r="AA939" s="13">
        <v>2</v>
      </c>
      <c r="AB939" s="13">
        <v>1</v>
      </c>
      <c r="AE939" s="51">
        <f>M939/O939</f>
        <v>1</v>
      </c>
      <c r="AG939" s="6" t="str">
        <f>C939</f>
        <v>90MB1BJ0-C1BAY0</v>
      </c>
      <c r="AH939" s="6" t="str">
        <f>IF($D939&lt;=AH$4,"",IF(AND($D938=AH$4,$D939&gt;AH$4),$F938,AH938))</f>
        <v>59MB1BJB-MB0A02S</v>
      </c>
      <c r="AI939" s="6" t="str">
        <f>IF($D939&lt;=AI$4,"",IF(AND($D938=AI$4,$D939&gt;AI$4),$F938,AI938))</f>
        <v>X670-FLBK-BUTON-B</v>
      </c>
      <c r="AJ939" s="6" t="str">
        <f>IF($D939&lt;=AJ$4,"",IF(AND($D938=AJ$4,$D939&gt;AJ$4),$F938,AJ938))</f>
        <v/>
      </c>
      <c r="AK939" s="6" t="str">
        <f>IF($D939&lt;=AK$4,"",IF(AND($D938=AK$4,$D939&gt;AK$4),$F938,AK938))</f>
        <v/>
      </c>
      <c r="AL939" s="6" t="str">
        <f>IF($D939&lt;=AL$4,"",IF(AND($D938=AL$4,$D939&gt;AL$4),$F938,AL938))</f>
        <v/>
      </c>
      <c r="AM939" s="6" t="str">
        <f>IF($D939&lt;=AM$4,"",IF(AND($D938=AM$4,$D939&gt;AM$4),$F938,AM938))</f>
        <v/>
      </c>
      <c r="AN939" s="6" t="str">
        <f>IF($D939&lt;=AN$4,"",IF(AND($D938=AN$4,$D939&gt;AN$4),$F938,AN938))</f>
        <v/>
      </c>
      <c r="AO939" s="6" t="str">
        <f>CONCATENATE(AG939," | ",AH939," | ",AI939," | ",AJ939," | ",AK939," | ",AL939," | ",AM939," | ",AN939)</f>
        <v xml:space="preserve">90MB1BJ0-C1BAY0 | 59MB1BJB-MB0A02S | X670-FLBK-BUTON-B |  |  |  |  | </v>
      </c>
      <c r="AP939" s="6">
        <f>IF(TRIM(H939)="",100,J939)</f>
        <v>100</v>
      </c>
      <c r="AQ939" s="4"/>
      <c r="AR939" s="6" t="b">
        <f>NOT(TRIM(W939)&lt;&gt;"F")</f>
        <v>1</v>
      </c>
      <c r="AS939" s="6" t="str">
        <f>$B939&amp;" | "&amp;$AO939&amp;" | "&amp;IF(TRIM(H939)="","uniq"&amp;ROW(),TRIM(H939))</f>
        <v>461E | 90MB1BJ0-C1BAY0 | 59MB1BJB-MB0A02S | X670-FLBK-BUTON-B |  |  |  |  |  | uniq939</v>
      </c>
      <c r="AT939" s="63">
        <f>IF(NOT(AR939),IF(TRIM($H939)="","Assembly","Phantom Alt"),VLOOKUP(F939,ZPCS04!B:G,6,0))</f>
        <v>302</v>
      </c>
      <c r="AU939" s="7"/>
      <c r="AV939" s="38">
        <f ca="1">IF(TRIM($W939)="F",OFFSET($A$5,MATCH($AS939,$AS$5:$AS939,0)-1,0),$A939)</f>
        <v>939</v>
      </c>
      <c r="AW939" s="38">
        <f ca="1">IFERROR(OFFSET(ZPCS04!$A$1,MATCH(F939,ZPCS04!B:B,0)-1,0),100)</f>
        <v>2</v>
      </c>
      <c r="AX939" s="7"/>
      <c r="AY939" s="6" t="b">
        <f>SUMIF(AS:AS,AS939,AP:AP)=100</f>
        <v>1</v>
      </c>
      <c r="AZ939" s="6" t="b">
        <f>SUMIF(AS:AS,AS939,AE:AE)/COUNTIF(AS:AS,AS939)=AE939</f>
        <v>1</v>
      </c>
      <c r="BB939" s="38">
        <f ca="1">IF(AT939="Phantom Alt",MATCH($AS939,$AS$5:$AS939,0),IF(OR(OFFSET($AF939,0,8-COUNTBLANK($AG939:$AN939))=$F938,$BE939=$BE938),$BB938,""))</f>
        <v>932</v>
      </c>
      <c r="BC939" s="41"/>
      <c r="BD939" s="55" t="str">
        <f>C939&amp;" | "&amp;F939</f>
        <v>90MB1BJ0-C1BAY0 | 05002-00060000</v>
      </c>
      <c r="BE939" s="55" t="str">
        <f ca="1">C939&amp;" | "&amp;OFFSET($AF939,0,8-COUNTBLANK($AG939:$AN939))</f>
        <v>90MB1BJ0-C1BAY0 | X670-FLBK-BUTON-B</v>
      </c>
      <c r="BF939" s="57">
        <f ca="1">IFERROR(VLOOKUP($BE939,$BD$5:$BF938,3,0)*$AE939,VLOOKUP($C939,Demanda!$A:$B,2,0)*$AE939)*IF(AT939="Phantom Alt",$BC939,TRUE)</f>
        <v>0</v>
      </c>
      <c r="BG939" s="57">
        <f ca="1">BF939*(AP939/100)</f>
        <v>0</v>
      </c>
      <c r="BH939" s="57">
        <f>SUMIF(Invoice!A:A,F939,Invoice!B:B)</f>
        <v>0</v>
      </c>
      <c r="BI939" s="57">
        <f ca="1">SUMIF(AS:AS,AS939,BG:BG)</f>
        <v>0</v>
      </c>
      <c r="BJ939" s="57">
        <f ca="1">MIN((BI939-SUMIF($AS$5:AS938,AS939,$BJ$5:BJ938)),MAX(0,BH939-SUMIF($F$5:F938,F939,$BJ$5:BJ938)))</f>
        <v>0</v>
      </c>
      <c r="BK939" s="57">
        <f ca="1">(-SUMIF(AS:AS,AS939,BG:BG)+SUMIF(AS:AS,AS939,BJ:BJ))*(AP939=100)*AR939</f>
        <v>0</v>
      </c>
      <c r="BL939" s="57">
        <f ca="1">MAX(0,SUMIF(Invoice!A:A,F939,Invoice!B:B)-SUMIF(F:F,F939,BJ:BJ))*(COUNTIF(F:F,F939)=COUNTIF($F$5:F939,F939))</f>
        <v>0</v>
      </c>
    </row>
    <row r="940" spans="1:64" hidden="1">
      <c r="A940" s="43">
        <v>940</v>
      </c>
      <c r="B940" s="13" t="s">
        <v>147</v>
      </c>
      <c r="C940" s="13" t="s">
        <v>146</v>
      </c>
      <c r="D940" s="13">
        <v>2</v>
      </c>
      <c r="E940" s="13">
        <v>4030</v>
      </c>
      <c r="F940" s="88" t="s">
        <v>2150</v>
      </c>
      <c r="G940" s="71" t="s">
        <v>2144</v>
      </c>
      <c r="H940" s="13">
        <v>1</v>
      </c>
      <c r="I940" s="13" t="s">
        <v>55</v>
      </c>
      <c r="J940" s="28">
        <v>0</v>
      </c>
      <c r="K940" s="13" t="s">
        <v>275</v>
      </c>
      <c r="L940" s="13" t="s">
        <v>290</v>
      </c>
      <c r="M940" s="13">
        <v>1</v>
      </c>
      <c r="O940" s="13">
        <v>1</v>
      </c>
      <c r="P940" s="13">
        <v>2</v>
      </c>
      <c r="Q940" s="13">
        <v>3</v>
      </c>
      <c r="R940" s="13" t="s">
        <v>73</v>
      </c>
      <c r="S940" s="13" t="s">
        <v>73</v>
      </c>
      <c r="T940" s="13">
        <v>44901</v>
      </c>
      <c r="U940" s="13">
        <v>2958465</v>
      </c>
      <c r="V940" s="13" t="s">
        <v>282</v>
      </c>
      <c r="W940" s="13" t="s">
        <v>142</v>
      </c>
      <c r="Y940" s="13" t="s">
        <v>143</v>
      </c>
      <c r="Z940" s="13">
        <v>7589154</v>
      </c>
      <c r="AA940" s="13">
        <v>6</v>
      </c>
      <c r="AB940" s="13">
        <v>3</v>
      </c>
      <c r="AE940" s="51">
        <f>M940/O940</f>
        <v>1</v>
      </c>
      <c r="AG940" s="6" t="str">
        <f>C940</f>
        <v>90MB1BJ0-C1BAY0</v>
      </c>
      <c r="AH940" s="6" t="str">
        <f>IF($D940&lt;=AH$4,"",IF(AND($D939=AH$4,$D940&gt;AH$4),$F939,AH939))</f>
        <v>59MB1BJB-MB0A02S</v>
      </c>
      <c r="AI940" s="6" t="str">
        <f>IF($D940&lt;=AI$4,"",IF(AND($D939=AI$4,$D940&gt;AI$4),$F939,AI939))</f>
        <v/>
      </c>
      <c r="AJ940" s="6" t="str">
        <f>IF($D940&lt;=AJ$4,"",IF(AND($D939=AJ$4,$D940&gt;AJ$4),$F939,AJ939))</f>
        <v/>
      </c>
      <c r="AK940" s="6" t="str">
        <f>IF($D940&lt;=AK$4,"",IF(AND($D939=AK$4,$D940&gt;AK$4),$F939,AK939))</f>
        <v/>
      </c>
      <c r="AL940" s="6" t="str">
        <f>IF($D940&lt;=AL$4,"",IF(AND($D939=AL$4,$D940&gt;AL$4),$F939,AL939))</f>
        <v/>
      </c>
      <c r="AM940" s="6" t="str">
        <f>IF($D940&lt;=AM$4,"",IF(AND($D939=AM$4,$D940&gt;AM$4),$F939,AM939))</f>
        <v/>
      </c>
      <c r="AN940" s="6" t="str">
        <f>IF($D940&lt;=AN$4,"",IF(AND($D939=AN$4,$D940&gt;AN$4),$F939,AN939))</f>
        <v/>
      </c>
      <c r="AO940" s="6" t="str">
        <f>CONCATENATE(AG940," | ",AH940," | ",AI940," | ",AJ940," | ",AK940," | ",AL940," | ",AM940," | ",AN940)</f>
        <v xml:space="preserve">90MB1BJ0-C1BAY0 | 59MB1BJB-MB0A02S |  |  |  |  |  | </v>
      </c>
      <c r="AP940" s="6">
        <f>IF(TRIM(H940)="",100,J940)</f>
        <v>0</v>
      </c>
      <c r="AQ940" s="4"/>
      <c r="AR940" s="6" t="b">
        <f>NOT(TRIM(W940)&lt;&gt;"F")</f>
        <v>0</v>
      </c>
      <c r="AS940" s="6" t="str">
        <f>$B940&amp;" | "&amp;$AO940&amp;" | "&amp;IF(TRIM(H940)="","uniq"&amp;ROW(),TRIM(H940))</f>
        <v>461E | 90MB1BJ0-C1BAY0 | 59MB1BJB-MB0A02S |  |  |  |  |  |  | 1</v>
      </c>
      <c r="AT940" s="63" t="str">
        <f>IF(NOT(AR940),IF(TRIM($H940)="","Assembly","Phantom Alt"),VLOOKUP(F940,ZPCS04!B:G,6,0))</f>
        <v>Phantom Alt</v>
      </c>
      <c r="AU940" s="7"/>
      <c r="AV940" s="38">
        <f ca="1">IF(TRIM($W940)="F",OFFSET($A$5,MATCH($AS940,$AS$5:$AS940,0)-1,0),$A940)</f>
        <v>940</v>
      </c>
      <c r="AW940" s="38">
        <f ca="1">IFERROR(OFFSET(ZPCS04!$A$1,MATCH(F940,ZPCS04!B:B,0)-1,0),100)</f>
        <v>100</v>
      </c>
      <c r="AX940" s="7"/>
      <c r="AY940" s="6" t="b">
        <f>SUMIF(AS:AS,AS940,AP:AP)=100</f>
        <v>1</v>
      </c>
      <c r="AZ940" s="6" t="b">
        <f>SUMIF(AS:AS,AS940,AE:AE)/COUNTIF(AS:AS,AS940)=AE940</f>
        <v>1</v>
      </c>
      <c r="BB940" s="38">
        <f ca="1">IF(AT940="Phantom Alt",MATCH($AS940,$AS$5:$AS940,0),IF(OR(OFFSET($AF940,0,8-COUNTBLANK($AG940:$AN940))=$F939,$BE940=$BE939),$BB939,""))</f>
        <v>932</v>
      </c>
      <c r="BC940" s="41"/>
      <c r="BD940" s="55" t="str">
        <f>C940&amp;" | "&amp;F940</f>
        <v>90MB1BJ0-C1BAY0 | X670-FLBK-BUTON-C</v>
      </c>
      <c r="BE940" s="55" t="str">
        <f ca="1">C940&amp;" | "&amp;OFFSET($AF940,0,8-COUNTBLANK($AG940:$AN940))</f>
        <v>90MB1BJ0-C1BAY0 | 59MB1BJB-MB0A02S</v>
      </c>
      <c r="BF940" s="57">
        <f ca="1">IFERROR(VLOOKUP($BE940,$BD$5:$BF939,3,0)*$AE940,VLOOKUP($C940,Demanda!$A:$B,2,0)*$AE940)*IF(AT940="Phantom Alt",$BC940,TRUE)</f>
        <v>0</v>
      </c>
      <c r="BG940" s="57">
        <f ca="1">BF940*(AP940/100)</f>
        <v>0</v>
      </c>
      <c r="BH940" s="57">
        <f>SUMIF(Invoice!A:A,F940,Invoice!B:B)</f>
        <v>0</v>
      </c>
      <c r="BI940" s="57">
        <f ca="1">SUMIF(AS:AS,AS940,BG:BG)</f>
        <v>1000</v>
      </c>
      <c r="BJ940" s="57">
        <f ca="1">MIN((BI940-SUMIF($AS$5:AS939,AS940,$BJ$5:BJ939)),MAX(0,BH940-SUMIF($F$5:F939,F940,$BJ$5:BJ939)))</f>
        <v>0</v>
      </c>
      <c r="BK940" s="57">
        <f ca="1">(-SUMIF(AS:AS,AS940,BG:BG)+SUMIF(AS:AS,AS940,BJ:BJ))*(AP940=100)*AR940</f>
        <v>0</v>
      </c>
      <c r="BL940" s="57">
        <f ca="1">MAX(0,SUMIF(Invoice!A:A,F940,Invoice!B:B)-SUMIF(F:F,F940,BJ:BJ))*(COUNTIF(F:F,F940)=COUNTIF($F$5:F940,F940))</f>
        <v>0</v>
      </c>
    </row>
    <row r="941" spans="1:64" hidden="1">
      <c r="A941" s="43">
        <v>941</v>
      </c>
      <c r="B941" s="13" t="s">
        <v>147</v>
      </c>
      <c r="C941" s="13" t="s">
        <v>146</v>
      </c>
      <c r="D941" s="13">
        <v>3</v>
      </c>
      <c r="E941" s="13">
        <v>30</v>
      </c>
      <c r="F941" s="88" t="s">
        <v>2151</v>
      </c>
      <c r="G941" s="71" t="s">
        <v>2152</v>
      </c>
      <c r="I941" s="13" t="s">
        <v>55</v>
      </c>
      <c r="J941" s="28">
        <v>0</v>
      </c>
      <c r="K941" s="13" t="s">
        <v>150</v>
      </c>
      <c r="L941" s="13" t="s">
        <v>53</v>
      </c>
      <c r="M941" s="13">
        <v>1</v>
      </c>
      <c r="O941" s="13">
        <v>1</v>
      </c>
      <c r="R941" s="13" t="s">
        <v>73</v>
      </c>
      <c r="S941" s="13" t="s">
        <v>73</v>
      </c>
      <c r="T941" s="13">
        <v>44901</v>
      </c>
      <c r="U941" s="13">
        <v>2958465</v>
      </c>
      <c r="V941" s="13" t="s">
        <v>282</v>
      </c>
      <c r="W941" s="13" t="s">
        <v>145</v>
      </c>
      <c r="Y941" s="13" t="s">
        <v>143</v>
      </c>
      <c r="Z941" s="13">
        <v>7603943</v>
      </c>
      <c r="AA941" s="13">
        <v>2</v>
      </c>
      <c r="AB941" s="13">
        <v>1</v>
      </c>
      <c r="AE941" s="51">
        <f>M941/O941</f>
        <v>1</v>
      </c>
      <c r="AG941" s="6" t="str">
        <f>C941</f>
        <v>90MB1BJ0-C1BAY0</v>
      </c>
      <c r="AH941" s="6" t="str">
        <f>IF($D941&lt;=AH$4,"",IF(AND($D940=AH$4,$D941&gt;AH$4),$F940,AH940))</f>
        <v>59MB1BJB-MB0A02S</v>
      </c>
      <c r="AI941" s="6" t="str">
        <f>IF($D941&lt;=AI$4,"",IF(AND($D940=AI$4,$D941&gt;AI$4),$F940,AI940))</f>
        <v>X670-FLBK-BUTON-C</v>
      </c>
      <c r="AJ941" s="6" t="str">
        <f>IF($D941&lt;=AJ$4,"",IF(AND($D940=AJ$4,$D941&gt;AJ$4),$F940,AJ940))</f>
        <v/>
      </c>
      <c r="AK941" s="6" t="str">
        <f>IF($D941&lt;=AK$4,"",IF(AND($D940=AK$4,$D941&gt;AK$4),$F940,AK940))</f>
        <v/>
      </c>
      <c r="AL941" s="6" t="str">
        <f>IF($D941&lt;=AL$4,"",IF(AND($D940=AL$4,$D941&gt;AL$4),$F940,AL940))</f>
        <v/>
      </c>
      <c r="AM941" s="6" t="str">
        <f>IF($D941&lt;=AM$4,"",IF(AND($D940=AM$4,$D941&gt;AM$4),$F940,AM940))</f>
        <v/>
      </c>
      <c r="AN941" s="6" t="str">
        <f>IF($D941&lt;=AN$4,"",IF(AND($D940=AN$4,$D941&gt;AN$4),$F940,AN940))</f>
        <v/>
      </c>
      <c r="AO941" s="6" t="str">
        <f>CONCATENATE(AG941," | ",AH941," | ",AI941," | ",AJ941," | ",AK941," | ",AL941," | ",AM941," | ",AN941)</f>
        <v xml:space="preserve">90MB1BJ0-C1BAY0 | 59MB1BJB-MB0A02S | X670-FLBK-BUTON-C |  |  |  |  | </v>
      </c>
      <c r="AP941" s="6">
        <f>IF(TRIM(H941)="",100,J941)</f>
        <v>100</v>
      </c>
      <c r="AQ941" s="4"/>
      <c r="AR941" s="6" t="b">
        <f>NOT(TRIM(W941)&lt;&gt;"F")</f>
        <v>1</v>
      </c>
      <c r="AS941" s="6" t="str">
        <f>$B941&amp;" | "&amp;$AO941&amp;" | "&amp;IF(TRIM(H941)="","uniq"&amp;ROW(),TRIM(H941))</f>
        <v>461E | 90MB1BJ0-C1BAY0 | 59MB1BJB-MB0A02S | X670-FLBK-BUTON-C |  |  |  |  |  | uniq941</v>
      </c>
      <c r="AT941" s="63">
        <f>IF(NOT(AR941),IF(TRIM($H941)="","Assembly","Phantom Alt"),VLOOKUP(F941,ZPCS04!B:G,6,0))</f>
        <v>302</v>
      </c>
      <c r="AU941" s="7"/>
      <c r="AV941" s="38">
        <f ca="1">IF(TRIM($W941)="F",OFFSET($A$5,MATCH($AS941,$AS$5:$AS941,0)-1,0),$A941)</f>
        <v>941</v>
      </c>
      <c r="AW941" s="38">
        <f ca="1">IFERROR(OFFSET(ZPCS04!$A$1,MATCH(F941,ZPCS04!B:B,0)-1,0),100)</f>
        <v>2</v>
      </c>
      <c r="AX941" s="7"/>
      <c r="AY941" s="6" t="b">
        <f>SUMIF(AS:AS,AS941,AP:AP)=100</f>
        <v>1</v>
      </c>
      <c r="AZ941" s="6" t="b">
        <f>SUMIF(AS:AS,AS941,AE:AE)/COUNTIF(AS:AS,AS941)=AE941</f>
        <v>1</v>
      </c>
      <c r="BB941" s="38">
        <f ca="1">IF(AT941="Phantom Alt",MATCH($AS941,$AS$5:$AS941,0),IF(OR(OFFSET($AF941,0,8-COUNTBLANK($AG941:$AN941))=$F940,$BE941=$BE940),$BB940,""))</f>
        <v>932</v>
      </c>
      <c r="BC941" s="41"/>
      <c r="BD941" s="55" t="str">
        <f>C941&amp;" | "&amp;F941</f>
        <v>90MB1BJ0-C1BAY0 | 05002-00060200</v>
      </c>
      <c r="BE941" s="55" t="str">
        <f ca="1">C941&amp;" | "&amp;OFFSET($AF941,0,8-COUNTBLANK($AG941:$AN941))</f>
        <v>90MB1BJ0-C1BAY0 | X670-FLBK-BUTON-C</v>
      </c>
      <c r="BF941" s="57">
        <f ca="1">IFERROR(VLOOKUP($BE941,$BD$5:$BF940,3,0)*$AE941,VLOOKUP($C941,Demanda!$A:$B,2,0)*$AE941)*IF(AT941="Phantom Alt",$BC941,TRUE)</f>
        <v>0</v>
      </c>
      <c r="BG941" s="57">
        <f ca="1">BF941*(AP941/100)</f>
        <v>0</v>
      </c>
      <c r="BH941" s="57">
        <f>SUMIF(Invoice!A:A,F941,Invoice!B:B)</f>
        <v>0</v>
      </c>
      <c r="BI941" s="57">
        <f ca="1">SUMIF(AS:AS,AS941,BG:BG)</f>
        <v>0</v>
      </c>
      <c r="BJ941" s="57">
        <f ca="1">MIN((BI941-SUMIF($AS$5:AS940,AS941,$BJ$5:BJ940)),MAX(0,BH941-SUMIF($F$5:F940,F941,$BJ$5:BJ940)))</f>
        <v>0</v>
      </c>
      <c r="BK941" s="57">
        <f ca="1">(-SUMIF(AS:AS,AS941,BG:BG)+SUMIF(AS:AS,AS941,BJ:BJ))*(AP941=100)*AR941</f>
        <v>0</v>
      </c>
      <c r="BL941" s="57">
        <f ca="1">MAX(0,SUMIF(Invoice!A:A,F941,Invoice!B:B)-SUMIF(F:F,F941,BJ:BJ))*(COUNTIF(F:F,F941)=COUNTIF($F$5:F941,F941))</f>
        <v>0</v>
      </c>
    </row>
  </sheetData>
  <autoFilter ref="A5:BL941">
    <filterColumn colId="62">
      <filters>
        <filter val="(1,000)"/>
        <filter val="(12,000)"/>
        <filter val="(150)"/>
        <filter val="(200)"/>
        <filter val="(25,000)"/>
        <filter val="(250)"/>
        <filter val="(3,200)"/>
        <filter val="(3,300)"/>
        <filter val="(31,250)"/>
      </filters>
    </filterColumn>
  </autoFilter>
  <sortState ref="A6:BQ941">
    <sortCondition ref="AV6:AV941"/>
    <sortCondition ref="AW6:AW941"/>
  </sortState>
  <mergeCells count="1">
    <mergeCell ref="C2:E2"/>
  </mergeCells>
  <conditionalFormatting sqref="BB6:BC941">
    <cfRule type="expression" dxfId="243" priority="43">
      <formula>$AT6="Phantom Alt"</formula>
    </cfRule>
  </conditionalFormatting>
  <conditionalFormatting sqref="BB1:BC1">
    <cfRule type="expression" dxfId="242" priority="40">
      <formula>$AT1="Phantom Alt"</formula>
    </cfRule>
  </conditionalFormatting>
  <conditionalFormatting sqref="BB204:BC398">
    <cfRule type="expression" dxfId="241" priority="2">
      <formula>$AT204="Phantom Alt"</formula>
    </cfRule>
  </conditionalFormatting>
  <conditionalFormatting sqref="BB3">
    <cfRule type="expression" dxfId="1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2670" activePane="bottomRight" state="frozen"/>
      <selection pane="topRight" activeCell="C1" sqref="C1"/>
      <selection pane="bottomLeft" activeCell="A4" sqref="A4"/>
      <selection pane="bottomRight" activeCell="C2698" sqref="C2697:H2698"/>
    </sheetView>
  </sheetViews>
  <sheetFormatPr defaultColWidth="9.109375" defaultRowHeight="13.8"/>
  <cols>
    <col min="1" max="1" width="21.77734375" style="44" bestFit="1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2153</v>
      </c>
      <c r="C4" t="s">
        <v>2154</v>
      </c>
      <c r="D4" t="s">
        <v>147</v>
      </c>
      <c r="E4" t="s">
        <v>51</v>
      </c>
      <c r="F4"/>
      <c r="G4">
        <v>1</v>
      </c>
      <c r="H4" t="s">
        <v>105</v>
      </c>
    </row>
    <row r="5" spans="1:8" ht="14.4">
      <c r="A5" s="31">
        <f>COUNTIF('BOM Atual ZPCS12'!F:F,B5)+(1-(SUMIF(Invoice!$A:$A,$B5,Invoice!$B:$B)/100000000000))</f>
        <v>1</v>
      </c>
      <c r="B5" t="s">
        <v>2155</v>
      </c>
      <c r="C5" t="s">
        <v>2156</v>
      </c>
      <c r="D5" t="s">
        <v>147</v>
      </c>
      <c r="E5" t="s">
        <v>51</v>
      </c>
      <c r="F5"/>
      <c r="G5">
        <v>2</v>
      </c>
      <c r="H5" t="s">
        <v>105</v>
      </c>
    </row>
    <row r="6" spans="1:8" ht="14.4">
      <c r="A6" s="31">
        <f>COUNTIF('BOM Atual ZPCS12'!F:F,B6)+(1-(SUMIF(Invoice!$A:$A,$B6,Invoice!$B:$B)/100000000000))</f>
        <v>1</v>
      </c>
      <c r="B6" t="s">
        <v>2157</v>
      </c>
      <c r="C6" t="s">
        <v>2158</v>
      </c>
      <c r="D6" t="s">
        <v>147</v>
      </c>
      <c r="E6" t="s">
        <v>51</v>
      </c>
      <c r="F6"/>
      <c r="G6">
        <v>3</v>
      </c>
      <c r="H6" t="s">
        <v>105</v>
      </c>
    </row>
    <row r="7" spans="1:8" ht="14.4">
      <c r="A7" s="31">
        <f>COUNTIF('BOM Atual ZPCS12'!F:F,B7)+(1-(SUMIF(Invoice!$A:$A,$B7,Invoice!$B:$B)/100000000000))</f>
        <v>1</v>
      </c>
      <c r="B7" t="s">
        <v>2159</v>
      </c>
      <c r="C7" t="s">
        <v>2160</v>
      </c>
      <c r="D7" t="s">
        <v>147</v>
      </c>
      <c r="E7" t="s">
        <v>51</v>
      </c>
      <c r="F7"/>
      <c r="G7">
        <v>4</v>
      </c>
      <c r="H7" t="s">
        <v>105</v>
      </c>
    </row>
    <row r="8" spans="1:8" ht="14.4">
      <c r="A8" s="31">
        <f>COUNTIF('BOM Atual ZPCS12'!F:F,B8)+(1-(SUMIF(Invoice!$A:$A,$B8,Invoice!$B:$B)/100000000000))</f>
        <v>1</v>
      </c>
      <c r="B8" t="s">
        <v>2161</v>
      </c>
      <c r="C8" t="s">
        <v>2162</v>
      </c>
      <c r="D8" t="s">
        <v>147</v>
      </c>
      <c r="E8" t="s">
        <v>51</v>
      </c>
      <c r="F8"/>
      <c r="G8">
        <v>5</v>
      </c>
      <c r="H8" t="s">
        <v>105</v>
      </c>
    </row>
    <row r="9" spans="1:8" ht="14.4">
      <c r="A9" s="31">
        <f>COUNTIF('BOM Atual ZPCS12'!F:F,B9)+(1-(SUMIF(Invoice!$A:$A,$B9,Invoice!$B:$B)/100000000000))</f>
        <v>1</v>
      </c>
      <c r="B9" t="s">
        <v>2163</v>
      </c>
      <c r="C9" t="s">
        <v>2164</v>
      </c>
      <c r="D9" t="s">
        <v>147</v>
      </c>
      <c r="E9" t="s">
        <v>51</v>
      </c>
      <c r="F9"/>
      <c r="G9">
        <v>6</v>
      </c>
      <c r="H9" t="s">
        <v>105</v>
      </c>
    </row>
    <row r="10" spans="1:8" ht="14.4">
      <c r="A10" s="31">
        <f>COUNTIF('BOM Atual ZPCS12'!F:F,B10)+(1-(SUMIF(Invoice!$A:$A,$B10,Invoice!$B:$B)/100000000000))</f>
        <v>1</v>
      </c>
      <c r="B10" t="s">
        <v>2165</v>
      </c>
      <c r="C10" t="s">
        <v>2166</v>
      </c>
      <c r="D10" t="s">
        <v>147</v>
      </c>
      <c r="E10" t="s">
        <v>51</v>
      </c>
      <c r="F10"/>
      <c r="G10">
        <v>7</v>
      </c>
      <c r="H10" t="s">
        <v>105</v>
      </c>
    </row>
    <row r="11" spans="1:8" ht="14.4">
      <c r="A11" s="31">
        <f>COUNTIF('BOM Atual ZPCS12'!F:F,B11)+(1-(SUMIF(Invoice!$A:$A,$B11,Invoice!$B:$B)/100000000000))</f>
        <v>1</v>
      </c>
      <c r="B11" t="s">
        <v>2167</v>
      </c>
      <c r="C11" t="s">
        <v>2168</v>
      </c>
      <c r="D11" t="s">
        <v>147</v>
      </c>
      <c r="E11" t="s">
        <v>51</v>
      </c>
      <c r="F11"/>
      <c r="G11">
        <v>8</v>
      </c>
      <c r="H11" t="s">
        <v>105</v>
      </c>
    </row>
    <row r="12" spans="1:8" ht="14.4">
      <c r="A12" s="31">
        <f>COUNTIF('BOM Atual ZPCS12'!F:F,B12)+(1-(SUMIF(Invoice!$A:$A,$B12,Invoice!$B:$B)/100000000000))</f>
        <v>1.9999999800000001</v>
      </c>
      <c r="B12" t="s">
        <v>1892</v>
      </c>
      <c r="C12" t="s">
        <v>1893</v>
      </c>
      <c r="D12" t="s">
        <v>147</v>
      </c>
      <c r="E12" t="s">
        <v>51</v>
      </c>
      <c r="F12"/>
      <c r="G12">
        <v>9</v>
      </c>
      <c r="H12" t="s">
        <v>105</v>
      </c>
    </row>
    <row r="13" spans="1:8" ht="14.4">
      <c r="A13" s="31">
        <f>COUNTIF('BOM Atual ZPCS12'!F:F,B13)+(1-(SUMIF(Invoice!$A:$A,$B13,Invoice!$B:$B)/100000000000))</f>
        <v>1</v>
      </c>
      <c r="B13" t="s">
        <v>2169</v>
      </c>
      <c r="C13" t="s">
        <v>2170</v>
      </c>
      <c r="D13" t="s">
        <v>147</v>
      </c>
      <c r="E13" t="s">
        <v>51</v>
      </c>
      <c r="F13"/>
      <c r="G13">
        <v>10</v>
      </c>
      <c r="H13" t="s">
        <v>105</v>
      </c>
    </row>
    <row r="14" spans="1:8" ht="14.4">
      <c r="A14" s="31">
        <f>COUNTIF('BOM Atual ZPCS12'!F:F,B14)+(1-(SUMIF(Invoice!$A:$A,$B14,Invoice!$B:$B)/100000000000))</f>
        <v>1</v>
      </c>
      <c r="B14" t="s">
        <v>2171</v>
      </c>
      <c r="C14" t="s">
        <v>2172</v>
      </c>
      <c r="D14" t="s">
        <v>147</v>
      </c>
      <c r="E14" t="s">
        <v>51</v>
      </c>
      <c r="F14"/>
      <c r="G14">
        <v>11</v>
      </c>
      <c r="H14" t="s">
        <v>105</v>
      </c>
    </row>
    <row r="15" spans="1:8" ht="14.4">
      <c r="A15" s="31">
        <f>COUNTIF('BOM Atual ZPCS12'!F:F,B15)+(1-(SUMIF(Invoice!$A:$A,$B15,Invoice!$B:$B)/100000000000))</f>
        <v>1</v>
      </c>
      <c r="B15" t="s">
        <v>2173</v>
      </c>
      <c r="C15" t="s">
        <v>2174</v>
      </c>
      <c r="D15" t="s">
        <v>147</v>
      </c>
      <c r="E15" t="s">
        <v>51</v>
      </c>
      <c r="F15"/>
      <c r="G15">
        <v>12</v>
      </c>
      <c r="H15" t="s">
        <v>105</v>
      </c>
    </row>
    <row r="16" spans="1:8" ht="14.4">
      <c r="A16" s="31">
        <f>COUNTIF('BOM Atual ZPCS12'!F:F,B16)+(1-(SUMIF(Invoice!$A:$A,$B16,Invoice!$B:$B)/100000000000))</f>
        <v>1</v>
      </c>
      <c r="B16" t="s">
        <v>2175</v>
      </c>
      <c r="C16" t="s">
        <v>2176</v>
      </c>
      <c r="D16" t="s">
        <v>147</v>
      </c>
      <c r="E16" t="s">
        <v>51</v>
      </c>
      <c r="F16"/>
      <c r="G16">
        <v>13</v>
      </c>
      <c r="H16" t="s">
        <v>105</v>
      </c>
    </row>
    <row r="17" spans="1:8" ht="14.4">
      <c r="A17" s="31">
        <f>COUNTIF('BOM Atual ZPCS12'!F:F,B17)+(1-(SUMIF(Invoice!$A:$A,$B17,Invoice!$B:$B)/100000000000))</f>
        <v>1</v>
      </c>
      <c r="B17" t="s">
        <v>2177</v>
      </c>
      <c r="C17" t="s">
        <v>2178</v>
      </c>
      <c r="D17" t="s">
        <v>147</v>
      </c>
      <c r="E17" t="s">
        <v>51</v>
      </c>
      <c r="F17"/>
      <c r="G17">
        <v>14</v>
      </c>
      <c r="H17" t="s">
        <v>105</v>
      </c>
    </row>
    <row r="18" spans="1:8" ht="14.4">
      <c r="A18" s="31">
        <f>COUNTIF('BOM Atual ZPCS12'!F:F,B18)+(1-(SUMIF(Invoice!$A:$A,$B18,Invoice!$B:$B)/100000000000))</f>
        <v>2</v>
      </c>
      <c r="B18" t="s">
        <v>2135</v>
      </c>
      <c r="C18" t="s">
        <v>2179</v>
      </c>
      <c r="D18" t="s">
        <v>147</v>
      </c>
      <c r="E18" t="s">
        <v>51</v>
      </c>
      <c r="F18"/>
      <c r="G18">
        <v>15</v>
      </c>
      <c r="H18" t="s">
        <v>105</v>
      </c>
    </row>
    <row r="19" spans="1:8" ht="14.4">
      <c r="A19" s="31">
        <f>COUNTIF('BOM Atual ZPCS12'!F:F,B19)+(1-(SUMIF(Invoice!$A:$A,$B19,Invoice!$B:$B)/100000000000))</f>
        <v>2</v>
      </c>
      <c r="B19" t="s">
        <v>2138</v>
      </c>
      <c r="C19" t="s">
        <v>2180</v>
      </c>
      <c r="D19" t="s">
        <v>147</v>
      </c>
      <c r="E19" t="s">
        <v>51</v>
      </c>
      <c r="F19"/>
      <c r="G19">
        <v>16</v>
      </c>
      <c r="H19" t="s">
        <v>105</v>
      </c>
    </row>
    <row r="20" spans="1:8" ht="14.4">
      <c r="A20" s="31">
        <f>COUNTIF('BOM Atual ZPCS12'!F:F,B20)+(1-(SUMIF(Invoice!$A:$A,$B20,Invoice!$B:$B)/100000000000))</f>
        <v>1.9999999900000001</v>
      </c>
      <c r="B20" t="s">
        <v>2132</v>
      </c>
      <c r="C20" t="s">
        <v>2133</v>
      </c>
      <c r="D20" t="s">
        <v>147</v>
      </c>
      <c r="E20" t="s">
        <v>51</v>
      </c>
      <c r="F20"/>
      <c r="G20">
        <v>17</v>
      </c>
      <c r="H20" t="s">
        <v>105</v>
      </c>
    </row>
    <row r="21" spans="1:8" ht="14.4">
      <c r="A21" s="31">
        <f>COUNTIF('BOM Atual ZPCS12'!F:F,B21)+(1-(SUMIF(Invoice!$A:$A,$B21,Invoice!$B:$B)/100000000000))</f>
        <v>2</v>
      </c>
      <c r="B21" t="s">
        <v>2141</v>
      </c>
      <c r="C21" t="s">
        <v>2181</v>
      </c>
      <c r="D21" t="s">
        <v>147</v>
      </c>
      <c r="E21" t="s">
        <v>51</v>
      </c>
      <c r="F21"/>
      <c r="G21">
        <v>18</v>
      </c>
      <c r="H21" t="s">
        <v>105</v>
      </c>
    </row>
    <row r="22" spans="1:8" ht="14.4">
      <c r="A22" s="31">
        <f>COUNTIF('BOM Atual ZPCS12'!F:F,B22)+(1-(SUMIF(Invoice!$A:$A,$B22,Invoice!$B:$B)/100000000000))</f>
        <v>1</v>
      </c>
      <c r="B22" t="s">
        <v>2182</v>
      </c>
      <c r="C22" t="s">
        <v>2183</v>
      </c>
      <c r="D22" t="s">
        <v>147</v>
      </c>
      <c r="E22" t="s">
        <v>51</v>
      </c>
      <c r="F22"/>
      <c r="G22">
        <v>19</v>
      </c>
      <c r="H22" t="s">
        <v>105</v>
      </c>
    </row>
    <row r="23" spans="1:8" ht="14.4">
      <c r="A23" s="31">
        <f>COUNTIF('BOM Atual ZPCS12'!F:F,B23)+(1-(SUMIF(Invoice!$A:$A,$B23,Invoice!$B:$B)/100000000000))</f>
        <v>1</v>
      </c>
      <c r="B23" t="s">
        <v>2184</v>
      </c>
      <c r="C23" t="s">
        <v>2185</v>
      </c>
      <c r="D23" t="s">
        <v>147</v>
      </c>
      <c r="E23" t="s">
        <v>51</v>
      </c>
      <c r="F23"/>
      <c r="G23">
        <v>20</v>
      </c>
      <c r="H23" t="s">
        <v>105</v>
      </c>
    </row>
    <row r="24" spans="1:8" ht="14.4">
      <c r="A24" s="31">
        <f>COUNTIF('BOM Atual ZPCS12'!F:F,B24)+(1-(SUMIF(Invoice!$A:$A,$B24,Invoice!$B:$B)/100000000000))</f>
        <v>1</v>
      </c>
      <c r="B24" t="s">
        <v>2186</v>
      </c>
      <c r="C24" t="s">
        <v>2187</v>
      </c>
      <c r="D24" t="s">
        <v>147</v>
      </c>
      <c r="E24" t="s">
        <v>51</v>
      </c>
      <c r="F24"/>
      <c r="G24">
        <v>21</v>
      </c>
      <c r="H24" t="s">
        <v>105</v>
      </c>
    </row>
    <row r="25" spans="1:8" ht="14.4">
      <c r="A25" s="31">
        <f>COUNTIF('BOM Atual ZPCS12'!F:F,B25)+(1-(SUMIF(Invoice!$A:$A,$B25,Invoice!$B:$B)/100000000000))</f>
        <v>1</v>
      </c>
      <c r="B25" t="s">
        <v>2188</v>
      </c>
      <c r="C25" t="s">
        <v>2189</v>
      </c>
      <c r="D25" t="s">
        <v>147</v>
      </c>
      <c r="E25" t="s">
        <v>51</v>
      </c>
      <c r="F25"/>
      <c r="G25">
        <v>22</v>
      </c>
      <c r="H25" t="s">
        <v>105</v>
      </c>
    </row>
    <row r="26" spans="1:8" ht="14.4">
      <c r="A26" s="31">
        <f>COUNTIF('BOM Atual ZPCS12'!F:F,B26)+(1-(SUMIF(Invoice!$A:$A,$B26,Invoice!$B:$B)/100000000000))</f>
        <v>1</v>
      </c>
      <c r="B26" t="s">
        <v>2190</v>
      </c>
      <c r="C26" t="s">
        <v>2191</v>
      </c>
      <c r="D26" t="s">
        <v>147</v>
      </c>
      <c r="E26" t="s">
        <v>51</v>
      </c>
      <c r="F26"/>
      <c r="G26">
        <v>23</v>
      </c>
      <c r="H26" t="s">
        <v>105</v>
      </c>
    </row>
    <row r="27" spans="1:8" ht="14.4">
      <c r="A27" s="31">
        <f>COUNTIF('BOM Atual ZPCS12'!F:F,B27)+(1-(SUMIF(Invoice!$A:$A,$B27,Invoice!$B:$B)/100000000000))</f>
        <v>1.9999999900000001</v>
      </c>
      <c r="B27" t="s">
        <v>323</v>
      </c>
      <c r="C27" t="s">
        <v>2192</v>
      </c>
      <c r="D27" t="s">
        <v>147</v>
      </c>
      <c r="E27" t="s">
        <v>51</v>
      </c>
      <c r="F27"/>
      <c r="G27">
        <v>24</v>
      </c>
      <c r="H27" t="s">
        <v>105</v>
      </c>
    </row>
    <row r="28" spans="1:8" ht="14.4">
      <c r="A28" s="31">
        <f>COUNTIF('BOM Atual ZPCS12'!F:F,B28)+(1-(SUMIF(Invoice!$A:$A,$B28,Invoice!$B:$B)/100000000000))</f>
        <v>1.9999999900000001</v>
      </c>
      <c r="B28" t="s">
        <v>325</v>
      </c>
      <c r="C28" t="s">
        <v>2193</v>
      </c>
      <c r="D28" t="s">
        <v>147</v>
      </c>
      <c r="E28" t="s">
        <v>51</v>
      </c>
      <c r="F28"/>
      <c r="G28">
        <v>25</v>
      </c>
      <c r="H28" t="s">
        <v>105</v>
      </c>
    </row>
    <row r="29" spans="1:8" ht="14.4">
      <c r="A29" s="31">
        <f>COUNTIF('BOM Atual ZPCS12'!F:F,B29)+(1-(SUMIF(Invoice!$A:$A,$B29,Invoice!$B:$B)/100000000000))</f>
        <v>1</v>
      </c>
      <c r="B29" t="s">
        <v>2194</v>
      </c>
      <c r="C29" t="s">
        <v>2195</v>
      </c>
      <c r="D29" t="s">
        <v>147</v>
      </c>
      <c r="E29" t="s">
        <v>51</v>
      </c>
      <c r="F29"/>
      <c r="G29">
        <v>26</v>
      </c>
      <c r="H29" t="s">
        <v>105</v>
      </c>
    </row>
    <row r="30" spans="1:8" ht="14.4">
      <c r="A30" s="31">
        <f>COUNTIF('BOM Atual ZPCS12'!F:F,B30)+(1-(SUMIF(Invoice!$A:$A,$B30,Invoice!$B:$B)/100000000000))</f>
        <v>1</v>
      </c>
      <c r="B30" t="s">
        <v>2196</v>
      </c>
      <c r="C30" t="s">
        <v>2197</v>
      </c>
      <c r="D30" t="s">
        <v>147</v>
      </c>
      <c r="E30" t="s">
        <v>51</v>
      </c>
      <c r="F30"/>
      <c r="G30">
        <v>27</v>
      </c>
      <c r="H30" t="s">
        <v>105</v>
      </c>
    </row>
    <row r="31" spans="1:8" ht="14.4">
      <c r="A31" s="31">
        <f>COUNTIF('BOM Atual ZPCS12'!F:F,B31)+(1-(SUMIF(Invoice!$A:$A,$B31,Invoice!$B:$B)/100000000000))</f>
        <v>1</v>
      </c>
      <c r="B31" t="s">
        <v>2198</v>
      </c>
      <c r="C31" t="s">
        <v>2199</v>
      </c>
      <c r="D31" t="s">
        <v>147</v>
      </c>
      <c r="E31" t="s">
        <v>51</v>
      </c>
      <c r="F31"/>
      <c r="G31">
        <v>28</v>
      </c>
      <c r="H31" t="s">
        <v>105</v>
      </c>
    </row>
    <row r="32" spans="1:8" ht="14.4">
      <c r="A32" s="31">
        <f>COUNTIF('BOM Atual ZPCS12'!F:F,B32)+(1-(SUMIF(Invoice!$A:$A,$B32,Invoice!$B:$B)/100000000000))</f>
        <v>1</v>
      </c>
      <c r="B32" t="s">
        <v>2200</v>
      </c>
      <c r="C32" t="s">
        <v>2201</v>
      </c>
      <c r="D32" t="s">
        <v>147</v>
      </c>
      <c r="E32" t="s">
        <v>51</v>
      </c>
      <c r="F32"/>
      <c r="G32">
        <v>29</v>
      </c>
      <c r="H32" t="s">
        <v>105</v>
      </c>
    </row>
    <row r="33" spans="1:8" ht="14.4">
      <c r="A33" s="31">
        <f>COUNTIF('BOM Atual ZPCS12'!F:F,B33)+(1-(SUMIF(Invoice!$A:$A,$B33,Invoice!$B:$B)/100000000000))</f>
        <v>1.9999999900000001</v>
      </c>
      <c r="B33" t="s">
        <v>333</v>
      </c>
      <c r="C33" t="s">
        <v>334</v>
      </c>
      <c r="D33" t="s">
        <v>147</v>
      </c>
      <c r="E33" t="s">
        <v>51</v>
      </c>
      <c r="F33"/>
      <c r="G33">
        <v>30</v>
      </c>
      <c r="H33" t="s">
        <v>105</v>
      </c>
    </row>
    <row r="34" spans="1:8" ht="14.4">
      <c r="A34" s="31">
        <f>COUNTIF('BOM Atual ZPCS12'!F:F,B34)+(1-(SUMIF(Invoice!$A:$A,$B34,Invoice!$B:$B)/100000000000))</f>
        <v>1.9999999900000001</v>
      </c>
      <c r="B34" t="s">
        <v>337</v>
      </c>
      <c r="C34" t="s">
        <v>2202</v>
      </c>
      <c r="D34" t="s">
        <v>147</v>
      </c>
      <c r="E34" t="s">
        <v>51</v>
      </c>
      <c r="F34"/>
      <c r="G34">
        <v>31</v>
      </c>
      <c r="H34" t="s">
        <v>105</v>
      </c>
    </row>
    <row r="35" spans="1:8" ht="14.4">
      <c r="A35" s="31">
        <f>COUNTIF('BOM Atual ZPCS12'!F:F,B35)+(1-(SUMIF(Invoice!$A:$A,$B35,Invoice!$B:$B)/100000000000))</f>
        <v>1.9999999900000001</v>
      </c>
      <c r="B35" t="s">
        <v>339</v>
      </c>
      <c r="C35" t="s">
        <v>2203</v>
      </c>
      <c r="D35" t="s">
        <v>147</v>
      </c>
      <c r="E35" t="s">
        <v>51</v>
      </c>
      <c r="F35"/>
      <c r="G35">
        <v>32</v>
      </c>
      <c r="H35" t="s">
        <v>105</v>
      </c>
    </row>
    <row r="36" spans="1:8" ht="14.4">
      <c r="A36" s="31">
        <f>COUNTIF('BOM Atual ZPCS12'!F:F,B36)+(1-(SUMIF(Invoice!$A:$A,$B36,Invoice!$B:$B)/100000000000))</f>
        <v>1</v>
      </c>
      <c r="B36" t="s">
        <v>2204</v>
      </c>
      <c r="C36" t="s">
        <v>2205</v>
      </c>
      <c r="D36" t="s">
        <v>147</v>
      </c>
      <c r="E36" t="s">
        <v>51</v>
      </c>
      <c r="F36"/>
      <c r="G36">
        <v>33</v>
      </c>
      <c r="H36" t="s">
        <v>105</v>
      </c>
    </row>
    <row r="37" spans="1:8" ht="14.4">
      <c r="A37" s="31">
        <f>COUNTIF('BOM Atual ZPCS12'!F:F,B37)+(1-(SUMIF(Invoice!$A:$A,$B37,Invoice!$B:$B)/100000000000))</f>
        <v>1.9999999900000001</v>
      </c>
      <c r="B37" t="s">
        <v>341</v>
      </c>
      <c r="C37" t="s">
        <v>342</v>
      </c>
      <c r="D37" t="s">
        <v>147</v>
      </c>
      <c r="E37" t="s">
        <v>51</v>
      </c>
      <c r="F37"/>
      <c r="G37">
        <v>34</v>
      </c>
      <c r="H37" t="s">
        <v>105</v>
      </c>
    </row>
    <row r="38" spans="1:8" ht="14.4">
      <c r="A38" s="31">
        <f>COUNTIF('BOM Atual ZPCS12'!F:F,B38)+(1-(SUMIF(Invoice!$A:$A,$B38,Invoice!$B:$B)/100000000000))</f>
        <v>1</v>
      </c>
      <c r="B38" t="s">
        <v>2206</v>
      </c>
      <c r="C38" t="s">
        <v>2207</v>
      </c>
      <c r="D38" t="s">
        <v>147</v>
      </c>
      <c r="E38" t="s">
        <v>51</v>
      </c>
      <c r="F38"/>
      <c r="G38">
        <v>35</v>
      </c>
      <c r="H38" t="s">
        <v>105</v>
      </c>
    </row>
    <row r="39" spans="1:8" ht="14.4">
      <c r="A39" s="31">
        <f>COUNTIF('BOM Atual ZPCS12'!F:F,B39)+(1-(SUMIF(Invoice!$A:$A,$B39,Invoice!$B:$B)/100000000000))</f>
        <v>1.9999999900000001</v>
      </c>
      <c r="B39" t="s">
        <v>343</v>
      </c>
      <c r="C39" t="s">
        <v>344</v>
      </c>
      <c r="D39" t="s">
        <v>147</v>
      </c>
      <c r="E39" t="s">
        <v>51</v>
      </c>
      <c r="F39"/>
      <c r="G39">
        <v>36</v>
      </c>
      <c r="H39" t="s">
        <v>105</v>
      </c>
    </row>
    <row r="40" spans="1:8" ht="14.4">
      <c r="A40" s="31">
        <f>COUNTIF('BOM Atual ZPCS12'!F:F,B40)+(1-(SUMIF(Invoice!$A:$A,$B40,Invoice!$B:$B)/100000000000))</f>
        <v>1</v>
      </c>
      <c r="B40" t="s">
        <v>2208</v>
      </c>
      <c r="C40" t="s">
        <v>2209</v>
      </c>
      <c r="D40" t="s">
        <v>147</v>
      </c>
      <c r="E40" t="s">
        <v>51</v>
      </c>
      <c r="F40"/>
      <c r="G40">
        <v>37</v>
      </c>
      <c r="H40" t="s">
        <v>105</v>
      </c>
    </row>
    <row r="41" spans="1:8" ht="14.4">
      <c r="A41" s="31">
        <f>COUNTIF('BOM Atual ZPCS12'!F:F,B41)+(1-(SUMIF(Invoice!$A:$A,$B41,Invoice!$B:$B)/100000000000))</f>
        <v>1</v>
      </c>
      <c r="B41" t="s">
        <v>2210</v>
      </c>
      <c r="C41" t="s">
        <v>2211</v>
      </c>
      <c r="D41" t="s">
        <v>147</v>
      </c>
      <c r="E41" t="s">
        <v>51</v>
      </c>
      <c r="F41"/>
      <c r="G41">
        <v>38</v>
      </c>
      <c r="H41" t="s">
        <v>105</v>
      </c>
    </row>
    <row r="42" spans="1:8" ht="14.4">
      <c r="A42" s="31">
        <f>COUNTIF('BOM Atual ZPCS12'!F:F,B42)+(1-(SUMIF(Invoice!$A:$A,$B42,Invoice!$B:$B)/100000000000))</f>
        <v>1</v>
      </c>
      <c r="B42" t="s">
        <v>2212</v>
      </c>
      <c r="C42" t="s">
        <v>2213</v>
      </c>
      <c r="D42" t="s">
        <v>147</v>
      </c>
      <c r="E42" t="s">
        <v>51</v>
      </c>
      <c r="F42"/>
      <c r="G42">
        <v>39</v>
      </c>
      <c r="H42" t="s">
        <v>105</v>
      </c>
    </row>
    <row r="43" spans="1:8" ht="14.4">
      <c r="A43" s="31">
        <f>COUNTIF('BOM Atual ZPCS12'!F:F,B43)+(1-(SUMIF(Invoice!$A:$A,$B43,Invoice!$B:$B)/100000000000))</f>
        <v>1</v>
      </c>
      <c r="B43" t="s">
        <v>2214</v>
      </c>
      <c r="C43" t="s">
        <v>2215</v>
      </c>
      <c r="D43" t="s">
        <v>147</v>
      </c>
      <c r="E43" t="s">
        <v>51</v>
      </c>
      <c r="F43"/>
      <c r="G43">
        <v>40</v>
      </c>
      <c r="H43" t="s">
        <v>105</v>
      </c>
    </row>
    <row r="44" spans="1:8" ht="14.4">
      <c r="A44" s="31">
        <f>COUNTIF('BOM Atual ZPCS12'!F:F,B44)+(1-(SUMIF(Invoice!$A:$A,$B44,Invoice!$B:$B)/100000000000))</f>
        <v>1.99999992</v>
      </c>
      <c r="B44" t="s">
        <v>345</v>
      </c>
      <c r="C44" t="s">
        <v>2216</v>
      </c>
      <c r="D44" t="s">
        <v>147</v>
      </c>
      <c r="E44" t="s">
        <v>51</v>
      </c>
      <c r="F44"/>
      <c r="G44">
        <v>41</v>
      </c>
      <c r="H44" t="s">
        <v>105</v>
      </c>
    </row>
    <row r="45" spans="1:8" ht="14.4">
      <c r="A45" s="31">
        <f>COUNTIF('BOM Atual ZPCS12'!F:F,B45)+(1-(SUMIF(Invoice!$A:$A,$B45,Invoice!$B:$B)/100000000000))</f>
        <v>1.9999999900000001</v>
      </c>
      <c r="B45" t="s">
        <v>347</v>
      </c>
      <c r="C45" t="s">
        <v>348</v>
      </c>
      <c r="D45" t="s">
        <v>147</v>
      </c>
      <c r="E45" t="s">
        <v>51</v>
      </c>
      <c r="F45"/>
      <c r="G45">
        <v>42</v>
      </c>
      <c r="H45" t="s">
        <v>105</v>
      </c>
    </row>
    <row r="46" spans="1:8" ht="14.4">
      <c r="A46" s="31">
        <f>COUNTIF('BOM Atual ZPCS12'!F:F,B46)+(1-(SUMIF(Invoice!$A:$A,$B46,Invoice!$B:$B)/100000000000))</f>
        <v>1</v>
      </c>
      <c r="B46" t="s">
        <v>2217</v>
      </c>
      <c r="C46" t="s">
        <v>2218</v>
      </c>
      <c r="D46" t="s">
        <v>147</v>
      </c>
      <c r="E46" t="s">
        <v>51</v>
      </c>
      <c r="F46"/>
      <c r="G46">
        <v>43</v>
      </c>
      <c r="H46" t="s">
        <v>105</v>
      </c>
    </row>
    <row r="47" spans="1:8" ht="14.4">
      <c r="A47" s="31">
        <f>COUNTIF('BOM Atual ZPCS12'!F:F,B47)+(1-(SUMIF(Invoice!$A:$A,$B47,Invoice!$B:$B)/100000000000))</f>
        <v>1</v>
      </c>
      <c r="B47" t="s">
        <v>2219</v>
      </c>
      <c r="C47" t="s">
        <v>2220</v>
      </c>
      <c r="D47" t="s">
        <v>147</v>
      </c>
      <c r="E47" t="s">
        <v>51</v>
      </c>
      <c r="F47"/>
      <c r="G47">
        <v>44</v>
      </c>
      <c r="H47" t="s">
        <v>105</v>
      </c>
    </row>
    <row r="48" spans="1:8" ht="14.4">
      <c r="A48" s="31">
        <f>COUNTIF('BOM Atual ZPCS12'!F:F,B48)+(1-(SUMIF(Invoice!$A:$A,$B48,Invoice!$B:$B)/100000000000))</f>
        <v>1.9999999800000001</v>
      </c>
      <c r="B48" t="s">
        <v>353</v>
      </c>
      <c r="C48" t="s">
        <v>354</v>
      </c>
      <c r="D48" t="s">
        <v>147</v>
      </c>
      <c r="E48" t="s">
        <v>51</v>
      </c>
      <c r="F48"/>
      <c r="G48">
        <v>45</v>
      </c>
      <c r="H48" t="s">
        <v>105</v>
      </c>
    </row>
    <row r="49" spans="1:8" ht="14.4">
      <c r="A49" s="31">
        <f>COUNTIF('BOM Atual ZPCS12'!F:F,B49)+(1-(SUMIF(Invoice!$A:$A,$B49,Invoice!$B:$B)/100000000000))</f>
        <v>1</v>
      </c>
      <c r="B49" t="s">
        <v>2221</v>
      </c>
      <c r="C49" t="s">
        <v>2222</v>
      </c>
      <c r="D49" t="s">
        <v>147</v>
      </c>
      <c r="E49" t="s">
        <v>51</v>
      </c>
      <c r="F49"/>
      <c r="G49">
        <v>46</v>
      </c>
      <c r="H49" t="s">
        <v>105</v>
      </c>
    </row>
    <row r="50" spans="1:8" ht="14.4">
      <c r="A50" s="31">
        <f>COUNTIF('BOM Atual ZPCS12'!F:F,B50)+(1-(SUMIF(Invoice!$A:$A,$B50,Invoice!$B:$B)/100000000000))</f>
        <v>1</v>
      </c>
      <c r="B50" t="s">
        <v>2223</v>
      </c>
      <c r="C50" t="s">
        <v>2224</v>
      </c>
      <c r="D50" t="s">
        <v>147</v>
      </c>
      <c r="E50" t="s">
        <v>51</v>
      </c>
      <c r="F50"/>
      <c r="G50">
        <v>47</v>
      </c>
      <c r="H50" t="s">
        <v>105</v>
      </c>
    </row>
    <row r="51" spans="1:8" ht="14.4">
      <c r="A51" s="31">
        <f>COUNTIF('BOM Atual ZPCS12'!F:F,B51)+(1-(SUMIF(Invoice!$A:$A,$B51,Invoice!$B:$B)/100000000000))</f>
        <v>1</v>
      </c>
      <c r="B51" t="s">
        <v>2225</v>
      </c>
      <c r="C51" t="s">
        <v>2226</v>
      </c>
      <c r="D51" t="s">
        <v>147</v>
      </c>
      <c r="E51" t="s">
        <v>51</v>
      </c>
      <c r="F51"/>
      <c r="G51">
        <v>48</v>
      </c>
      <c r="H51" t="s">
        <v>105</v>
      </c>
    </row>
    <row r="52" spans="1:8" ht="14.4">
      <c r="A52" s="31">
        <f>COUNTIF('BOM Atual ZPCS12'!F:F,B52)+(1-(SUMIF(Invoice!$A:$A,$B52,Invoice!$B:$B)/100000000000))</f>
        <v>1</v>
      </c>
      <c r="B52" t="s">
        <v>2227</v>
      </c>
      <c r="C52" t="s">
        <v>2228</v>
      </c>
      <c r="D52" t="s">
        <v>147</v>
      </c>
      <c r="E52" t="s">
        <v>51</v>
      </c>
      <c r="F52"/>
      <c r="G52">
        <v>49</v>
      </c>
      <c r="H52" t="s">
        <v>105</v>
      </c>
    </row>
    <row r="53" spans="1:8" ht="14.4">
      <c r="A53" s="31">
        <f>COUNTIF('BOM Atual ZPCS12'!F:F,B53)+(1-(SUMIF(Invoice!$A:$A,$B53,Invoice!$B:$B)/100000000000))</f>
        <v>1</v>
      </c>
      <c r="B53" t="s">
        <v>2229</v>
      </c>
      <c r="C53" t="s">
        <v>2230</v>
      </c>
      <c r="D53" t="s">
        <v>147</v>
      </c>
      <c r="E53" t="s">
        <v>51</v>
      </c>
      <c r="F53"/>
      <c r="G53">
        <v>50</v>
      </c>
      <c r="H53" t="s">
        <v>105</v>
      </c>
    </row>
    <row r="54" spans="1:8" ht="14.4">
      <c r="A54" s="31">
        <f>COUNTIF('BOM Atual ZPCS12'!F:F,B54)+(1-(SUMIF(Invoice!$A:$A,$B54,Invoice!$B:$B)/100000000000))</f>
        <v>1</v>
      </c>
      <c r="B54" t="s">
        <v>2231</v>
      </c>
      <c r="C54" t="s">
        <v>2232</v>
      </c>
      <c r="D54" t="s">
        <v>147</v>
      </c>
      <c r="E54" t="s">
        <v>51</v>
      </c>
      <c r="F54"/>
      <c r="G54">
        <v>51</v>
      </c>
      <c r="H54" t="s">
        <v>105</v>
      </c>
    </row>
    <row r="55" spans="1:8" ht="14.4">
      <c r="A55" s="31">
        <f>COUNTIF('BOM Atual ZPCS12'!F:F,B55)+(1-(SUMIF(Invoice!$A:$A,$B55,Invoice!$B:$B)/100000000000))</f>
        <v>1</v>
      </c>
      <c r="B55" t="s">
        <v>2233</v>
      </c>
      <c r="C55" t="s">
        <v>2234</v>
      </c>
      <c r="D55" t="s">
        <v>147</v>
      </c>
      <c r="E55" t="s">
        <v>51</v>
      </c>
      <c r="F55"/>
      <c r="G55">
        <v>52</v>
      </c>
      <c r="H55" t="s">
        <v>105</v>
      </c>
    </row>
    <row r="56" spans="1:8" ht="14.4">
      <c r="A56" s="31">
        <f>COUNTIF('BOM Atual ZPCS12'!F:F,B56)+(1-(SUMIF(Invoice!$A:$A,$B56,Invoice!$B:$B)/100000000000))</f>
        <v>1</v>
      </c>
      <c r="B56" t="s">
        <v>2235</v>
      </c>
      <c r="C56" t="s">
        <v>2236</v>
      </c>
      <c r="D56" t="s">
        <v>147</v>
      </c>
      <c r="E56" t="s">
        <v>51</v>
      </c>
      <c r="F56"/>
      <c r="G56">
        <v>53</v>
      </c>
      <c r="H56" t="s">
        <v>105</v>
      </c>
    </row>
    <row r="57" spans="1:8" ht="14.4">
      <c r="A57" s="31">
        <f>COUNTIF('BOM Atual ZPCS12'!F:F,B57)+(1-(SUMIF(Invoice!$A:$A,$B57,Invoice!$B:$B)/100000000000))</f>
        <v>1.9999999900000001</v>
      </c>
      <c r="B57" t="s">
        <v>355</v>
      </c>
      <c r="C57" t="s">
        <v>356</v>
      </c>
      <c r="D57" t="s">
        <v>147</v>
      </c>
      <c r="E57" t="s">
        <v>51</v>
      </c>
      <c r="F57"/>
      <c r="G57">
        <v>54</v>
      </c>
      <c r="H57" t="s">
        <v>105</v>
      </c>
    </row>
    <row r="58" spans="1:8" ht="14.4">
      <c r="A58" s="31">
        <f>COUNTIF('BOM Atual ZPCS12'!F:F,B58)+(1-(SUMIF(Invoice!$A:$A,$B58,Invoice!$B:$B)/100000000000))</f>
        <v>1.9999999900000001</v>
      </c>
      <c r="B58" t="s">
        <v>357</v>
      </c>
      <c r="C58" t="s">
        <v>358</v>
      </c>
      <c r="D58" t="s">
        <v>147</v>
      </c>
      <c r="E58" t="s">
        <v>51</v>
      </c>
      <c r="F58"/>
      <c r="G58">
        <v>55</v>
      </c>
      <c r="H58" t="s">
        <v>105</v>
      </c>
    </row>
    <row r="59" spans="1:8" ht="14.4">
      <c r="A59" s="31">
        <f>COUNTIF('BOM Atual ZPCS12'!F:F,B59)+(1-(SUMIF(Invoice!$A:$A,$B59,Invoice!$B:$B)/100000000000))</f>
        <v>1</v>
      </c>
      <c r="B59" t="s">
        <v>2237</v>
      </c>
      <c r="C59" t="s">
        <v>2238</v>
      </c>
      <c r="D59" t="s">
        <v>147</v>
      </c>
      <c r="E59" t="s">
        <v>51</v>
      </c>
      <c r="F59"/>
      <c r="G59">
        <v>56</v>
      </c>
      <c r="H59" t="s">
        <v>105</v>
      </c>
    </row>
    <row r="60" spans="1:8" ht="14.4">
      <c r="A60" s="31">
        <f>COUNTIF('BOM Atual ZPCS12'!F:F,B60)+(1-(SUMIF(Invoice!$A:$A,$B60,Invoice!$B:$B)/100000000000))</f>
        <v>1</v>
      </c>
      <c r="B60" t="s">
        <v>2239</v>
      </c>
      <c r="C60" t="s">
        <v>2240</v>
      </c>
      <c r="D60" t="s">
        <v>147</v>
      </c>
      <c r="E60" t="s">
        <v>51</v>
      </c>
      <c r="F60"/>
      <c r="G60">
        <v>57</v>
      </c>
      <c r="H60" t="s">
        <v>105</v>
      </c>
    </row>
    <row r="61" spans="1:8" ht="14.4">
      <c r="A61" s="31">
        <f>COUNTIF('BOM Atual ZPCS12'!F:F,B61)+(1-(SUMIF(Invoice!$A:$A,$B61,Invoice!$B:$B)/100000000000))</f>
        <v>1</v>
      </c>
      <c r="B61" t="s">
        <v>2241</v>
      </c>
      <c r="C61" t="s">
        <v>2242</v>
      </c>
      <c r="D61" t="s">
        <v>147</v>
      </c>
      <c r="E61" t="s">
        <v>51</v>
      </c>
      <c r="F61"/>
      <c r="G61">
        <v>58</v>
      </c>
      <c r="H61" t="s">
        <v>105</v>
      </c>
    </row>
    <row r="62" spans="1:8" ht="14.4">
      <c r="A62" s="31">
        <f>COUNTIF('BOM Atual ZPCS12'!F:F,B62)+(1-(SUMIF(Invoice!$A:$A,$B62,Invoice!$B:$B)/100000000000))</f>
        <v>1</v>
      </c>
      <c r="B62" t="s">
        <v>2243</v>
      </c>
      <c r="C62" t="s">
        <v>2244</v>
      </c>
      <c r="D62" t="s">
        <v>147</v>
      </c>
      <c r="E62" t="s">
        <v>51</v>
      </c>
      <c r="F62"/>
      <c r="G62">
        <v>59</v>
      </c>
      <c r="H62" t="s">
        <v>105</v>
      </c>
    </row>
    <row r="63" spans="1:8" ht="14.4">
      <c r="A63" s="31">
        <f>COUNTIF('BOM Atual ZPCS12'!F:F,B63)+(1-(SUMIF(Invoice!$A:$A,$B63,Invoice!$B:$B)/100000000000))</f>
        <v>1</v>
      </c>
      <c r="B63" t="s">
        <v>2245</v>
      </c>
      <c r="C63" t="s">
        <v>2246</v>
      </c>
      <c r="D63" t="s">
        <v>147</v>
      </c>
      <c r="E63" t="s">
        <v>51</v>
      </c>
      <c r="F63"/>
      <c r="G63">
        <v>60</v>
      </c>
      <c r="H63" t="s">
        <v>105</v>
      </c>
    </row>
    <row r="64" spans="1:8" ht="14.4">
      <c r="A64" s="31">
        <f>COUNTIF('BOM Atual ZPCS12'!F:F,B64)+(1-(SUMIF(Invoice!$A:$A,$B64,Invoice!$B:$B)/100000000000))</f>
        <v>1.9999999509999999</v>
      </c>
      <c r="B64" t="s">
        <v>367</v>
      </c>
      <c r="C64" t="s">
        <v>368</v>
      </c>
      <c r="D64" t="s">
        <v>147</v>
      </c>
      <c r="E64" t="s">
        <v>51</v>
      </c>
      <c r="F64"/>
      <c r="G64">
        <v>61</v>
      </c>
      <c r="H64" t="s">
        <v>105</v>
      </c>
    </row>
    <row r="65" spans="1:8" ht="14.4">
      <c r="A65" s="31">
        <f>COUNTIF('BOM Atual ZPCS12'!F:F,B65)+(1-(SUMIF(Invoice!$A:$A,$B65,Invoice!$B:$B)/100000000000))</f>
        <v>1</v>
      </c>
      <c r="B65" t="s">
        <v>2247</v>
      </c>
      <c r="C65" t="s">
        <v>2248</v>
      </c>
      <c r="D65" t="s">
        <v>147</v>
      </c>
      <c r="E65" t="s">
        <v>51</v>
      </c>
      <c r="F65"/>
      <c r="G65">
        <v>62</v>
      </c>
      <c r="H65" t="s">
        <v>105</v>
      </c>
    </row>
    <row r="66" spans="1:8" ht="14.4">
      <c r="A66" s="31">
        <f>COUNTIF('BOM Atual ZPCS12'!F:F,B66)+(1-(SUMIF(Invoice!$A:$A,$B66,Invoice!$B:$B)/100000000000))</f>
        <v>1</v>
      </c>
      <c r="B66" t="s">
        <v>2249</v>
      </c>
      <c r="C66" t="s">
        <v>2250</v>
      </c>
      <c r="D66" t="s">
        <v>147</v>
      </c>
      <c r="E66" t="s">
        <v>51</v>
      </c>
      <c r="F66"/>
      <c r="G66">
        <v>63</v>
      </c>
      <c r="H66" t="s">
        <v>105</v>
      </c>
    </row>
    <row r="67" spans="1:8" ht="14.4">
      <c r="A67" s="31">
        <f>COUNTIF('BOM Atual ZPCS12'!F:F,B67)+(1-(SUMIF(Invoice!$A:$A,$B67,Invoice!$B:$B)/100000000000))</f>
        <v>1</v>
      </c>
      <c r="B67" t="s">
        <v>2251</v>
      </c>
      <c r="C67" t="s">
        <v>2252</v>
      </c>
      <c r="D67" t="s">
        <v>147</v>
      </c>
      <c r="E67" t="s">
        <v>51</v>
      </c>
      <c r="F67"/>
      <c r="G67">
        <v>64</v>
      </c>
      <c r="H67" t="s">
        <v>105</v>
      </c>
    </row>
    <row r="68" spans="1:8" ht="14.4">
      <c r="A68" s="31">
        <f>COUNTIF('BOM Atual ZPCS12'!F:F,B68)+(1-(SUMIF(Invoice!$A:$A,$B68,Invoice!$B:$B)/100000000000))</f>
        <v>1.9999999800000001</v>
      </c>
      <c r="B68" t="s">
        <v>371</v>
      </c>
      <c r="C68" t="s">
        <v>372</v>
      </c>
      <c r="D68" t="s">
        <v>147</v>
      </c>
      <c r="E68" t="s">
        <v>51</v>
      </c>
      <c r="F68"/>
      <c r="G68">
        <v>65</v>
      </c>
      <c r="H68" t="s">
        <v>105</v>
      </c>
    </row>
    <row r="69" spans="1:8" ht="14.4">
      <c r="A69" s="31">
        <f>COUNTIF('BOM Atual ZPCS12'!F:F,B69)+(1-(SUMIF(Invoice!$A:$A,$B69,Invoice!$B:$B)/100000000000))</f>
        <v>1</v>
      </c>
      <c r="B69" t="s">
        <v>2253</v>
      </c>
      <c r="C69" t="s">
        <v>2254</v>
      </c>
      <c r="D69" t="s">
        <v>147</v>
      </c>
      <c r="E69" t="s">
        <v>51</v>
      </c>
      <c r="F69"/>
      <c r="G69">
        <v>66</v>
      </c>
      <c r="H69" t="s">
        <v>105</v>
      </c>
    </row>
    <row r="70" spans="1:8" ht="14.4">
      <c r="A70" s="31">
        <f>COUNTIF('BOM Atual ZPCS12'!F:F,B70)+(1-(SUMIF(Invoice!$A:$A,$B70,Invoice!$B:$B)/100000000000))</f>
        <v>1.9999999900000001</v>
      </c>
      <c r="B70" t="s">
        <v>373</v>
      </c>
      <c r="C70" t="s">
        <v>374</v>
      </c>
      <c r="D70" t="s">
        <v>147</v>
      </c>
      <c r="E70" t="s">
        <v>51</v>
      </c>
      <c r="F70"/>
      <c r="G70">
        <v>67</v>
      </c>
      <c r="H70" t="s">
        <v>105</v>
      </c>
    </row>
    <row r="71" spans="1:8" ht="14.4">
      <c r="A71" s="31">
        <f>COUNTIF('BOM Atual ZPCS12'!F:F,B71)+(1-(SUMIF(Invoice!$A:$A,$B71,Invoice!$B:$B)/100000000000))</f>
        <v>1.9999999900000001</v>
      </c>
      <c r="B71" t="s">
        <v>375</v>
      </c>
      <c r="C71" t="s">
        <v>376</v>
      </c>
      <c r="D71" t="s">
        <v>147</v>
      </c>
      <c r="E71" t="s">
        <v>51</v>
      </c>
      <c r="F71"/>
      <c r="G71">
        <v>68</v>
      </c>
      <c r="H71" t="s">
        <v>105</v>
      </c>
    </row>
    <row r="72" spans="1:8" ht="14.4">
      <c r="A72" s="31">
        <f>COUNTIF('BOM Atual ZPCS12'!F:F,B72)+(1-(SUMIF(Invoice!$A:$A,$B72,Invoice!$B:$B)/100000000000))</f>
        <v>1</v>
      </c>
      <c r="B72" t="s">
        <v>2255</v>
      </c>
      <c r="C72" t="s">
        <v>2256</v>
      </c>
      <c r="D72" t="s">
        <v>147</v>
      </c>
      <c r="E72" t="s">
        <v>51</v>
      </c>
      <c r="F72"/>
      <c r="G72">
        <v>69</v>
      </c>
      <c r="H72" t="s">
        <v>105</v>
      </c>
    </row>
    <row r="73" spans="1:8" ht="14.4">
      <c r="A73" s="31">
        <f>COUNTIF('BOM Atual ZPCS12'!F:F,B73)+(1-(SUMIF(Invoice!$A:$A,$B73,Invoice!$B:$B)/100000000000))</f>
        <v>1</v>
      </c>
      <c r="B73" t="s">
        <v>2257</v>
      </c>
      <c r="C73" t="s">
        <v>2258</v>
      </c>
      <c r="D73" t="s">
        <v>147</v>
      </c>
      <c r="E73" t="s">
        <v>51</v>
      </c>
      <c r="F73"/>
      <c r="G73">
        <v>70</v>
      </c>
      <c r="H73" t="s">
        <v>105</v>
      </c>
    </row>
    <row r="74" spans="1:8" ht="14.4">
      <c r="A74" s="31">
        <f>COUNTIF('BOM Atual ZPCS12'!F:F,B74)+(1-(SUMIF(Invoice!$A:$A,$B74,Invoice!$B:$B)/100000000000))</f>
        <v>1.9999999800000001</v>
      </c>
      <c r="B74" t="s">
        <v>377</v>
      </c>
      <c r="C74" t="s">
        <v>2259</v>
      </c>
      <c r="D74" t="s">
        <v>147</v>
      </c>
      <c r="E74" t="s">
        <v>51</v>
      </c>
      <c r="F74"/>
      <c r="G74">
        <v>71</v>
      </c>
      <c r="H74" t="s">
        <v>105</v>
      </c>
    </row>
    <row r="75" spans="1:8" ht="14.4">
      <c r="A75" s="31">
        <f>COUNTIF('BOM Atual ZPCS12'!F:F,B75)+(1-(SUMIF(Invoice!$A:$A,$B75,Invoice!$B:$B)/100000000000))</f>
        <v>1</v>
      </c>
      <c r="B75" t="s">
        <v>2260</v>
      </c>
      <c r="C75" t="s">
        <v>2261</v>
      </c>
      <c r="D75" t="s">
        <v>147</v>
      </c>
      <c r="E75" t="s">
        <v>51</v>
      </c>
      <c r="F75"/>
      <c r="G75">
        <v>72</v>
      </c>
      <c r="H75" t="s">
        <v>105</v>
      </c>
    </row>
    <row r="76" spans="1:8" ht="14.4">
      <c r="A76" s="31">
        <f>COUNTIF('BOM Atual ZPCS12'!F:F,B76)+(1-(SUMIF(Invoice!$A:$A,$B76,Invoice!$B:$B)/100000000000))</f>
        <v>1</v>
      </c>
      <c r="B76" t="s">
        <v>2262</v>
      </c>
      <c r="C76" t="s">
        <v>2263</v>
      </c>
      <c r="D76" t="s">
        <v>147</v>
      </c>
      <c r="E76" t="s">
        <v>51</v>
      </c>
      <c r="F76"/>
      <c r="G76">
        <v>73</v>
      </c>
      <c r="H76" t="s">
        <v>105</v>
      </c>
    </row>
    <row r="77" spans="1:8" ht="14.4">
      <c r="A77" s="31">
        <f>COUNTIF('BOM Atual ZPCS12'!F:F,B77)+(1-(SUMIF(Invoice!$A:$A,$B77,Invoice!$B:$B)/100000000000))</f>
        <v>1</v>
      </c>
      <c r="B77" t="s">
        <v>2264</v>
      </c>
      <c r="C77" t="s">
        <v>2265</v>
      </c>
      <c r="D77" t="s">
        <v>147</v>
      </c>
      <c r="E77" t="s">
        <v>51</v>
      </c>
      <c r="F77"/>
      <c r="G77">
        <v>74</v>
      </c>
      <c r="H77" t="s">
        <v>105</v>
      </c>
    </row>
    <row r="78" spans="1:8" ht="14.4">
      <c r="A78" s="31">
        <f>COUNTIF('BOM Atual ZPCS12'!F:F,B78)+(1-(SUMIF(Invoice!$A:$A,$B78,Invoice!$B:$B)/100000000000))</f>
        <v>1</v>
      </c>
      <c r="B78" t="s">
        <v>2266</v>
      </c>
      <c r="C78" t="s">
        <v>2267</v>
      </c>
      <c r="D78" t="s">
        <v>147</v>
      </c>
      <c r="E78" t="s">
        <v>51</v>
      </c>
      <c r="F78"/>
      <c r="G78">
        <v>75</v>
      </c>
      <c r="H78" t="s">
        <v>105</v>
      </c>
    </row>
    <row r="79" spans="1:8" ht="14.4">
      <c r="A79" s="31">
        <f>COUNTIF('BOM Atual ZPCS12'!F:F,B79)+(1-(SUMIF(Invoice!$A:$A,$B79,Invoice!$B:$B)/100000000000))</f>
        <v>1.9999999900000001</v>
      </c>
      <c r="B79" t="s">
        <v>379</v>
      </c>
      <c r="C79" t="s">
        <v>380</v>
      </c>
      <c r="D79" t="s">
        <v>147</v>
      </c>
      <c r="E79" t="s">
        <v>51</v>
      </c>
      <c r="F79"/>
      <c r="G79">
        <v>76</v>
      </c>
      <c r="H79" t="s">
        <v>105</v>
      </c>
    </row>
    <row r="80" spans="1:8" ht="14.4">
      <c r="A80" s="31">
        <f>COUNTIF('BOM Atual ZPCS12'!F:F,B80)+(1-(SUMIF(Invoice!$A:$A,$B80,Invoice!$B:$B)/100000000000))</f>
        <v>1</v>
      </c>
      <c r="B80" t="s">
        <v>2268</v>
      </c>
      <c r="C80" t="s">
        <v>2269</v>
      </c>
      <c r="D80" t="s">
        <v>147</v>
      </c>
      <c r="E80" t="s">
        <v>51</v>
      </c>
      <c r="F80"/>
      <c r="G80">
        <v>77</v>
      </c>
      <c r="H80" t="s">
        <v>105</v>
      </c>
    </row>
    <row r="81" spans="1:8" ht="14.4">
      <c r="A81" s="31">
        <f>COUNTIF('BOM Atual ZPCS12'!F:F,B81)+(1-(SUMIF(Invoice!$A:$A,$B81,Invoice!$B:$B)/100000000000))</f>
        <v>1</v>
      </c>
      <c r="B81" t="s">
        <v>2270</v>
      </c>
      <c r="C81" t="s">
        <v>2271</v>
      </c>
      <c r="D81" t="s">
        <v>147</v>
      </c>
      <c r="E81" t="s">
        <v>51</v>
      </c>
      <c r="F81"/>
      <c r="G81">
        <v>78</v>
      </c>
      <c r="H81" t="s">
        <v>105</v>
      </c>
    </row>
    <row r="82" spans="1:8" ht="14.4">
      <c r="A82" s="31">
        <f>COUNTIF('BOM Atual ZPCS12'!F:F,B82)+(1-(SUMIF(Invoice!$A:$A,$B82,Invoice!$B:$B)/100000000000))</f>
        <v>1.9999999900000001</v>
      </c>
      <c r="B82" t="s">
        <v>393</v>
      </c>
      <c r="C82" t="s">
        <v>2272</v>
      </c>
      <c r="D82" t="s">
        <v>147</v>
      </c>
      <c r="E82" t="s">
        <v>51</v>
      </c>
      <c r="F82"/>
      <c r="G82">
        <v>79</v>
      </c>
      <c r="H82" t="s">
        <v>105</v>
      </c>
    </row>
    <row r="83" spans="1:8" ht="14.4">
      <c r="A83" s="31">
        <f>COUNTIF('BOM Atual ZPCS12'!F:F,B83)+(1-(SUMIF(Invoice!$A:$A,$B83,Invoice!$B:$B)/100000000000))</f>
        <v>1.9999999900000001</v>
      </c>
      <c r="B83" t="s">
        <v>407</v>
      </c>
      <c r="C83" t="s">
        <v>2273</v>
      </c>
      <c r="D83" t="s">
        <v>147</v>
      </c>
      <c r="E83" t="s">
        <v>51</v>
      </c>
      <c r="F83"/>
      <c r="G83">
        <v>80</v>
      </c>
      <c r="H83" t="s">
        <v>105</v>
      </c>
    </row>
    <row r="84" spans="1:8" ht="14.4">
      <c r="A84" s="31">
        <f>COUNTIF('BOM Atual ZPCS12'!F:F,B84)+(1-(SUMIF(Invoice!$A:$A,$B84,Invoice!$B:$B)/100000000000))</f>
        <v>1.9999999900000001</v>
      </c>
      <c r="B84" t="s">
        <v>410</v>
      </c>
      <c r="C84" t="s">
        <v>411</v>
      </c>
      <c r="D84" t="s">
        <v>147</v>
      </c>
      <c r="E84" t="s">
        <v>51</v>
      </c>
      <c r="F84"/>
      <c r="G84">
        <v>81</v>
      </c>
      <c r="H84" t="s">
        <v>105</v>
      </c>
    </row>
    <row r="85" spans="1:8" ht="14.4">
      <c r="A85" s="31">
        <f>COUNTIF('BOM Atual ZPCS12'!F:F,B85)+(1-(SUMIF(Invoice!$A:$A,$B85,Invoice!$B:$B)/100000000000))</f>
        <v>1.99999931</v>
      </c>
      <c r="B85" t="s">
        <v>423</v>
      </c>
      <c r="C85" t="s">
        <v>2274</v>
      </c>
      <c r="D85" t="s">
        <v>147</v>
      </c>
      <c r="E85" t="s">
        <v>51</v>
      </c>
      <c r="F85"/>
      <c r="G85">
        <v>82</v>
      </c>
      <c r="H85" t="s">
        <v>105</v>
      </c>
    </row>
    <row r="86" spans="1:8" ht="14.4">
      <c r="A86" s="31">
        <f>COUNTIF('BOM Atual ZPCS12'!F:F,B86)+(1-(SUMIF(Invoice!$A:$A,$B86,Invoice!$B:$B)/100000000000))</f>
        <v>1.99999986</v>
      </c>
      <c r="B86" t="s">
        <v>425</v>
      </c>
      <c r="C86" t="s">
        <v>426</v>
      </c>
      <c r="D86" t="s">
        <v>147</v>
      </c>
      <c r="E86" t="s">
        <v>51</v>
      </c>
      <c r="F86"/>
      <c r="G86">
        <v>83</v>
      </c>
      <c r="H86" t="s">
        <v>105</v>
      </c>
    </row>
    <row r="87" spans="1:8" ht="14.4">
      <c r="A87" s="31">
        <f>COUNTIF('BOM Atual ZPCS12'!F:F,B87)+(1-(SUMIF(Invoice!$A:$A,$B87,Invoice!$B:$B)/100000000000))</f>
        <v>1</v>
      </c>
      <c r="B87" t="s">
        <v>2275</v>
      </c>
      <c r="C87" t="s">
        <v>2276</v>
      </c>
      <c r="D87" t="s">
        <v>147</v>
      </c>
      <c r="E87" t="s">
        <v>51</v>
      </c>
      <c r="F87"/>
      <c r="G87">
        <v>84</v>
      </c>
      <c r="H87" t="s">
        <v>105</v>
      </c>
    </row>
    <row r="88" spans="1:8" ht="14.4">
      <c r="A88" s="31">
        <f>COUNTIF('BOM Atual ZPCS12'!F:F,B88)+(1-(SUMIF(Invoice!$A:$A,$B88,Invoice!$B:$B)/100000000000))</f>
        <v>1</v>
      </c>
      <c r="B88" t="s">
        <v>2277</v>
      </c>
      <c r="C88" t="s">
        <v>2278</v>
      </c>
      <c r="D88" t="s">
        <v>147</v>
      </c>
      <c r="E88" t="s">
        <v>51</v>
      </c>
      <c r="F88"/>
      <c r="G88">
        <v>85</v>
      </c>
      <c r="H88" t="s">
        <v>105</v>
      </c>
    </row>
    <row r="89" spans="1:8" ht="14.4">
      <c r="A89" s="31">
        <f>COUNTIF('BOM Atual ZPCS12'!F:F,B89)+(1-(SUMIF(Invoice!$A:$A,$B89,Invoice!$B:$B)/100000000000))</f>
        <v>1</v>
      </c>
      <c r="B89" t="s">
        <v>2279</v>
      </c>
      <c r="C89" t="s">
        <v>2280</v>
      </c>
      <c r="D89" t="s">
        <v>147</v>
      </c>
      <c r="E89" t="s">
        <v>51</v>
      </c>
      <c r="F89"/>
      <c r="G89">
        <v>86</v>
      </c>
      <c r="H89" t="s">
        <v>105</v>
      </c>
    </row>
    <row r="90" spans="1:8" ht="14.4">
      <c r="A90" s="31">
        <f>COUNTIF('BOM Atual ZPCS12'!F:F,B90)+(1-(SUMIF(Invoice!$A:$A,$B90,Invoice!$B:$B)/100000000000))</f>
        <v>1</v>
      </c>
      <c r="B90" t="s">
        <v>2281</v>
      </c>
      <c r="C90" t="s">
        <v>2282</v>
      </c>
      <c r="D90" t="s">
        <v>147</v>
      </c>
      <c r="E90" t="s">
        <v>51</v>
      </c>
      <c r="F90"/>
      <c r="G90">
        <v>87</v>
      </c>
      <c r="H90" t="s">
        <v>105</v>
      </c>
    </row>
    <row r="91" spans="1:8" ht="14.4">
      <c r="A91" s="31">
        <f>COUNTIF('BOM Atual ZPCS12'!F:F,B91)+(1-(SUMIF(Invoice!$A:$A,$B91,Invoice!$B:$B)/100000000000))</f>
        <v>1.9999999800000001</v>
      </c>
      <c r="B91" t="s">
        <v>519</v>
      </c>
      <c r="C91" t="s">
        <v>520</v>
      </c>
      <c r="D91" t="s">
        <v>147</v>
      </c>
      <c r="E91" t="s">
        <v>51</v>
      </c>
      <c r="F91"/>
      <c r="G91">
        <v>88</v>
      </c>
      <c r="H91" t="s">
        <v>105</v>
      </c>
    </row>
    <row r="92" spans="1:8" ht="14.4">
      <c r="A92" s="31">
        <f>COUNTIF('BOM Atual ZPCS12'!F:F,B92)+(1-(SUMIF(Invoice!$A:$A,$B92,Invoice!$B:$B)/100000000000))</f>
        <v>1</v>
      </c>
      <c r="B92" t="s">
        <v>2283</v>
      </c>
      <c r="C92" t="s">
        <v>2284</v>
      </c>
      <c r="D92" t="s">
        <v>147</v>
      </c>
      <c r="E92" t="s">
        <v>51</v>
      </c>
      <c r="F92"/>
      <c r="G92">
        <v>89</v>
      </c>
      <c r="H92" t="s">
        <v>105</v>
      </c>
    </row>
    <row r="93" spans="1:8" ht="14.4">
      <c r="A93" s="31">
        <f>COUNTIF('BOM Atual ZPCS12'!F:F,B93)+(1-(SUMIF(Invoice!$A:$A,$B93,Invoice!$B:$B)/100000000000))</f>
        <v>1</v>
      </c>
      <c r="B93" t="s">
        <v>2285</v>
      </c>
      <c r="C93" t="s">
        <v>2286</v>
      </c>
      <c r="D93" t="s">
        <v>147</v>
      </c>
      <c r="E93" t="s">
        <v>51</v>
      </c>
      <c r="F93"/>
      <c r="G93">
        <v>90</v>
      </c>
      <c r="H93" t="s">
        <v>105</v>
      </c>
    </row>
    <row r="94" spans="1:8" ht="14.4">
      <c r="A94" s="31">
        <f>COUNTIF('BOM Atual ZPCS12'!F:F,B94)+(1-(SUMIF(Invoice!$A:$A,$B94,Invoice!$B:$B)/100000000000))</f>
        <v>1</v>
      </c>
      <c r="B94" t="s">
        <v>2287</v>
      </c>
      <c r="C94" t="s">
        <v>2288</v>
      </c>
      <c r="D94" t="s">
        <v>147</v>
      </c>
      <c r="E94" t="s">
        <v>51</v>
      </c>
      <c r="F94"/>
      <c r="G94">
        <v>91</v>
      </c>
      <c r="H94" t="s">
        <v>105</v>
      </c>
    </row>
    <row r="95" spans="1:8" ht="14.4">
      <c r="A95" s="31">
        <f>COUNTIF('BOM Atual ZPCS12'!F:F,B95)+(1-(SUMIF(Invoice!$A:$A,$B95,Invoice!$B:$B)/100000000000))</f>
        <v>1</v>
      </c>
      <c r="B95" t="s">
        <v>2289</v>
      </c>
      <c r="C95" t="s">
        <v>2290</v>
      </c>
      <c r="D95" t="s">
        <v>147</v>
      </c>
      <c r="E95" t="s">
        <v>51</v>
      </c>
      <c r="F95"/>
      <c r="G95">
        <v>92</v>
      </c>
      <c r="H95" t="s">
        <v>105</v>
      </c>
    </row>
    <row r="96" spans="1:8" ht="14.4">
      <c r="A96" s="31">
        <f>COUNTIF('BOM Atual ZPCS12'!F:F,B96)+(1-(SUMIF(Invoice!$A:$A,$B96,Invoice!$B:$B)/100000000000))</f>
        <v>1</v>
      </c>
      <c r="B96" t="s">
        <v>2291</v>
      </c>
      <c r="C96" t="s">
        <v>2292</v>
      </c>
      <c r="D96" t="s">
        <v>147</v>
      </c>
      <c r="E96" t="s">
        <v>51</v>
      </c>
      <c r="F96"/>
      <c r="G96">
        <v>93</v>
      </c>
      <c r="H96" t="s">
        <v>105</v>
      </c>
    </row>
    <row r="97" spans="1:8" ht="14.4">
      <c r="A97" s="31">
        <f>COUNTIF('BOM Atual ZPCS12'!F:F,B97)+(1-(SUMIF(Invoice!$A:$A,$B97,Invoice!$B:$B)/100000000000))</f>
        <v>1</v>
      </c>
      <c r="B97" t="s">
        <v>2293</v>
      </c>
      <c r="C97" t="s">
        <v>2294</v>
      </c>
      <c r="D97" t="s">
        <v>147</v>
      </c>
      <c r="E97" t="s">
        <v>51</v>
      </c>
      <c r="F97"/>
      <c r="G97">
        <v>94</v>
      </c>
      <c r="H97" t="s">
        <v>105</v>
      </c>
    </row>
    <row r="98" spans="1:8" ht="14.4">
      <c r="A98" s="31">
        <f>COUNTIF('BOM Atual ZPCS12'!F:F,B98)+(1-(SUMIF(Invoice!$A:$A,$B98,Invoice!$B:$B)/100000000000))</f>
        <v>1</v>
      </c>
      <c r="B98" t="s">
        <v>2295</v>
      </c>
      <c r="C98" t="s">
        <v>2296</v>
      </c>
      <c r="D98" t="s">
        <v>147</v>
      </c>
      <c r="E98" t="s">
        <v>51</v>
      </c>
      <c r="F98"/>
      <c r="G98">
        <v>95</v>
      </c>
      <c r="H98" t="s">
        <v>105</v>
      </c>
    </row>
    <row r="99" spans="1:8" ht="14.4">
      <c r="A99" s="31">
        <f>COUNTIF('BOM Atual ZPCS12'!F:F,B99)+(1-(SUMIF(Invoice!$A:$A,$B99,Invoice!$B:$B)/100000000000))</f>
        <v>1</v>
      </c>
      <c r="B99" t="s">
        <v>2297</v>
      </c>
      <c r="C99" t="s">
        <v>2298</v>
      </c>
      <c r="D99" t="s">
        <v>147</v>
      </c>
      <c r="E99" t="s">
        <v>51</v>
      </c>
      <c r="F99"/>
      <c r="G99">
        <v>96</v>
      </c>
      <c r="H99" t="s">
        <v>105</v>
      </c>
    </row>
    <row r="100" spans="1:8" ht="14.4">
      <c r="A100" s="31">
        <f>COUNTIF('BOM Atual ZPCS12'!F:F,B100)+(1-(SUMIF(Invoice!$A:$A,$B100,Invoice!$B:$B)/100000000000))</f>
        <v>1</v>
      </c>
      <c r="B100" t="s">
        <v>2299</v>
      </c>
      <c r="C100" t="s">
        <v>2300</v>
      </c>
      <c r="D100" t="s">
        <v>147</v>
      </c>
      <c r="E100" t="s">
        <v>51</v>
      </c>
      <c r="F100"/>
      <c r="G100">
        <v>97</v>
      </c>
      <c r="H100" t="s">
        <v>105</v>
      </c>
    </row>
    <row r="101" spans="1:8" ht="14.4">
      <c r="A101" s="31">
        <f>COUNTIF('BOM Atual ZPCS12'!F:F,B101)+(1-(SUMIF(Invoice!$A:$A,$B101,Invoice!$B:$B)/100000000000))</f>
        <v>1</v>
      </c>
      <c r="B101" t="s">
        <v>2301</v>
      </c>
      <c r="C101" t="s">
        <v>2302</v>
      </c>
      <c r="D101" t="s">
        <v>147</v>
      </c>
      <c r="E101" t="s">
        <v>51</v>
      </c>
      <c r="F101"/>
      <c r="G101">
        <v>98</v>
      </c>
      <c r="H101" t="s">
        <v>105</v>
      </c>
    </row>
    <row r="102" spans="1:8" ht="14.4">
      <c r="A102" s="31">
        <f>COUNTIF('BOM Atual ZPCS12'!F:F,B102)+(1-(SUMIF(Invoice!$A:$A,$B102,Invoice!$B:$B)/100000000000))</f>
        <v>1</v>
      </c>
      <c r="B102" t="s">
        <v>2303</v>
      </c>
      <c r="C102" t="s">
        <v>2304</v>
      </c>
      <c r="D102" t="s">
        <v>147</v>
      </c>
      <c r="E102" t="s">
        <v>51</v>
      </c>
      <c r="F102"/>
      <c r="G102">
        <v>99</v>
      </c>
      <c r="H102" t="s">
        <v>105</v>
      </c>
    </row>
    <row r="103" spans="1:8" ht="14.4">
      <c r="A103" s="31">
        <f>COUNTIF('BOM Atual ZPCS12'!F:F,B103)+(1-(SUMIF(Invoice!$A:$A,$B103,Invoice!$B:$B)/100000000000))</f>
        <v>1.99999982</v>
      </c>
      <c r="B103" t="s">
        <v>603</v>
      </c>
      <c r="C103" t="s">
        <v>604</v>
      </c>
      <c r="D103" t="s">
        <v>147</v>
      </c>
      <c r="E103" t="s">
        <v>51</v>
      </c>
      <c r="F103"/>
      <c r="G103">
        <v>100</v>
      </c>
      <c r="H103" t="s">
        <v>105</v>
      </c>
    </row>
    <row r="104" spans="1:8" ht="14.4">
      <c r="A104" s="31">
        <f>COUNTIF('BOM Atual ZPCS12'!F:F,B104)+(1-(SUMIF(Invoice!$A:$A,$B104,Invoice!$B:$B)/100000000000))</f>
        <v>1</v>
      </c>
      <c r="B104" t="s">
        <v>2305</v>
      </c>
      <c r="C104" t="s">
        <v>2306</v>
      </c>
      <c r="D104" t="s">
        <v>147</v>
      </c>
      <c r="E104" t="s">
        <v>51</v>
      </c>
      <c r="F104"/>
      <c r="G104">
        <v>101</v>
      </c>
      <c r="H104" t="s">
        <v>105</v>
      </c>
    </row>
    <row r="105" spans="1:8" ht="14.4">
      <c r="A105" s="31">
        <f>COUNTIF('BOM Atual ZPCS12'!F:F,B105)+(1-(SUMIF(Invoice!$A:$A,$B105,Invoice!$B:$B)/100000000000))</f>
        <v>1</v>
      </c>
      <c r="B105" t="s">
        <v>2307</v>
      </c>
      <c r="C105" t="s">
        <v>2308</v>
      </c>
      <c r="D105" t="s">
        <v>147</v>
      </c>
      <c r="E105" t="s">
        <v>51</v>
      </c>
      <c r="F105"/>
      <c r="G105">
        <v>102</v>
      </c>
      <c r="H105" t="s">
        <v>105</v>
      </c>
    </row>
    <row r="106" spans="1:8" ht="14.4">
      <c r="A106" s="31">
        <f>COUNTIF('BOM Atual ZPCS12'!F:F,B106)+(1-(SUMIF(Invoice!$A:$A,$B106,Invoice!$B:$B)/100000000000))</f>
        <v>1</v>
      </c>
      <c r="B106" t="s">
        <v>2309</v>
      </c>
      <c r="C106" t="s">
        <v>2310</v>
      </c>
      <c r="D106" t="s">
        <v>147</v>
      </c>
      <c r="E106" t="s">
        <v>51</v>
      </c>
      <c r="F106"/>
      <c r="G106">
        <v>103</v>
      </c>
      <c r="H106" t="s">
        <v>105</v>
      </c>
    </row>
    <row r="107" spans="1:8" ht="14.4">
      <c r="A107" s="31">
        <f>COUNTIF('BOM Atual ZPCS12'!F:F,B107)+(1-(SUMIF(Invoice!$A:$A,$B107,Invoice!$B:$B)/100000000000))</f>
        <v>1</v>
      </c>
      <c r="B107" t="s">
        <v>2311</v>
      </c>
      <c r="C107" t="s">
        <v>2312</v>
      </c>
      <c r="D107" t="s">
        <v>147</v>
      </c>
      <c r="E107" t="s">
        <v>51</v>
      </c>
      <c r="F107"/>
      <c r="G107">
        <v>104</v>
      </c>
      <c r="H107" t="s">
        <v>105</v>
      </c>
    </row>
    <row r="108" spans="1:8" ht="14.4">
      <c r="A108" s="31">
        <f>COUNTIF('BOM Atual ZPCS12'!F:F,B108)+(1-(SUMIF(Invoice!$A:$A,$B108,Invoice!$B:$B)/100000000000))</f>
        <v>1.9999999800000001</v>
      </c>
      <c r="B108" t="s">
        <v>614</v>
      </c>
      <c r="C108" t="s">
        <v>615</v>
      </c>
      <c r="D108" t="s">
        <v>147</v>
      </c>
      <c r="E108" t="s">
        <v>51</v>
      </c>
      <c r="F108"/>
      <c r="G108">
        <v>105</v>
      </c>
      <c r="H108" t="s">
        <v>105</v>
      </c>
    </row>
    <row r="109" spans="1:8" ht="14.4">
      <c r="A109" s="31">
        <f>COUNTIF('BOM Atual ZPCS12'!F:F,B109)+(1-(SUMIF(Invoice!$A:$A,$B109,Invoice!$B:$B)/100000000000))</f>
        <v>1</v>
      </c>
      <c r="B109" t="s">
        <v>2313</v>
      </c>
      <c r="C109" t="s">
        <v>2314</v>
      </c>
      <c r="D109" t="s">
        <v>147</v>
      </c>
      <c r="E109" t="s">
        <v>51</v>
      </c>
      <c r="F109"/>
      <c r="G109">
        <v>106</v>
      </c>
      <c r="H109" t="s">
        <v>105</v>
      </c>
    </row>
    <row r="110" spans="1:8" ht="14.4">
      <c r="A110" s="31">
        <f>COUNTIF('BOM Atual ZPCS12'!F:F,B110)+(1-(SUMIF(Invoice!$A:$A,$B110,Invoice!$B:$B)/100000000000))</f>
        <v>1</v>
      </c>
      <c r="B110" t="s">
        <v>2315</v>
      </c>
      <c r="C110" t="s">
        <v>2316</v>
      </c>
      <c r="D110" t="s">
        <v>147</v>
      </c>
      <c r="E110" t="s">
        <v>51</v>
      </c>
      <c r="F110"/>
      <c r="G110">
        <v>107</v>
      </c>
      <c r="H110" t="s">
        <v>105</v>
      </c>
    </row>
    <row r="111" spans="1:8" ht="14.4">
      <c r="A111" s="31">
        <f>COUNTIF('BOM Atual ZPCS12'!F:F,B111)+(1-(SUMIF(Invoice!$A:$A,$B111,Invoice!$B:$B)/100000000000))</f>
        <v>1</v>
      </c>
      <c r="B111" t="s">
        <v>2317</v>
      </c>
      <c r="C111" t="s">
        <v>2318</v>
      </c>
      <c r="D111" t="s">
        <v>147</v>
      </c>
      <c r="E111" t="s">
        <v>51</v>
      </c>
      <c r="F111"/>
      <c r="G111">
        <v>108</v>
      </c>
      <c r="H111" t="s">
        <v>105</v>
      </c>
    </row>
    <row r="112" spans="1:8" ht="14.4">
      <c r="A112" s="31">
        <f>COUNTIF('BOM Atual ZPCS12'!F:F,B112)+(1-(SUMIF(Invoice!$A:$A,$B112,Invoice!$B:$B)/100000000000))</f>
        <v>1.9999999499999999</v>
      </c>
      <c r="B112" t="s">
        <v>656</v>
      </c>
      <c r="C112" t="s">
        <v>657</v>
      </c>
      <c r="D112" t="s">
        <v>147</v>
      </c>
      <c r="E112" t="s">
        <v>51</v>
      </c>
      <c r="F112"/>
      <c r="G112">
        <v>109</v>
      </c>
      <c r="H112" t="s">
        <v>105</v>
      </c>
    </row>
    <row r="113" spans="1:8" ht="14.4">
      <c r="A113" s="31">
        <f>COUNTIF('BOM Atual ZPCS12'!F:F,B113)+(1-(SUMIF(Invoice!$A:$A,$B113,Invoice!$B:$B)/100000000000))</f>
        <v>1.9999999499999999</v>
      </c>
      <c r="B113" t="s">
        <v>662</v>
      </c>
      <c r="C113" t="s">
        <v>663</v>
      </c>
      <c r="D113" t="s">
        <v>147</v>
      </c>
      <c r="E113" t="s">
        <v>51</v>
      </c>
      <c r="F113"/>
      <c r="G113">
        <v>110</v>
      </c>
      <c r="H113" t="s">
        <v>105</v>
      </c>
    </row>
    <row r="114" spans="1:8" ht="14.4">
      <c r="A114" s="31">
        <f>COUNTIF('BOM Atual ZPCS12'!F:F,B114)+(1-(SUMIF(Invoice!$A:$A,$B114,Invoice!$B:$B)/100000000000))</f>
        <v>2</v>
      </c>
      <c r="B114">
        <v>102006000</v>
      </c>
      <c r="C114" t="s">
        <v>2319</v>
      </c>
      <c r="D114" t="s">
        <v>147</v>
      </c>
      <c r="E114" t="s">
        <v>51</v>
      </c>
      <c r="F114"/>
      <c r="G114">
        <v>111</v>
      </c>
      <c r="H114" t="s">
        <v>105</v>
      </c>
    </row>
    <row r="115" spans="1:8" ht="14.4">
      <c r="A115" s="31">
        <f>COUNTIF('BOM Atual ZPCS12'!F:F,B115)+(1-(SUMIF(Invoice!$A:$A,$B115,Invoice!$B:$B)/100000000000))</f>
        <v>1.99999992</v>
      </c>
      <c r="B115" t="s">
        <v>1928</v>
      </c>
      <c r="C115" t="s">
        <v>1929</v>
      </c>
      <c r="D115" t="s">
        <v>147</v>
      </c>
      <c r="E115" t="s">
        <v>51</v>
      </c>
      <c r="F115"/>
      <c r="G115">
        <v>112</v>
      </c>
      <c r="H115" t="s">
        <v>105</v>
      </c>
    </row>
    <row r="116" spans="1:8" ht="14.4">
      <c r="A116" s="31">
        <f>COUNTIF('BOM Atual ZPCS12'!F:F,B116)+(1-(SUMIF(Invoice!$A:$A,$B116,Invoice!$B:$B)/100000000000))</f>
        <v>1</v>
      </c>
      <c r="B116" t="s">
        <v>2320</v>
      </c>
      <c r="C116" t="s">
        <v>2321</v>
      </c>
      <c r="D116" t="s">
        <v>147</v>
      </c>
      <c r="E116" t="s">
        <v>51</v>
      </c>
      <c r="F116"/>
      <c r="G116">
        <v>113</v>
      </c>
      <c r="H116" t="s">
        <v>105</v>
      </c>
    </row>
    <row r="117" spans="1:8" ht="14.4">
      <c r="A117" s="31">
        <f>COUNTIF('BOM Atual ZPCS12'!F:F,B117)+(1-(SUMIF(Invoice!$A:$A,$B117,Invoice!$B:$B)/100000000000))</f>
        <v>1</v>
      </c>
      <c r="B117" t="s">
        <v>2322</v>
      </c>
      <c r="C117" t="s">
        <v>2323</v>
      </c>
      <c r="D117" t="s">
        <v>147</v>
      </c>
      <c r="E117" t="s">
        <v>51</v>
      </c>
      <c r="F117"/>
      <c r="G117">
        <v>114</v>
      </c>
      <c r="H117" t="s">
        <v>105</v>
      </c>
    </row>
    <row r="118" spans="1:8" ht="14.4">
      <c r="A118" s="31">
        <f>COUNTIF('BOM Atual ZPCS12'!F:F,B118)+(1-(SUMIF(Invoice!$A:$A,$B118,Invoice!$B:$B)/100000000000))</f>
        <v>1</v>
      </c>
      <c r="B118" t="s">
        <v>2324</v>
      </c>
      <c r="C118" t="s">
        <v>2325</v>
      </c>
      <c r="D118" t="s">
        <v>147</v>
      </c>
      <c r="E118" t="s">
        <v>51</v>
      </c>
      <c r="F118"/>
      <c r="G118">
        <v>115</v>
      </c>
      <c r="H118" t="s">
        <v>105</v>
      </c>
    </row>
    <row r="119" spans="1:8" ht="14.4">
      <c r="A119" s="31">
        <f>COUNTIF('BOM Atual ZPCS12'!F:F,B119)+(1-(SUMIF(Invoice!$A:$A,$B119,Invoice!$B:$B)/100000000000))</f>
        <v>1</v>
      </c>
      <c r="B119" t="s">
        <v>2326</v>
      </c>
      <c r="C119" t="s">
        <v>2327</v>
      </c>
      <c r="D119" t="s">
        <v>147</v>
      </c>
      <c r="E119" t="s">
        <v>51</v>
      </c>
      <c r="F119"/>
      <c r="G119">
        <v>116</v>
      </c>
      <c r="H119" t="s">
        <v>105</v>
      </c>
    </row>
    <row r="120" spans="1:8" ht="14.4">
      <c r="A120" s="31">
        <f>COUNTIF('BOM Atual ZPCS12'!F:F,B120)+(1-(SUMIF(Invoice!$A:$A,$B120,Invoice!$B:$B)/100000000000))</f>
        <v>1</v>
      </c>
      <c r="B120" t="s">
        <v>2328</v>
      </c>
      <c r="C120" t="s">
        <v>2329</v>
      </c>
      <c r="D120" t="s">
        <v>147</v>
      </c>
      <c r="E120" t="s">
        <v>51</v>
      </c>
      <c r="F120"/>
      <c r="G120">
        <v>117</v>
      </c>
      <c r="H120" t="s">
        <v>105</v>
      </c>
    </row>
    <row r="121" spans="1:8" ht="14.4">
      <c r="A121" s="31">
        <f>COUNTIF('BOM Atual ZPCS12'!F:F,B121)+(1-(SUMIF(Invoice!$A:$A,$B121,Invoice!$B:$B)/100000000000))</f>
        <v>1.9999999399999999</v>
      </c>
      <c r="B121" t="s">
        <v>1930</v>
      </c>
      <c r="C121" t="s">
        <v>1931</v>
      </c>
      <c r="D121" t="s">
        <v>147</v>
      </c>
      <c r="E121" t="s">
        <v>51</v>
      </c>
      <c r="F121"/>
      <c r="G121">
        <v>118</v>
      </c>
      <c r="H121" t="s">
        <v>105</v>
      </c>
    </row>
    <row r="122" spans="1:8" ht="14.4">
      <c r="A122" s="31">
        <f>COUNTIF('BOM Atual ZPCS12'!F:F,B122)+(1-(SUMIF(Invoice!$A:$A,$B122,Invoice!$B:$B)/100000000000))</f>
        <v>1.99999986</v>
      </c>
      <c r="B122" t="s">
        <v>1932</v>
      </c>
      <c r="C122" t="s">
        <v>1933</v>
      </c>
      <c r="D122" t="s">
        <v>147</v>
      </c>
      <c r="E122" t="s">
        <v>51</v>
      </c>
      <c r="F122"/>
      <c r="G122">
        <v>119</v>
      </c>
      <c r="H122" t="s">
        <v>105</v>
      </c>
    </row>
    <row r="123" spans="1:8" ht="14.4">
      <c r="A123" s="31">
        <f>COUNTIF('BOM Atual ZPCS12'!F:F,B123)+(1-(SUMIF(Invoice!$A:$A,$B123,Invoice!$B:$B)/100000000000))</f>
        <v>1.9999998799999998</v>
      </c>
      <c r="B123" t="s">
        <v>1934</v>
      </c>
      <c r="C123" t="s">
        <v>1935</v>
      </c>
      <c r="D123" t="s">
        <v>147</v>
      </c>
      <c r="E123" t="s">
        <v>51</v>
      </c>
      <c r="F123"/>
      <c r="G123">
        <v>120</v>
      </c>
      <c r="H123" t="s">
        <v>105</v>
      </c>
    </row>
    <row r="124" spans="1:8" ht="14.4">
      <c r="A124" s="31">
        <f>COUNTIF('BOM Atual ZPCS12'!F:F,B124)+(1-(SUMIF(Invoice!$A:$A,$B124,Invoice!$B:$B)/100000000000))</f>
        <v>1.9999999040000001</v>
      </c>
      <c r="B124" t="s">
        <v>1936</v>
      </c>
      <c r="C124" t="s">
        <v>1937</v>
      </c>
      <c r="D124" t="s">
        <v>147</v>
      </c>
      <c r="E124" t="s">
        <v>51</v>
      </c>
      <c r="F124"/>
      <c r="G124">
        <v>121</v>
      </c>
      <c r="H124" t="s">
        <v>105</v>
      </c>
    </row>
    <row r="125" spans="1:8" ht="14.4">
      <c r="A125" s="31">
        <f>COUNTIF('BOM Atual ZPCS12'!F:F,B125)+(1-(SUMIF(Invoice!$A:$A,$B125,Invoice!$B:$B)/100000000000))</f>
        <v>1</v>
      </c>
      <c r="B125" t="s">
        <v>2330</v>
      </c>
      <c r="C125" t="s">
        <v>2331</v>
      </c>
      <c r="D125" t="s">
        <v>147</v>
      </c>
      <c r="E125" t="s">
        <v>51</v>
      </c>
      <c r="F125"/>
      <c r="G125">
        <v>122</v>
      </c>
      <c r="H125" t="s">
        <v>105</v>
      </c>
    </row>
    <row r="126" spans="1:8" ht="14.4">
      <c r="A126" s="31">
        <f>COUNTIF('BOM Atual ZPCS12'!F:F,B126)+(1-(SUMIF(Invoice!$A:$A,$B126,Invoice!$B:$B)/100000000000))</f>
        <v>1</v>
      </c>
      <c r="B126" t="s">
        <v>2332</v>
      </c>
      <c r="C126" t="s">
        <v>2333</v>
      </c>
      <c r="D126" t="s">
        <v>147</v>
      </c>
      <c r="E126" t="s">
        <v>51</v>
      </c>
      <c r="F126"/>
      <c r="G126">
        <v>123</v>
      </c>
      <c r="H126" t="s">
        <v>105</v>
      </c>
    </row>
    <row r="127" spans="1:8" ht="14.4">
      <c r="A127" s="31">
        <f>COUNTIF('BOM Atual ZPCS12'!F:F,B127)+(1-(SUMIF(Invoice!$A:$A,$B127,Invoice!$B:$B)/100000000000))</f>
        <v>1</v>
      </c>
      <c r="B127" t="s">
        <v>2334</v>
      </c>
      <c r="C127" t="s">
        <v>2335</v>
      </c>
      <c r="D127" t="s">
        <v>147</v>
      </c>
      <c r="E127" t="s">
        <v>51</v>
      </c>
      <c r="F127"/>
      <c r="G127">
        <v>124</v>
      </c>
      <c r="H127" t="s">
        <v>105</v>
      </c>
    </row>
    <row r="128" spans="1:8" ht="14.4">
      <c r="A128" s="31">
        <f>COUNTIF('BOM Atual ZPCS12'!F:F,B128)+(1-(SUMIF(Invoice!$A:$A,$B128,Invoice!$B:$B)/100000000000))</f>
        <v>1</v>
      </c>
      <c r="B128" t="s">
        <v>2336</v>
      </c>
      <c r="C128" t="s">
        <v>2337</v>
      </c>
      <c r="D128" t="s">
        <v>147</v>
      </c>
      <c r="E128" t="s">
        <v>51</v>
      </c>
      <c r="F128"/>
      <c r="G128">
        <v>125</v>
      </c>
      <c r="H128" t="s">
        <v>105</v>
      </c>
    </row>
    <row r="129" spans="1:8" ht="14.4">
      <c r="A129" s="31">
        <f>COUNTIF('BOM Atual ZPCS12'!F:F,B129)+(1-(SUMIF(Invoice!$A:$A,$B129,Invoice!$B:$B)/100000000000))</f>
        <v>1</v>
      </c>
      <c r="B129" t="s">
        <v>2338</v>
      </c>
      <c r="C129" t="s">
        <v>2339</v>
      </c>
      <c r="D129" t="s">
        <v>147</v>
      </c>
      <c r="E129" t="s">
        <v>51</v>
      </c>
      <c r="F129"/>
      <c r="G129">
        <v>126</v>
      </c>
      <c r="H129" t="s">
        <v>105</v>
      </c>
    </row>
    <row r="130" spans="1:8" ht="14.4">
      <c r="A130" s="31">
        <f>COUNTIF('BOM Atual ZPCS12'!F:F,B130)+(1-(SUMIF(Invoice!$A:$A,$B130,Invoice!$B:$B)/100000000000))</f>
        <v>1</v>
      </c>
      <c r="B130" t="s">
        <v>2340</v>
      </c>
      <c r="C130" t="s">
        <v>2341</v>
      </c>
      <c r="D130" t="s">
        <v>147</v>
      </c>
      <c r="E130" t="s">
        <v>51</v>
      </c>
      <c r="F130"/>
      <c r="G130">
        <v>127</v>
      </c>
      <c r="H130" t="s">
        <v>105</v>
      </c>
    </row>
    <row r="131" spans="1:8" ht="14.4">
      <c r="A131" s="31">
        <f>COUNTIF('BOM Atual ZPCS12'!F:F,B131)+(1-(SUMIF(Invoice!$A:$A,$B131,Invoice!$B:$B)/100000000000))</f>
        <v>1</v>
      </c>
      <c r="B131" t="s">
        <v>2342</v>
      </c>
      <c r="C131" t="s">
        <v>2343</v>
      </c>
      <c r="D131" t="s">
        <v>147</v>
      </c>
      <c r="E131" t="s">
        <v>51</v>
      </c>
      <c r="F131"/>
      <c r="G131">
        <v>128</v>
      </c>
      <c r="H131" t="s">
        <v>105</v>
      </c>
    </row>
    <row r="132" spans="1:8" ht="14.4">
      <c r="A132" s="31">
        <f>COUNTIF('BOM Atual ZPCS12'!F:F,B132)+(1-(SUMIF(Invoice!$A:$A,$B132,Invoice!$B:$B)/100000000000))</f>
        <v>1</v>
      </c>
      <c r="B132" t="s">
        <v>2344</v>
      </c>
      <c r="C132" t="s">
        <v>2345</v>
      </c>
      <c r="D132" t="s">
        <v>147</v>
      </c>
      <c r="E132" t="s">
        <v>51</v>
      </c>
      <c r="F132"/>
      <c r="G132">
        <v>129</v>
      </c>
      <c r="H132" t="s">
        <v>105</v>
      </c>
    </row>
    <row r="133" spans="1:8" ht="14.4">
      <c r="A133" s="31">
        <f>COUNTIF('BOM Atual ZPCS12'!F:F,B133)+(1-(SUMIF(Invoice!$A:$A,$B133,Invoice!$B:$B)/100000000000))</f>
        <v>1</v>
      </c>
      <c r="B133" t="s">
        <v>2346</v>
      </c>
      <c r="C133" t="s">
        <v>2347</v>
      </c>
      <c r="D133" t="s">
        <v>147</v>
      </c>
      <c r="E133" t="s">
        <v>51</v>
      </c>
      <c r="F133"/>
      <c r="G133">
        <v>130</v>
      </c>
      <c r="H133" t="s">
        <v>105</v>
      </c>
    </row>
    <row r="134" spans="1:8" ht="14.4">
      <c r="A134" s="31">
        <f>COUNTIF('BOM Atual ZPCS12'!F:F,B134)+(1-(SUMIF(Invoice!$A:$A,$B134,Invoice!$B:$B)/100000000000))</f>
        <v>1.9999999669999999</v>
      </c>
      <c r="B134" t="s">
        <v>1839</v>
      </c>
      <c r="C134" t="s">
        <v>1840</v>
      </c>
      <c r="D134" t="s">
        <v>147</v>
      </c>
      <c r="E134" t="s">
        <v>51</v>
      </c>
      <c r="F134"/>
      <c r="G134">
        <v>131</v>
      </c>
      <c r="H134" t="s">
        <v>105</v>
      </c>
    </row>
    <row r="135" spans="1:8" ht="14.4">
      <c r="A135" s="31">
        <f>COUNTIF('BOM Atual ZPCS12'!F:F,B135)+(1-(SUMIF(Invoice!$A:$A,$B135,Invoice!$B:$B)/100000000000))</f>
        <v>1</v>
      </c>
      <c r="B135" t="s">
        <v>2348</v>
      </c>
      <c r="C135" t="s">
        <v>2349</v>
      </c>
      <c r="D135" t="s">
        <v>147</v>
      </c>
      <c r="E135" t="s">
        <v>51</v>
      </c>
      <c r="F135"/>
      <c r="G135">
        <v>132</v>
      </c>
      <c r="H135" t="s">
        <v>105</v>
      </c>
    </row>
    <row r="136" spans="1:8" ht="14.4">
      <c r="A136" s="31">
        <f>COUNTIF('BOM Atual ZPCS12'!F:F,B136)+(1-(SUMIF(Invoice!$A:$A,$B136,Invoice!$B:$B)/100000000000))</f>
        <v>1</v>
      </c>
      <c r="B136" t="s">
        <v>2350</v>
      </c>
      <c r="C136" t="s">
        <v>2351</v>
      </c>
      <c r="D136" t="s">
        <v>147</v>
      </c>
      <c r="E136" t="s">
        <v>51</v>
      </c>
      <c r="F136"/>
      <c r="G136">
        <v>133</v>
      </c>
      <c r="H136" t="s">
        <v>105</v>
      </c>
    </row>
    <row r="137" spans="1:8" ht="14.4">
      <c r="A137" s="31">
        <f>COUNTIF('BOM Atual ZPCS12'!F:F,B137)+(1-(SUMIF(Invoice!$A:$A,$B137,Invoice!$B:$B)/100000000000))</f>
        <v>1.9999999879999999</v>
      </c>
      <c r="B137" t="s">
        <v>1943</v>
      </c>
      <c r="C137" t="s">
        <v>1944</v>
      </c>
      <c r="D137" t="s">
        <v>147</v>
      </c>
      <c r="E137" t="s">
        <v>51</v>
      </c>
      <c r="F137"/>
      <c r="G137">
        <v>134</v>
      </c>
      <c r="H137" t="s">
        <v>105</v>
      </c>
    </row>
    <row r="138" spans="1:8" ht="14.4">
      <c r="A138" s="31">
        <f>COUNTIF('BOM Atual ZPCS12'!F:F,B138)+(1-(SUMIF(Invoice!$A:$A,$B138,Invoice!$B:$B)/100000000000))</f>
        <v>1</v>
      </c>
      <c r="B138" t="s">
        <v>2352</v>
      </c>
      <c r="C138" t="s">
        <v>2353</v>
      </c>
      <c r="D138" t="s">
        <v>147</v>
      </c>
      <c r="E138" t="s">
        <v>51</v>
      </c>
      <c r="F138"/>
      <c r="G138">
        <v>135</v>
      </c>
      <c r="H138" t="s">
        <v>105</v>
      </c>
    </row>
    <row r="139" spans="1:8" ht="14.4">
      <c r="A139" s="31">
        <f>COUNTIF('BOM Atual ZPCS12'!F:F,B139)+(1-(SUMIF(Invoice!$A:$A,$B139,Invoice!$B:$B)/100000000000))</f>
        <v>1.9999999879999999</v>
      </c>
      <c r="B139" t="s">
        <v>1901</v>
      </c>
      <c r="C139" t="s">
        <v>1902</v>
      </c>
      <c r="D139" t="s">
        <v>147</v>
      </c>
      <c r="E139" t="s">
        <v>51</v>
      </c>
      <c r="F139"/>
      <c r="G139">
        <v>136</v>
      </c>
      <c r="H139" t="s">
        <v>105</v>
      </c>
    </row>
    <row r="140" spans="1:8" ht="14.4">
      <c r="A140" s="31">
        <f>COUNTIF('BOM Atual ZPCS12'!F:F,B140)+(1-(SUMIF(Invoice!$A:$A,$B140,Invoice!$B:$B)/100000000000))</f>
        <v>1</v>
      </c>
      <c r="B140" t="s">
        <v>2354</v>
      </c>
      <c r="C140" t="s">
        <v>2355</v>
      </c>
      <c r="D140" t="s">
        <v>147</v>
      </c>
      <c r="E140" t="s">
        <v>51</v>
      </c>
      <c r="F140"/>
      <c r="G140">
        <v>137</v>
      </c>
      <c r="H140" t="s">
        <v>105</v>
      </c>
    </row>
    <row r="141" spans="1:8" ht="14.4">
      <c r="A141" s="31">
        <f>COUNTIF('BOM Atual ZPCS12'!F:F,B141)+(1-(SUMIF(Invoice!$A:$A,$B141,Invoice!$B:$B)/100000000000))</f>
        <v>1</v>
      </c>
      <c r="B141" t="s">
        <v>2356</v>
      </c>
      <c r="C141" t="s">
        <v>2357</v>
      </c>
      <c r="D141" t="s">
        <v>147</v>
      </c>
      <c r="E141" t="s">
        <v>51</v>
      </c>
      <c r="F141"/>
      <c r="G141">
        <v>138</v>
      </c>
      <c r="H141" t="s">
        <v>105</v>
      </c>
    </row>
    <row r="142" spans="1:8" ht="14.4">
      <c r="A142" s="31">
        <f>COUNTIF('BOM Atual ZPCS12'!F:F,B142)+(1-(SUMIF(Invoice!$A:$A,$B142,Invoice!$B:$B)/100000000000))</f>
        <v>1</v>
      </c>
      <c r="B142" t="s">
        <v>2358</v>
      </c>
      <c r="C142" t="s">
        <v>2359</v>
      </c>
      <c r="D142" t="s">
        <v>147</v>
      </c>
      <c r="E142" t="s">
        <v>51</v>
      </c>
      <c r="F142"/>
      <c r="G142">
        <v>139</v>
      </c>
      <c r="H142" t="s">
        <v>105</v>
      </c>
    </row>
    <row r="143" spans="1:8" ht="14.4">
      <c r="A143" s="31">
        <f>COUNTIF('BOM Atual ZPCS12'!F:F,B143)+(1-(SUMIF(Invoice!$A:$A,$B143,Invoice!$B:$B)/100000000000))</f>
        <v>1</v>
      </c>
      <c r="B143" t="s">
        <v>2360</v>
      </c>
      <c r="C143" t="s">
        <v>2361</v>
      </c>
      <c r="D143" t="s">
        <v>147</v>
      </c>
      <c r="E143" t="s">
        <v>51</v>
      </c>
      <c r="F143"/>
      <c r="G143">
        <v>140</v>
      </c>
      <c r="H143" t="s">
        <v>105</v>
      </c>
    </row>
    <row r="144" spans="1:8" ht="14.4">
      <c r="A144" s="31">
        <f>COUNTIF('BOM Atual ZPCS12'!F:F,B144)+(1-(SUMIF(Invoice!$A:$A,$B144,Invoice!$B:$B)/100000000000))</f>
        <v>1</v>
      </c>
      <c r="B144" t="s">
        <v>2362</v>
      </c>
      <c r="C144" t="s">
        <v>2363</v>
      </c>
      <c r="D144" t="s">
        <v>147</v>
      </c>
      <c r="E144" t="s">
        <v>51</v>
      </c>
      <c r="F144"/>
      <c r="G144">
        <v>141</v>
      </c>
      <c r="H144" t="s">
        <v>105</v>
      </c>
    </row>
    <row r="145" spans="1:8" ht="14.4">
      <c r="A145" s="31">
        <f>COUNTIF('BOM Atual ZPCS12'!F:F,B145)+(1-(SUMIF(Invoice!$A:$A,$B145,Invoice!$B:$B)/100000000000))</f>
        <v>1</v>
      </c>
      <c r="B145" t="s">
        <v>2364</v>
      </c>
      <c r="C145" t="s">
        <v>2365</v>
      </c>
      <c r="D145" t="s">
        <v>147</v>
      </c>
      <c r="E145" t="s">
        <v>51</v>
      </c>
      <c r="F145"/>
      <c r="G145">
        <v>142</v>
      </c>
      <c r="H145" t="s">
        <v>105</v>
      </c>
    </row>
    <row r="146" spans="1:8" ht="14.4">
      <c r="A146" s="31">
        <f>COUNTIF('BOM Atual ZPCS12'!F:F,B146)+(1-(SUMIF(Invoice!$A:$A,$B146,Invoice!$B:$B)/100000000000))</f>
        <v>1</v>
      </c>
      <c r="B146" t="s">
        <v>2366</v>
      </c>
      <c r="C146" t="s">
        <v>2367</v>
      </c>
      <c r="D146" t="s">
        <v>147</v>
      </c>
      <c r="E146" t="s">
        <v>51</v>
      </c>
      <c r="F146"/>
      <c r="G146">
        <v>143</v>
      </c>
      <c r="H146" t="s">
        <v>105</v>
      </c>
    </row>
    <row r="147" spans="1:8" ht="14.4">
      <c r="A147" s="31">
        <f>COUNTIF('BOM Atual ZPCS12'!F:F,B147)+(1-(SUMIF(Invoice!$A:$A,$B147,Invoice!$B:$B)/100000000000))</f>
        <v>1</v>
      </c>
      <c r="B147" t="s">
        <v>2368</v>
      </c>
      <c r="C147" t="s">
        <v>2369</v>
      </c>
      <c r="D147" t="s">
        <v>147</v>
      </c>
      <c r="E147" t="s">
        <v>51</v>
      </c>
      <c r="F147"/>
      <c r="G147">
        <v>144</v>
      </c>
      <c r="H147" t="s">
        <v>105</v>
      </c>
    </row>
    <row r="148" spans="1:8" ht="14.4">
      <c r="A148" s="31">
        <f>COUNTIF('BOM Atual ZPCS12'!F:F,B148)+(1-(SUMIF(Invoice!$A:$A,$B148,Invoice!$B:$B)/100000000000))</f>
        <v>1</v>
      </c>
      <c r="B148" t="s">
        <v>2370</v>
      </c>
      <c r="C148" t="s">
        <v>2371</v>
      </c>
      <c r="D148" t="s">
        <v>147</v>
      </c>
      <c r="E148" t="s">
        <v>51</v>
      </c>
      <c r="F148"/>
      <c r="G148">
        <v>145</v>
      </c>
      <c r="H148" t="s">
        <v>105</v>
      </c>
    </row>
    <row r="149" spans="1:8" ht="14.4">
      <c r="A149" s="31">
        <f>COUNTIF('BOM Atual ZPCS12'!F:F,B149)+(1-(SUMIF(Invoice!$A:$A,$B149,Invoice!$B:$B)/100000000000))</f>
        <v>1</v>
      </c>
      <c r="B149" t="s">
        <v>2372</v>
      </c>
      <c r="C149" t="s">
        <v>2373</v>
      </c>
      <c r="D149" t="s">
        <v>147</v>
      </c>
      <c r="E149" t="s">
        <v>51</v>
      </c>
      <c r="F149"/>
      <c r="G149">
        <v>146</v>
      </c>
      <c r="H149" t="s">
        <v>105</v>
      </c>
    </row>
    <row r="150" spans="1:8" ht="14.4">
      <c r="A150" s="31">
        <f>COUNTIF('BOM Atual ZPCS12'!F:F,B150)+(1-(SUMIF(Invoice!$A:$A,$B150,Invoice!$B:$B)/100000000000))</f>
        <v>1</v>
      </c>
      <c r="B150" t="s">
        <v>2374</v>
      </c>
      <c r="C150" t="s">
        <v>2375</v>
      </c>
      <c r="D150" t="s">
        <v>147</v>
      </c>
      <c r="E150" t="s">
        <v>51</v>
      </c>
      <c r="F150"/>
      <c r="G150">
        <v>147</v>
      </c>
      <c r="H150" t="s">
        <v>105</v>
      </c>
    </row>
    <row r="151" spans="1:8" ht="14.4">
      <c r="A151" s="31">
        <f>COUNTIF('BOM Atual ZPCS12'!F:F,B151)+(1-(SUMIF(Invoice!$A:$A,$B151,Invoice!$B:$B)/100000000000))</f>
        <v>1</v>
      </c>
      <c r="B151" t="s">
        <v>2376</v>
      </c>
      <c r="C151" t="s">
        <v>2377</v>
      </c>
      <c r="D151" t="s">
        <v>147</v>
      </c>
      <c r="E151" t="s">
        <v>51</v>
      </c>
      <c r="F151"/>
      <c r="G151">
        <v>148</v>
      </c>
      <c r="H151" t="s">
        <v>105</v>
      </c>
    </row>
    <row r="152" spans="1:8" ht="14.4">
      <c r="A152" s="31">
        <f>COUNTIF('BOM Atual ZPCS12'!F:F,B152)+(1-(SUMIF(Invoice!$A:$A,$B152,Invoice!$B:$B)/100000000000))</f>
        <v>1</v>
      </c>
      <c r="B152" t="s">
        <v>2378</v>
      </c>
      <c r="C152" t="s">
        <v>2379</v>
      </c>
      <c r="D152" t="s">
        <v>147</v>
      </c>
      <c r="E152" t="s">
        <v>51</v>
      </c>
      <c r="F152"/>
      <c r="G152">
        <v>149</v>
      </c>
      <c r="H152" t="s">
        <v>105</v>
      </c>
    </row>
    <row r="153" spans="1:8" ht="14.4">
      <c r="A153" s="31">
        <f>COUNTIF('BOM Atual ZPCS12'!F:F,B153)+(1-(SUMIF(Invoice!$A:$A,$B153,Invoice!$B:$B)/100000000000))</f>
        <v>1</v>
      </c>
      <c r="B153" t="s">
        <v>2380</v>
      </c>
      <c r="C153" t="s">
        <v>2381</v>
      </c>
      <c r="D153" t="s">
        <v>147</v>
      </c>
      <c r="E153" t="s">
        <v>51</v>
      </c>
      <c r="F153"/>
      <c r="G153">
        <v>150</v>
      </c>
      <c r="H153" t="s">
        <v>105</v>
      </c>
    </row>
    <row r="154" spans="1:8" ht="14.4">
      <c r="A154" s="31">
        <f>COUNTIF('BOM Atual ZPCS12'!F:F,B154)+(1-(SUMIF(Invoice!$A:$A,$B154,Invoice!$B:$B)/100000000000))</f>
        <v>1</v>
      </c>
      <c r="B154" t="s">
        <v>2382</v>
      </c>
      <c r="C154" t="s">
        <v>2383</v>
      </c>
      <c r="D154" t="s">
        <v>147</v>
      </c>
      <c r="E154" t="s">
        <v>51</v>
      </c>
      <c r="F154"/>
      <c r="G154">
        <v>151</v>
      </c>
      <c r="H154" t="s">
        <v>105</v>
      </c>
    </row>
    <row r="155" spans="1:8" ht="14.4">
      <c r="A155" s="31">
        <f>COUNTIF('BOM Atual ZPCS12'!F:F,B155)+(1-(SUMIF(Invoice!$A:$A,$B155,Invoice!$B:$B)/100000000000))</f>
        <v>1.9999999879999999</v>
      </c>
      <c r="B155" t="s">
        <v>2049</v>
      </c>
      <c r="C155" t="s">
        <v>2050</v>
      </c>
      <c r="D155" t="s">
        <v>147</v>
      </c>
      <c r="E155" t="s">
        <v>51</v>
      </c>
      <c r="F155"/>
      <c r="G155">
        <v>152</v>
      </c>
      <c r="H155" t="s">
        <v>105</v>
      </c>
    </row>
    <row r="156" spans="1:8" ht="14.4">
      <c r="A156" s="31">
        <f>COUNTIF('BOM Atual ZPCS12'!F:F,B156)+(1-(SUMIF(Invoice!$A:$A,$B156,Invoice!$B:$B)/100000000000))</f>
        <v>1</v>
      </c>
      <c r="B156" t="s">
        <v>2384</v>
      </c>
      <c r="C156" t="s">
        <v>2385</v>
      </c>
      <c r="D156" t="s">
        <v>147</v>
      </c>
      <c r="E156" t="s">
        <v>51</v>
      </c>
      <c r="F156"/>
      <c r="G156">
        <v>153</v>
      </c>
      <c r="H156" t="s">
        <v>105</v>
      </c>
    </row>
    <row r="157" spans="1:8" ht="14.4">
      <c r="A157" s="31">
        <f>COUNTIF('BOM Atual ZPCS12'!F:F,B157)+(1-(SUMIF(Invoice!$A:$A,$B157,Invoice!$B:$B)/100000000000))</f>
        <v>1</v>
      </c>
      <c r="B157" t="s">
        <v>2386</v>
      </c>
      <c r="C157" t="s">
        <v>2387</v>
      </c>
      <c r="D157" t="s">
        <v>147</v>
      </c>
      <c r="E157" t="s">
        <v>51</v>
      </c>
      <c r="F157"/>
      <c r="G157">
        <v>154</v>
      </c>
      <c r="H157" t="s">
        <v>105</v>
      </c>
    </row>
    <row r="158" spans="1:8" ht="14.4">
      <c r="A158" s="31">
        <f>COUNTIF('BOM Atual ZPCS12'!F:F,B158)+(1-(SUMIF(Invoice!$A:$A,$B158,Invoice!$B:$B)/100000000000))</f>
        <v>1</v>
      </c>
      <c r="B158" t="s">
        <v>2388</v>
      </c>
      <c r="C158" t="s">
        <v>2389</v>
      </c>
      <c r="D158" t="s">
        <v>147</v>
      </c>
      <c r="E158" t="s">
        <v>51</v>
      </c>
      <c r="F158"/>
      <c r="G158">
        <v>155</v>
      </c>
      <c r="H158" t="s">
        <v>105</v>
      </c>
    </row>
    <row r="159" spans="1:8" ht="14.4">
      <c r="A159" s="31">
        <f>COUNTIF('BOM Atual ZPCS12'!F:F,B159)+(1-(SUMIF(Invoice!$A:$A,$B159,Invoice!$B:$B)/100000000000))</f>
        <v>1.9999999856000001</v>
      </c>
      <c r="B159" t="s">
        <v>2084</v>
      </c>
      <c r="C159" t="s">
        <v>2085</v>
      </c>
      <c r="D159" t="s">
        <v>147</v>
      </c>
      <c r="E159" t="s">
        <v>51</v>
      </c>
      <c r="F159"/>
      <c r="G159">
        <v>156</v>
      </c>
      <c r="H159" t="s">
        <v>105</v>
      </c>
    </row>
    <row r="160" spans="1:8" ht="14.4">
      <c r="A160" s="31">
        <f>COUNTIF('BOM Atual ZPCS12'!F:F,B160)+(1-(SUMIF(Invoice!$A:$A,$B160,Invoice!$B:$B)/100000000000))</f>
        <v>1</v>
      </c>
      <c r="B160" t="s">
        <v>2390</v>
      </c>
      <c r="C160" t="s">
        <v>2391</v>
      </c>
      <c r="D160" t="s">
        <v>147</v>
      </c>
      <c r="E160" t="s">
        <v>51</v>
      </c>
      <c r="F160"/>
      <c r="G160">
        <v>157</v>
      </c>
      <c r="H160" t="s">
        <v>105</v>
      </c>
    </row>
    <row r="161" spans="1:8" ht="14.4">
      <c r="A161" s="31">
        <f>COUNTIF('BOM Atual ZPCS12'!F:F,B161)+(1-(SUMIF(Invoice!$A:$A,$B161,Invoice!$B:$B)/100000000000))</f>
        <v>1</v>
      </c>
      <c r="B161" t="s">
        <v>2392</v>
      </c>
      <c r="C161" t="s">
        <v>2393</v>
      </c>
      <c r="D161" t="s">
        <v>147</v>
      </c>
      <c r="E161" t="s">
        <v>51</v>
      </c>
      <c r="F161"/>
      <c r="G161">
        <v>158</v>
      </c>
      <c r="H161" t="s">
        <v>105</v>
      </c>
    </row>
    <row r="162" spans="1:8" ht="14.4">
      <c r="A162" s="31">
        <f>COUNTIF('BOM Atual ZPCS12'!F:F,B162)+(1-(SUMIF(Invoice!$A:$A,$B162,Invoice!$B:$B)/100000000000))</f>
        <v>1.9999999800000001</v>
      </c>
      <c r="B162" t="s">
        <v>2086</v>
      </c>
      <c r="C162" t="s">
        <v>2394</v>
      </c>
      <c r="D162" t="s">
        <v>147</v>
      </c>
      <c r="E162" t="s">
        <v>51</v>
      </c>
      <c r="F162"/>
      <c r="G162">
        <v>159</v>
      </c>
      <c r="H162" t="s">
        <v>105</v>
      </c>
    </row>
    <row r="163" spans="1:8" ht="14.4">
      <c r="A163" s="31">
        <f>COUNTIF('BOM Atual ZPCS12'!F:F,B163)+(1-(SUMIF(Invoice!$A:$A,$B163,Invoice!$B:$B)/100000000000))</f>
        <v>1</v>
      </c>
      <c r="B163" t="s">
        <v>2395</v>
      </c>
      <c r="C163" t="s">
        <v>2396</v>
      </c>
      <c r="D163" t="s">
        <v>147</v>
      </c>
      <c r="E163" t="s">
        <v>51</v>
      </c>
      <c r="F163"/>
      <c r="G163">
        <v>160</v>
      </c>
      <c r="H163" t="s">
        <v>105</v>
      </c>
    </row>
    <row r="164" spans="1:8" ht="14.4">
      <c r="A164" s="31">
        <f>COUNTIF('BOM Atual ZPCS12'!F:F,B164)+(1-(SUMIF(Invoice!$A:$A,$B164,Invoice!$B:$B)/100000000000))</f>
        <v>1</v>
      </c>
      <c r="B164" t="s">
        <v>2397</v>
      </c>
      <c r="C164" t="s">
        <v>2398</v>
      </c>
      <c r="D164" t="s">
        <v>147</v>
      </c>
      <c r="E164" t="s">
        <v>51</v>
      </c>
      <c r="F164"/>
      <c r="G164">
        <v>161</v>
      </c>
      <c r="H164" t="s">
        <v>105</v>
      </c>
    </row>
    <row r="165" spans="1:8" ht="14.4">
      <c r="A165" s="31">
        <f>COUNTIF('BOM Atual ZPCS12'!F:F,B165)+(1-(SUMIF(Invoice!$A:$A,$B165,Invoice!$B:$B)/100000000000))</f>
        <v>1</v>
      </c>
      <c r="B165" t="s">
        <v>2399</v>
      </c>
      <c r="C165" t="s">
        <v>2400</v>
      </c>
      <c r="D165" t="s">
        <v>147</v>
      </c>
      <c r="E165" t="s">
        <v>51</v>
      </c>
      <c r="F165"/>
      <c r="G165">
        <v>162</v>
      </c>
      <c r="H165" t="s">
        <v>105</v>
      </c>
    </row>
    <row r="166" spans="1:8" ht="14.4">
      <c r="A166" s="31">
        <f>COUNTIF('BOM Atual ZPCS12'!F:F,B166)+(1-(SUMIF(Invoice!$A:$A,$B166,Invoice!$B:$B)/100000000000))</f>
        <v>1</v>
      </c>
      <c r="B166" t="s">
        <v>2401</v>
      </c>
      <c r="C166" t="s">
        <v>2402</v>
      </c>
      <c r="D166" t="s">
        <v>147</v>
      </c>
      <c r="E166" t="s">
        <v>51</v>
      </c>
      <c r="F166"/>
      <c r="G166">
        <v>163</v>
      </c>
      <c r="H166" t="s">
        <v>105</v>
      </c>
    </row>
    <row r="167" spans="1:8" ht="14.4">
      <c r="A167" s="31">
        <f>COUNTIF('BOM Atual ZPCS12'!F:F,B167)+(1-(SUMIF(Invoice!$A:$A,$B167,Invoice!$B:$B)/100000000000))</f>
        <v>1</v>
      </c>
      <c r="B167" t="s">
        <v>2403</v>
      </c>
      <c r="C167" t="s">
        <v>2404</v>
      </c>
      <c r="D167" t="s">
        <v>147</v>
      </c>
      <c r="E167" t="s">
        <v>51</v>
      </c>
      <c r="F167"/>
      <c r="G167">
        <v>164</v>
      </c>
      <c r="H167" t="s">
        <v>105</v>
      </c>
    </row>
    <row r="168" spans="1:8" ht="14.4">
      <c r="A168" s="31">
        <f>COUNTIF('BOM Atual ZPCS12'!F:F,B168)+(1-(SUMIF(Invoice!$A:$A,$B168,Invoice!$B:$B)/100000000000))</f>
        <v>1</v>
      </c>
      <c r="B168" t="s">
        <v>2405</v>
      </c>
      <c r="C168" t="s">
        <v>2406</v>
      </c>
      <c r="D168" t="s">
        <v>147</v>
      </c>
      <c r="E168" t="s">
        <v>51</v>
      </c>
      <c r="F168"/>
      <c r="G168">
        <v>165</v>
      </c>
      <c r="H168" t="s">
        <v>105</v>
      </c>
    </row>
    <row r="169" spans="1:8" ht="14.4">
      <c r="A169" s="31">
        <f>COUNTIF('BOM Atual ZPCS12'!F:F,B169)+(1-(SUMIF(Invoice!$A:$A,$B169,Invoice!$B:$B)/100000000000))</f>
        <v>1.9999999900000001</v>
      </c>
      <c r="B169" t="s">
        <v>2089</v>
      </c>
      <c r="C169" t="s">
        <v>2090</v>
      </c>
      <c r="D169" t="s">
        <v>147</v>
      </c>
      <c r="E169" t="s">
        <v>51</v>
      </c>
      <c r="F169"/>
      <c r="G169">
        <v>166</v>
      </c>
      <c r="H169" t="s">
        <v>105</v>
      </c>
    </row>
    <row r="170" spans="1:8" ht="14.4">
      <c r="A170" s="31">
        <f>COUNTIF('BOM Atual ZPCS12'!F:F,B170)+(1-(SUMIF(Invoice!$A:$A,$B170,Invoice!$B:$B)/100000000000))</f>
        <v>1</v>
      </c>
      <c r="B170" t="s">
        <v>2407</v>
      </c>
      <c r="C170" t="s">
        <v>2408</v>
      </c>
      <c r="D170" t="s">
        <v>147</v>
      </c>
      <c r="E170" t="s">
        <v>51</v>
      </c>
      <c r="F170"/>
      <c r="G170">
        <v>167</v>
      </c>
      <c r="H170" t="s">
        <v>105</v>
      </c>
    </row>
    <row r="171" spans="1:8" ht="14.4">
      <c r="A171" s="31">
        <f>COUNTIF('BOM Atual ZPCS12'!F:F,B171)+(1-(SUMIF(Invoice!$A:$A,$B171,Invoice!$B:$B)/100000000000))</f>
        <v>1</v>
      </c>
      <c r="B171" t="s">
        <v>2409</v>
      </c>
      <c r="C171" t="s">
        <v>2410</v>
      </c>
      <c r="D171" t="s">
        <v>147</v>
      </c>
      <c r="E171" t="s">
        <v>51</v>
      </c>
      <c r="F171"/>
      <c r="G171">
        <v>168</v>
      </c>
      <c r="H171" t="s">
        <v>105</v>
      </c>
    </row>
    <row r="172" spans="1:8" ht="14.4">
      <c r="A172" s="31">
        <f>COUNTIF('BOM Atual ZPCS12'!F:F,B172)+(1-(SUMIF(Invoice!$A:$A,$B172,Invoice!$B:$B)/100000000000))</f>
        <v>1</v>
      </c>
      <c r="B172" t="s">
        <v>2411</v>
      </c>
      <c r="C172" t="s">
        <v>2412</v>
      </c>
      <c r="D172" t="s">
        <v>147</v>
      </c>
      <c r="E172" t="s">
        <v>51</v>
      </c>
      <c r="F172"/>
      <c r="G172">
        <v>169</v>
      </c>
      <c r="H172" t="s">
        <v>105</v>
      </c>
    </row>
    <row r="173" spans="1:8" ht="14.4">
      <c r="A173" s="31">
        <f>COUNTIF('BOM Atual ZPCS12'!F:F,B173)+(1-(SUMIF(Invoice!$A:$A,$B173,Invoice!$B:$B)/100000000000))</f>
        <v>1</v>
      </c>
      <c r="B173" t="s">
        <v>2413</v>
      </c>
      <c r="C173" t="s">
        <v>2414</v>
      </c>
      <c r="D173" t="s">
        <v>147</v>
      </c>
      <c r="E173" t="s">
        <v>51</v>
      </c>
      <c r="F173"/>
      <c r="G173">
        <v>170</v>
      </c>
      <c r="H173" t="s">
        <v>105</v>
      </c>
    </row>
    <row r="174" spans="1:8" ht="14.4">
      <c r="A174" s="31">
        <f>COUNTIF('BOM Atual ZPCS12'!F:F,B174)+(1-(SUMIF(Invoice!$A:$A,$B174,Invoice!$B:$B)/100000000000))</f>
        <v>1</v>
      </c>
      <c r="B174" t="s">
        <v>2415</v>
      </c>
      <c r="C174" t="s">
        <v>2416</v>
      </c>
      <c r="D174" t="s">
        <v>147</v>
      </c>
      <c r="E174" t="s">
        <v>51</v>
      </c>
      <c r="F174"/>
      <c r="G174">
        <v>171</v>
      </c>
      <c r="H174" t="s">
        <v>105</v>
      </c>
    </row>
    <row r="175" spans="1:8" ht="14.4">
      <c r="A175" s="31">
        <f>COUNTIF('BOM Atual ZPCS12'!F:F,B175)+(1-(SUMIF(Invoice!$A:$A,$B175,Invoice!$B:$B)/100000000000))</f>
        <v>1</v>
      </c>
      <c r="B175" t="s">
        <v>2417</v>
      </c>
      <c r="C175" t="s">
        <v>2418</v>
      </c>
      <c r="D175" t="s">
        <v>147</v>
      </c>
      <c r="E175" t="s">
        <v>51</v>
      </c>
      <c r="F175"/>
      <c r="G175">
        <v>172</v>
      </c>
      <c r="H175" t="s">
        <v>105</v>
      </c>
    </row>
    <row r="176" spans="1:8" ht="14.4">
      <c r="A176" s="31">
        <f>COUNTIF('BOM Atual ZPCS12'!F:F,B176)+(1-(SUMIF(Invoice!$A:$A,$B176,Invoice!$B:$B)/100000000000))</f>
        <v>1</v>
      </c>
      <c r="B176" t="s">
        <v>2419</v>
      </c>
      <c r="C176" t="s">
        <v>2420</v>
      </c>
      <c r="D176" t="s">
        <v>147</v>
      </c>
      <c r="E176" t="s">
        <v>51</v>
      </c>
      <c r="F176"/>
      <c r="G176">
        <v>173</v>
      </c>
      <c r="H176" t="s">
        <v>105</v>
      </c>
    </row>
    <row r="177" spans="1:8" ht="14.4">
      <c r="A177" s="31">
        <f>COUNTIF('BOM Atual ZPCS12'!F:F,B177)+(1-(SUMIF(Invoice!$A:$A,$B177,Invoice!$B:$B)/100000000000))</f>
        <v>1</v>
      </c>
      <c r="B177" t="s">
        <v>2421</v>
      </c>
      <c r="C177" t="s">
        <v>2422</v>
      </c>
      <c r="D177" t="s">
        <v>147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1.99999997</v>
      </c>
      <c r="B178" s="52" t="s">
        <v>252</v>
      </c>
      <c r="C178" s="44" t="s">
        <v>2423</v>
      </c>
      <c r="D178" s="44" t="s">
        <v>147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2424</v>
      </c>
      <c r="C179" s="44" t="s">
        <v>2425</v>
      </c>
      <c r="D179" s="44" t="s">
        <v>147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</v>
      </c>
      <c r="B180" s="52" t="s">
        <v>2426</v>
      </c>
      <c r="C180" s="44" t="s">
        <v>2427</v>
      </c>
      <c r="D180" s="44" t="s">
        <v>147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2428</v>
      </c>
      <c r="C181" s="44" t="s">
        <v>2429</v>
      </c>
      <c r="D181" s="44" t="s">
        <v>147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2430</v>
      </c>
      <c r="C182" s="44" t="s">
        <v>2431</v>
      </c>
      <c r="D182" s="44" t="s">
        <v>147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2432</v>
      </c>
      <c r="C183" s="44" t="s">
        <v>2433</v>
      </c>
      <c r="D183" s="44" t="s">
        <v>147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</v>
      </c>
      <c r="B184" s="52" t="s">
        <v>2434</v>
      </c>
      <c r="C184" s="44" t="s">
        <v>2435</v>
      </c>
      <c r="D184" s="44" t="s">
        <v>147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1.9999999900000001</v>
      </c>
      <c r="B185" s="52" t="s">
        <v>154</v>
      </c>
      <c r="C185" s="44" t="s">
        <v>2436</v>
      </c>
      <c r="D185" s="44" t="s">
        <v>147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2</v>
      </c>
      <c r="B186" s="52" t="s">
        <v>156</v>
      </c>
      <c r="C186" s="44" t="s">
        <v>2437</v>
      </c>
      <c r="D186" s="44" t="s">
        <v>147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1</v>
      </c>
      <c r="B187" s="52" t="s">
        <v>2438</v>
      </c>
      <c r="C187" s="44" t="s">
        <v>2439</v>
      </c>
      <c r="D187" s="44" t="s">
        <v>147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2440</v>
      </c>
      <c r="C188" s="44" t="s">
        <v>2441</v>
      </c>
      <c r="D188" s="44" t="s">
        <v>147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1.99999999745</v>
      </c>
      <c r="B189" s="52" t="s">
        <v>160</v>
      </c>
      <c r="C189" s="44" t="s">
        <v>2442</v>
      </c>
      <c r="D189" s="44" t="s">
        <v>147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1.99999999745</v>
      </c>
      <c r="B190" s="52" t="s">
        <v>162</v>
      </c>
      <c r="C190" s="44" t="s">
        <v>2443</v>
      </c>
      <c r="D190" s="44" t="s">
        <v>147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2444</v>
      </c>
      <c r="C191" s="44" t="s">
        <v>2445</v>
      </c>
      <c r="D191" s="44" t="s">
        <v>147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2446</v>
      </c>
      <c r="C192" s="44" t="s">
        <v>2447</v>
      </c>
      <c r="D192" s="44" t="s">
        <v>147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2448</v>
      </c>
      <c r="C193" s="44" t="s">
        <v>2449</v>
      </c>
      <c r="D193" s="44" t="s">
        <v>147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2450</v>
      </c>
      <c r="C194" s="44" t="s">
        <v>2451</v>
      </c>
      <c r="D194" s="44" t="s">
        <v>147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2452</v>
      </c>
      <c r="C195" s="44" t="s">
        <v>2453</v>
      </c>
      <c r="D195" s="44" t="s">
        <v>147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2454</v>
      </c>
      <c r="C196" s="44" t="s">
        <v>2455</v>
      </c>
      <c r="D196" s="44" t="s">
        <v>147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2456</v>
      </c>
      <c r="C197" s="44" t="s">
        <v>2457</v>
      </c>
      <c r="D197" s="44" t="s">
        <v>147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2458</v>
      </c>
      <c r="C198" s="44" t="s">
        <v>2459</v>
      </c>
      <c r="D198" s="44" t="s">
        <v>147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2460</v>
      </c>
      <c r="C199" s="44" t="s">
        <v>2461</v>
      </c>
      <c r="D199" s="44" t="s">
        <v>147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2462</v>
      </c>
      <c r="C200" s="44" t="s">
        <v>2463</v>
      </c>
      <c r="D200" s="44" t="s">
        <v>147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2464</v>
      </c>
      <c r="C201" s="44" t="s">
        <v>2465</v>
      </c>
      <c r="D201" s="44" t="s">
        <v>147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</v>
      </c>
      <c r="B202" s="52" t="s">
        <v>2466</v>
      </c>
      <c r="C202" s="44" t="s">
        <v>2467</v>
      </c>
      <c r="D202" s="44" t="s">
        <v>147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2468</v>
      </c>
      <c r="C203" s="44" t="s">
        <v>2469</v>
      </c>
      <c r="D203" s="44" t="s">
        <v>147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2470</v>
      </c>
      <c r="C204" s="44" t="s">
        <v>2471</v>
      </c>
      <c r="D204" s="44" t="s">
        <v>147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1.9999999900000001</v>
      </c>
      <c r="B205" s="52" t="s">
        <v>166</v>
      </c>
      <c r="C205" s="44" t="s">
        <v>2472</v>
      </c>
      <c r="D205" s="44" t="s">
        <v>147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</v>
      </c>
      <c r="B206" s="52" t="s">
        <v>2473</v>
      </c>
      <c r="C206" s="44" t="s">
        <v>2474</v>
      </c>
      <c r="D206" s="44" t="s">
        <v>147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1.9999999900000001</v>
      </c>
      <c r="B207" s="52" t="s">
        <v>195</v>
      </c>
      <c r="C207" s="44" t="s">
        <v>196</v>
      </c>
      <c r="D207" s="44" t="s">
        <v>147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2475</v>
      </c>
      <c r="C208" s="44" t="s">
        <v>2476</v>
      </c>
      <c r="D208" s="44" t="s">
        <v>147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1.9999999900000001</v>
      </c>
      <c r="B209" s="52" t="s">
        <v>152</v>
      </c>
      <c r="C209" s="44" t="s">
        <v>2477</v>
      </c>
      <c r="D209" s="44" t="s">
        <v>147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</v>
      </c>
      <c r="B210" s="52" t="s">
        <v>2478</v>
      </c>
      <c r="C210" s="44" t="s">
        <v>2479</v>
      </c>
      <c r="D210" s="44" t="s">
        <v>147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</v>
      </c>
      <c r="B211" s="52" t="s">
        <v>2480</v>
      </c>
      <c r="C211" s="44" t="s">
        <v>2481</v>
      </c>
      <c r="D211" s="44" t="s">
        <v>147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1.9999999900000001</v>
      </c>
      <c r="B212" s="52" t="s">
        <v>199</v>
      </c>
      <c r="C212" s="44" t="s">
        <v>2482</v>
      </c>
      <c r="D212" s="44" t="s">
        <v>147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2483</v>
      </c>
      <c r="C213" s="44" t="s">
        <v>2484</v>
      </c>
      <c r="D213" s="44" t="s">
        <v>147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2485</v>
      </c>
      <c r="C214" s="44" t="s">
        <v>2486</v>
      </c>
      <c r="D214" s="44" t="s">
        <v>147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1.9999999900000001</v>
      </c>
      <c r="B215" s="52" t="s">
        <v>197</v>
      </c>
      <c r="C215" s="44" t="s">
        <v>2487</v>
      </c>
      <c r="D215" s="44" t="s">
        <v>147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2488</v>
      </c>
      <c r="C216" s="44" t="s">
        <v>2489</v>
      </c>
      <c r="D216" s="44" t="s">
        <v>147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1.999999989</v>
      </c>
      <c r="B217" s="52" t="s">
        <v>164</v>
      </c>
      <c r="C217" s="44" t="s">
        <v>2490</v>
      </c>
      <c r="D217" s="44" t="s">
        <v>147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2491</v>
      </c>
      <c r="C218" s="44" t="s">
        <v>2492</v>
      </c>
      <c r="D218" s="44" t="s">
        <v>147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1.9999999900000001</v>
      </c>
      <c r="B219" s="52" t="s">
        <v>148</v>
      </c>
      <c r="C219" s="44" t="s">
        <v>2493</v>
      </c>
      <c r="D219" s="44" t="s">
        <v>147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2494</v>
      </c>
      <c r="C220" s="44" t="s">
        <v>2495</v>
      </c>
      <c r="D220" s="44" t="s">
        <v>147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2496</v>
      </c>
      <c r="C221" s="44" t="s">
        <v>2497</v>
      </c>
      <c r="D221" s="44" t="s">
        <v>147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2498</v>
      </c>
      <c r="C222" s="44" t="s">
        <v>2499</v>
      </c>
      <c r="D222" s="44" t="s">
        <v>147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2500</v>
      </c>
      <c r="C223" s="44" t="s">
        <v>2501</v>
      </c>
      <c r="D223" s="44" t="s">
        <v>147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2502</v>
      </c>
      <c r="C224" s="44" t="s">
        <v>2503</v>
      </c>
      <c r="D224" s="44" t="s">
        <v>147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</v>
      </c>
      <c r="B225" s="52" t="s">
        <v>2504</v>
      </c>
      <c r="C225" s="44" t="s">
        <v>2505</v>
      </c>
      <c r="D225" s="44" t="s">
        <v>147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2506</v>
      </c>
      <c r="C226" s="44" t="s">
        <v>2507</v>
      </c>
      <c r="D226" s="44" t="s">
        <v>147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2508</v>
      </c>
      <c r="C227" s="44" t="s">
        <v>2509</v>
      </c>
      <c r="D227" s="44" t="s">
        <v>147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</v>
      </c>
      <c r="B228" s="52" t="s">
        <v>2510</v>
      </c>
      <c r="C228" s="44" t="s">
        <v>2511</v>
      </c>
      <c r="D228" s="44" t="s">
        <v>147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1.9999999900000001</v>
      </c>
      <c r="B229" s="52" t="s">
        <v>158</v>
      </c>
      <c r="C229" s="44" t="s">
        <v>2512</v>
      </c>
      <c r="D229" s="44" t="s">
        <v>147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2513</v>
      </c>
      <c r="C230" s="44" t="s">
        <v>2514</v>
      </c>
      <c r="D230" s="44" t="s">
        <v>147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1</v>
      </c>
      <c r="B231" s="52" t="s">
        <v>2515</v>
      </c>
      <c r="C231" s="44" t="s">
        <v>2516</v>
      </c>
      <c r="D231" s="44" t="s">
        <v>147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2517</v>
      </c>
      <c r="C232" s="44" t="s">
        <v>2518</v>
      </c>
      <c r="D232" s="44" t="s">
        <v>147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2519</v>
      </c>
      <c r="C233" s="44" t="s">
        <v>2520</v>
      </c>
      <c r="D233" s="44" t="s">
        <v>147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</v>
      </c>
      <c r="B234" s="52" t="s">
        <v>2521</v>
      </c>
      <c r="C234" s="44" t="s">
        <v>2522</v>
      </c>
      <c r="D234" s="44" t="s">
        <v>147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2523</v>
      </c>
      <c r="C235" s="44" t="s">
        <v>2524</v>
      </c>
      <c r="D235" s="44" t="s">
        <v>147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2525</v>
      </c>
      <c r="C236" s="44" t="s">
        <v>2526</v>
      </c>
      <c r="D236" s="44" t="s">
        <v>147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</v>
      </c>
      <c r="B237" s="52" t="s">
        <v>2527</v>
      </c>
      <c r="C237" s="44" t="s">
        <v>2528</v>
      </c>
      <c r="D237" s="44" t="s">
        <v>147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276</v>
      </c>
      <c r="C238" s="44" t="s">
        <v>2529</v>
      </c>
      <c r="D238" s="44" t="s">
        <v>147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269</v>
      </c>
      <c r="C239" s="44" t="s">
        <v>2530</v>
      </c>
      <c r="D239" s="44" t="s">
        <v>147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278</v>
      </c>
      <c r="C240" s="44" t="s">
        <v>2531</v>
      </c>
      <c r="D240" s="44" t="s">
        <v>147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2532</v>
      </c>
      <c r="C241" s="44" t="s">
        <v>2533</v>
      </c>
      <c r="D241" s="44" t="s">
        <v>147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2115</v>
      </c>
      <c r="C242" s="44" t="s">
        <v>2534</v>
      </c>
      <c r="D242" s="44" t="s">
        <v>147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2100</v>
      </c>
      <c r="C243" s="44" t="s">
        <v>2101</v>
      </c>
      <c r="D243" s="44" t="s">
        <v>147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2103</v>
      </c>
      <c r="C244" s="44" t="s">
        <v>2535</v>
      </c>
      <c r="D244" s="44" t="s">
        <v>147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2119</v>
      </c>
      <c r="C245" s="44" t="s">
        <v>2536</v>
      </c>
      <c r="D245" s="44" t="s">
        <v>147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1.9999999873999998</v>
      </c>
      <c r="B246" s="52" t="s">
        <v>2079</v>
      </c>
      <c r="C246" s="44" t="s">
        <v>2080</v>
      </c>
      <c r="D246" s="44" t="s">
        <v>147</v>
      </c>
      <c r="E246" s="44" t="s">
        <v>51</v>
      </c>
      <c r="G246" s="44">
        <v>291</v>
      </c>
      <c r="H246" s="44" t="s">
        <v>2537</v>
      </c>
    </row>
    <row r="247" spans="1:8">
      <c r="A247" s="31">
        <f>COUNTIF('BOM Atual ZPCS12'!F:F,B247)+(1-(SUMIF(Invoice!$A:$A,$B247,Invoice!$B:$B)/100000000000))</f>
        <v>2</v>
      </c>
      <c r="B247" s="52" t="s">
        <v>2082</v>
      </c>
      <c r="C247" s="44" t="s">
        <v>2538</v>
      </c>
      <c r="D247" s="44" t="s">
        <v>147</v>
      </c>
      <c r="E247" s="44" t="s">
        <v>51</v>
      </c>
      <c r="G247" s="44">
        <v>291</v>
      </c>
      <c r="H247" s="44" t="s">
        <v>2537</v>
      </c>
    </row>
    <row r="248" spans="1:8">
      <c r="A248" s="31">
        <f>COUNTIF('BOM Atual ZPCS12'!F:F,B248)+(1-(SUMIF(Invoice!$A:$A,$B248,Invoice!$B:$B)/100000000000))</f>
        <v>2</v>
      </c>
      <c r="B248" s="52" t="s">
        <v>2098</v>
      </c>
      <c r="C248" s="44" t="s">
        <v>2539</v>
      </c>
      <c r="D248" s="44" t="s">
        <v>147</v>
      </c>
      <c r="E248" s="44" t="s">
        <v>51</v>
      </c>
      <c r="G248" s="44">
        <v>292</v>
      </c>
      <c r="H248" s="44" t="s">
        <v>2537</v>
      </c>
    </row>
    <row r="249" spans="1:8">
      <c r="A249" s="31">
        <f>COUNTIF('BOM Atual ZPCS12'!F:F,B249)+(1-(SUMIF(Invoice!$A:$A,$B249,Invoice!$B:$B)/100000000000))</f>
        <v>2</v>
      </c>
      <c r="B249" s="52" t="s">
        <v>2094</v>
      </c>
      <c r="C249" s="44" t="s">
        <v>2540</v>
      </c>
      <c r="D249" s="44" t="s">
        <v>147</v>
      </c>
      <c r="E249" s="44" t="s">
        <v>51</v>
      </c>
      <c r="G249" s="44">
        <v>292</v>
      </c>
      <c r="H249" s="44" t="s">
        <v>2537</v>
      </c>
    </row>
    <row r="250" spans="1:8">
      <c r="A250" s="31">
        <f>COUNTIF('BOM Atual ZPCS12'!F:F,B250)+(1-(SUMIF(Invoice!$A:$A,$B250,Invoice!$B:$B)/100000000000))</f>
        <v>1.9999999800000001</v>
      </c>
      <c r="B250" s="52" t="s">
        <v>308</v>
      </c>
      <c r="C250" s="44" t="s">
        <v>2541</v>
      </c>
      <c r="D250" s="44" t="s">
        <v>147</v>
      </c>
      <c r="E250" s="44" t="s">
        <v>51</v>
      </c>
      <c r="G250" s="44">
        <v>294</v>
      </c>
      <c r="H250" s="44" t="s">
        <v>2537</v>
      </c>
    </row>
    <row r="251" spans="1:8">
      <c r="A251" s="31">
        <f>COUNTIF('BOM Atual ZPCS12'!F:F,B251)+(1-(SUMIF(Invoice!$A:$A,$B251,Invoice!$B:$B)/100000000000))</f>
        <v>2</v>
      </c>
      <c r="B251" s="52" t="s">
        <v>310</v>
      </c>
      <c r="C251" s="44" t="s">
        <v>311</v>
      </c>
      <c r="D251" s="44" t="s">
        <v>147</v>
      </c>
      <c r="E251" s="44" t="s">
        <v>51</v>
      </c>
      <c r="G251" s="44">
        <v>294</v>
      </c>
      <c r="H251" s="44" t="s">
        <v>2537</v>
      </c>
    </row>
    <row r="252" spans="1:8">
      <c r="A252" s="31">
        <f>COUNTIF('BOM Atual ZPCS12'!F:F,B252)+(1-(SUMIF(Invoice!$A:$A,$B252,Invoice!$B:$B)/100000000000))</f>
        <v>1.9999999900000001</v>
      </c>
      <c r="B252" s="52" t="s">
        <v>458</v>
      </c>
      <c r="C252" s="44" t="s">
        <v>459</v>
      </c>
      <c r="D252" s="44" t="s">
        <v>147</v>
      </c>
      <c r="E252" s="44" t="s">
        <v>51</v>
      </c>
      <c r="G252" s="44">
        <v>294</v>
      </c>
      <c r="H252" s="44" t="s">
        <v>2537</v>
      </c>
    </row>
    <row r="253" spans="1:8">
      <c r="A253" s="31">
        <f>COUNTIF('BOM Atual ZPCS12'!F:F,B253)+(1-(SUMIF(Invoice!$A:$A,$B253,Invoice!$B:$B)/100000000000))</f>
        <v>2</v>
      </c>
      <c r="B253" s="52" t="s">
        <v>460</v>
      </c>
      <c r="C253" s="44" t="s">
        <v>461</v>
      </c>
      <c r="D253" s="44" t="s">
        <v>147</v>
      </c>
      <c r="E253" s="44" t="s">
        <v>51</v>
      </c>
      <c r="G253" s="44">
        <v>294</v>
      </c>
      <c r="H253" s="44" t="s">
        <v>2537</v>
      </c>
    </row>
    <row r="254" spans="1:8">
      <c r="A254" s="31">
        <f>COUNTIF('BOM Atual ZPCS12'!F:F,B254)+(1-(SUMIF(Invoice!$A:$A,$B254,Invoice!$B:$B)/100000000000))</f>
        <v>2</v>
      </c>
      <c r="B254" s="52" t="s">
        <v>462</v>
      </c>
      <c r="C254" s="44" t="s">
        <v>463</v>
      </c>
      <c r="D254" s="44" t="s">
        <v>147</v>
      </c>
      <c r="E254" s="44" t="s">
        <v>51</v>
      </c>
      <c r="G254" s="44">
        <v>294</v>
      </c>
      <c r="H254" s="44" t="s">
        <v>2537</v>
      </c>
    </row>
    <row r="255" spans="1:8">
      <c r="A255" s="31">
        <f>COUNTIF('BOM Atual ZPCS12'!F:F,B255)+(1-(SUMIF(Invoice!$A:$A,$B255,Invoice!$B:$B)/100000000000))</f>
        <v>2</v>
      </c>
      <c r="B255" s="52" t="s">
        <v>412</v>
      </c>
      <c r="C255" s="44" t="s">
        <v>2542</v>
      </c>
      <c r="D255" s="44" t="s">
        <v>147</v>
      </c>
      <c r="E255" s="44" t="s">
        <v>51</v>
      </c>
      <c r="G255" s="44">
        <v>297</v>
      </c>
      <c r="H255" s="44" t="s">
        <v>2537</v>
      </c>
    </row>
    <row r="256" spans="1:8">
      <c r="A256" s="31">
        <f>COUNTIF('BOM Atual ZPCS12'!F:F,B256)+(1-(SUMIF(Invoice!$A:$A,$B256,Invoice!$B:$B)/100000000000))</f>
        <v>2</v>
      </c>
      <c r="B256" s="52" t="s">
        <v>415</v>
      </c>
      <c r="C256" s="44" t="s">
        <v>2543</v>
      </c>
      <c r="D256" s="44" t="s">
        <v>147</v>
      </c>
      <c r="E256" s="44" t="s">
        <v>51</v>
      </c>
      <c r="G256" s="44">
        <v>297</v>
      </c>
      <c r="H256" s="44" t="s">
        <v>2537</v>
      </c>
    </row>
    <row r="257" spans="1:8">
      <c r="A257" s="31">
        <f>COUNTIF('BOM Atual ZPCS12'!F:F,B257)+(1-(SUMIF(Invoice!$A:$A,$B257,Invoice!$B:$B)/100000000000))</f>
        <v>2</v>
      </c>
      <c r="B257" s="52" t="s">
        <v>417</v>
      </c>
      <c r="C257" s="44" t="s">
        <v>2544</v>
      </c>
      <c r="D257" s="44" t="s">
        <v>147</v>
      </c>
      <c r="E257" s="44" t="s">
        <v>51</v>
      </c>
      <c r="G257" s="44">
        <v>297</v>
      </c>
      <c r="H257" s="44" t="s">
        <v>2537</v>
      </c>
    </row>
    <row r="258" spans="1:8">
      <c r="A258" s="31">
        <f>COUNTIF('BOM Atual ZPCS12'!F:F,B258)+(1-(SUMIF(Invoice!$A:$A,$B258,Invoice!$B:$B)/100000000000))</f>
        <v>2</v>
      </c>
      <c r="B258" s="52" t="s">
        <v>419</v>
      </c>
      <c r="C258" s="44" t="s">
        <v>2545</v>
      </c>
      <c r="D258" s="44" t="s">
        <v>147</v>
      </c>
      <c r="E258" s="44" t="s">
        <v>51</v>
      </c>
      <c r="G258" s="44">
        <v>297</v>
      </c>
      <c r="H258" s="44" t="s">
        <v>2537</v>
      </c>
    </row>
    <row r="259" spans="1:8">
      <c r="A259" s="31">
        <f>COUNTIF('BOM Atual ZPCS12'!F:F,B259)+(1-(SUMIF(Invoice!$A:$A,$B259,Invoice!$B:$B)/100000000000))</f>
        <v>1.9999999900000001</v>
      </c>
      <c r="B259" s="52" t="s">
        <v>421</v>
      </c>
      <c r="C259" s="44" t="s">
        <v>2546</v>
      </c>
      <c r="D259" s="44" t="s">
        <v>147</v>
      </c>
      <c r="E259" s="44" t="s">
        <v>51</v>
      </c>
      <c r="G259" s="44">
        <v>297</v>
      </c>
      <c r="H259" s="44" t="s">
        <v>2537</v>
      </c>
    </row>
    <row r="260" spans="1:8">
      <c r="A260" s="31">
        <f>COUNTIF('BOM Atual ZPCS12'!F:F,B260)+(1-(SUMIF(Invoice!$A:$A,$B260,Invoice!$B:$B)/100000000000))</f>
        <v>1</v>
      </c>
      <c r="B260" s="52" t="s">
        <v>2547</v>
      </c>
      <c r="C260" s="44" t="s">
        <v>2548</v>
      </c>
      <c r="D260" s="44" t="s">
        <v>147</v>
      </c>
      <c r="E260" s="44" t="s">
        <v>51</v>
      </c>
      <c r="G260" s="44">
        <v>297</v>
      </c>
      <c r="H260" s="44" t="s">
        <v>2537</v>
      </c>
    </row>
    <row r="261" spans="1:8">
      <c r="A261" s="31">
        <f>COUNTIF('BOM Atual ZPCS12'!F:F,B261)+(1-(SUMIF(Invoice!$A:$A,$B261,Invoice!$B:$B)/100000000000))</f>
        <v>1</v>
      </c>
      <c r="B261" s="52" t="s">
        <v>2549</v>
      </c>
      <c r="C261" s="44" t="s">
        <v>2550</v>
      </c>
      <c r="D261" s="44" t="s">
        <v>147</v>
      </c>
      <c r="E261" s="44" t="s">
        <v>51</v>
      </c>
      <c r="G261" s="44">
        <v>297</v>
      </c>
      <c r="H261" s="44" t="s">
        <v>2537</v>
      </c>
    </row>
    <row r="262" spans="1:8">
      <c r="A262" s="31">
        <f>COUNTIF('BOM Atual ZPCS12'!F:F,B262)+(1-(SUMIF(Invoice!$A:$A,$B262,Invoice!$B:$B)/100000000000))</f>
        <v>1</v>
      </c>
      <c r="B262" s="52" t="s">
        <v>2551</v>
      </c>
      <c r="C262" s="44" t="s">
        <v>2552</v>
      </c>
      <c r="D262" s="44" t="s">
        <v>147</v>
      </c>
      <c r="E262" s="44" t="s">
        <v>51</v>
      </c>
      <c r="G262" s="44">
        <v>298</v>
      </c>
      <c r="H262" s="44" t="s">
        <v>2537</v>
      </c>
    </row>
    <row r="263" spans="1:8">
      <c r="A263" s="31">
        <f>COUNTIF('BOM Atual ZPCS12'!F:F,B263)+(1-(SUMIF(Invoice!$A:$A,$B263,Invoice!$B:$B)/100000000000))</f>
        <v>1</v>
      </c>
      <c r="B263" s="52" t="s">
        <v>2553</v>
      </c>
      <c r="C263" s="44" t="s">
        <v>2554</v>
      </c>
      <c r="D263" s="44" t="s">
        <v>147</v>
      </c>
      <c r="E263" s="44" t="s">
        <v>51</v>
      </c>
      <c r="G263" s="44">
        <v>298</v>
      </c>
      <c r="H263" s="44" t="s">
        <v>2537</v>
      </c>
    </row>
    <row r="264" spans="1:8">
      <c r="A264" s="31">
        <f>COUNTIF('BOM Atual ZPCS12'!F:F,B264)+(1-(SUMIF(Invoice!$A:$A,$B264,Invoice!$B:$B)/100000000000))</f>
        <v>1</v>
      </c>
      <c r="B264" s="52" t="s">
        <v>2555</v>
      </c>
      <c r="C264" s="44" t="s">
        <v>2556</v>
      </c>
      <c r="D264" s="44" t="s">
        <v>147</v>
      </c>
      <c r="E264" s="44" t="s">
        <v>51</v>
      </c>
      <c r="G264" s="44">
        <v>299</v>
      </c>
      <c r="H264" s="44" t="s">
        <v>2537</v>
      </c>
    </row>
    <row r="265" spans="1:8">
      <c r="A265" s="31">
        <f>COUNTIF('BOM Atual ZPCS12'!F:F,B265)+(1-(SUMIF(Invoice!$A:$A,$B265,Invoice!$B:$B)/100000000000))</f>
        <v>2</v>
      </c>
      <c r="B265" s="52" t="s">
        <v>298</v>
      </c>
      <c r="C265" s="44" t="s">
        <v>299</v>
      </c>
      <c r="D265" s="44" t="s">
        <v>147</v>
      </c>
      <c r="E265" s="44" t="s">
        <v>51</v>
      </c>
      <c r="G265" s="44">
        <v>299</v>
      </c>
      <c r="H265" s="44" t="s">
        <v>2537</v>
      </c>
    </row>
    <row r="266" spans="1:8">
      <c r="A266" s="31">
        <f>COUNTIF('BOM Atual ZPCS12'!F:F,B266)+(1-(SUMIF(Invoice!$A:$A,$B266,Invoice!$B:$B)/100000000000))</f>
        <v>1.9999999399999999</v>
      </c>
      <c r="B266" s="52" t="s">
        <v>300</v>
      </c>
      <c r="C266" s="44" t="s">
        <v>2557</v>
      </c>
      <c r="D266" s="44" t="s">
        <v>147</v>
      </c>
      <c r="E266" s="44" t="s">
        <v>51</v>
      </c>
      <c r="G266" s="44">
        <v>299</v>
      </c>
      <c r="H266" s="44" t="s">
        <v>2537</v>
      </c>
    </row>
    <row r="267" spans="1:8">
      <c r="A267" s="31">
        <f>COUNTIF('BOM Atual ZPCS12'!F:F,B267)+(1-(SUMIF(Invoice!$A:$A,$B267,Invoice!$B:$B)/100000000000))</f>
        <v>2</v>
      </c>
      <c r="B267" s="52" t="s">
        <v>509</v>
      </c>
      <c r="C267" s="44" t="s">
        <v>510</v>
      </c>
      <c r="D267" s="44" t="s">
        <v>147</v>
      </c>
      <c r="E267" s="44" t="s">
        <v>51</v>
      </c>
      <c r="G267" s="44">
        <v>299</v>
      </c>
      <c r="H267" s="44" t="s">
        <v>2537</v>
      </c>
    </row>
    <row r="268" spans="1:8">
      <c r="A268" s="31">
        <f>COUNTIF('BOM Atual ZPCS12'!F:F,B268)+(1-(SUMIF(Invoice!$A:$A,$B268,Invoice!$B:$B)/100000000000))</f>
        <v>2</v>
      </c>
      <c r="B268" s="52" t="s">
        <v>511</v>
      </c>
      <c r="C268" s="44" t="s">
        <v>512</v>
      </c>
      <c r="D268" s="44" t="s">
        <v>147</v>
      </c>
      <c r="E268" s="44" t="s">
        <v>51</v>
      </c>
      <c r="G268" s="44">
        <v>299</v>
      </c>
      <c r="H268" s="44" t="s">
        <v>2537</v>
      </c>
    </row>
    <row r="269" spans="1:8">
      <c r="A269" s="31">
        <f>COUNTIF('BOM Atual ZPCS12'!F:F,B269)+(1-(SUMIF(Invoice!$A:$A,$B269,Invoice!$B:$B)/100000000000))</f>
        <v>1.99999982</v>
      </c>
      <c r="B269" s="52" t="s">
        <v>513</v>
      </c>
      <c r="C269" s="44" t="s">
        <v>2558</v>
      </c>
      <c r="D269" s="44" t="s">
        <v>147</v>
      </c>
      <c r="E269" s="44" t="s">
        <v>51</v>
      </c>
      <c r="G269" s="44">
        <v>299</v>
      </c>
      <c r="H269" s="44" t="s">
        <v>2537</v>
      </c>
    </row>
    <row r="270" spans="1:8">
      <c r="A270" s="31">
        <f>COUNTIF('BOM Atual ZPCS12'!F:F,B270)+(1-(SUMIF(Invoice!$A:$A,$B270,Invoice!$B:$B)/100000000000))</f>
        <v>1</v>
      </c>
      <c r="B270" s="52" t="s">
        <v>2559</v>
      </c>
      <c r="C270" s="44" t="s">
        <v>2560</v>
      </c>
      <c r="D270" s="44" t="s">
        <v>147</v>
      </c>
      <c r="E270" s="44" t="s">
        <v>51</v>
      </c>
      <c r="G270" s="44">
        <v>301</v>
      </c>
      <c r="H270" s="44" t="s">
        <v>2537</v>
      </c>
    </row>
    <row r="271" spans="1:8">
      <c r="A271" s="31">
        <f>COUNTIF('BOM Atual ZPCS12'!F:F,B271)+(1-(SUMIF(Invoice!$A:$A,$B271,Invoice!$B:$B)/100000000000))</f>
        <v>1.9999999800000001</v>
      </c>
      <c r="B271" s="52" t="s">
        <v>335</v>
      </c>
      <c r="C271" s="44" t="s">
        <v>2561</v>
      </c>
      <c r="D271" s="44" t="s">
        <v>147</v>
      </c>
      <c r="E271" s="44" t="s">
        <v>51</v>
      </c>
      <c r="G271" s="44">
        <v>301</v>
      </c>
      <c r="H271" s="44" t="s">
        <v>2537</v>
      </c>
    </row>
    <row r="272" spans="1:8">
      <c r="A272" s="31">
        <f>COUNTIF('BOM Atual ZPCS12'!F:F,B272)+(1-(SUMIF(Invoice!$A:$A,$B272,Invoice!$B:$B)/100000000000))</f>
        <v>2</v>
      </c>
      <c r="B272" s="52" t="s">
        <v>2148</v>
      </c>
      <c r="C272" s="44" t="s">
        <v>2149</v>
      </c>
      <c r="D272" s="44" t="s">
        <v>147</v>
      </c>
      <c r="E272" s="44" t="s">
        <v>51</v>
      </c>
      <c r="G272" s="44">
        <v>302</v>
      </c>
      <c r="H272" s="44" t="s">
        <v>2537</v>
      </c>
    </row>
    <row r="273" spans="1:8">
      <c r="A273" s="31">
        <f>COUNTIF('BOM Atual ZPCS12'!F:F,B273)+(1-(SUMIF(Invoice!$A:$A,$B273,Invoice!$B:$B)/100000000000))</f>
        <v>2</v>
      </c>
      <c r="B273" s="52" t="s">
        <v>2151</v>
      </c>
      <c r="C273" s="44" t="s">
        <v>2152</v>
      </c>
      <c r="D273" s="44" t="s">
        <v>147</v>
      </c>
      <c r="E273" s="44" t="s">
        <v>51</v>
      </c>
      <c r="G273" s="44">
        <v>302</v>
      </c>
      <c r="H273" s="44" t="s">
        <v>2537</v>
      </c>
    </row>
    <row r="274" spans="1:8">
      <c r="A274" s="31">
        <f>COUNTIF('BOM Atual ZPCS12'!F:F,B274)+(1-(SUMIF(Invoice!$A:$A,$B274,Invoice!$B:$B)/100000000000))</f>
        <v>1.9999999900000001</v>
      </c>
      <c r="B274" s="52" t="s">
        <v>2145</v>
      </c>
      <c r="C274" s="44" t="s">
        <v>2146</v>
      </c>
      <c r="D274" s="44" t="s">
        <v>147</v>
      </c>
      <c r="E274" s="44" t="s">
        <v>51</v>
      </c>
      <c r="G274" s="44">
        <v>302</v>
      </c>
      <c r="H274" s="44" t="s">
        <v>2537</v>
      </c>
    </row>
    <row r="275" spans="1:8">
      <c r="A275" s="31">
        <f>COUNTIF('BOM Atual ZPCS12'!F:F,B275)+(1-(SUMIF(Invoice!$A:$A,$B275,Invoice!$B:$B)/100000000000))</f>
        <v>1</v>
      </c>
      <c r="B275" s="52" t="s">
        <v>2562</v>
      </c>
      <c r="C275" s="44" t="s">
        <v>2563</v>
      </c>
      <c r="D275" s="44" t="s">
        <v>147</v>
      </c>
      <c r="E275" s="44" t="s">
        <v>51</v>
      </c>
      <c r="G275" s="44">
        <v>305</v>
      </c>
      <c r="H275" s="44" t="s">
        <v>2537</v>
      </c>
    </row>
    <row r="276" spans="1:8">
      <c r="A276" s="31">
        <f>COUNTIF('BOM Atual ZPCS12'!F:F,B276)+(1-(SUMIF(Invoice!$A:$A,$B276,Invoice!$B:$B)/100000000000))</f>
        <v>1</v>
      </c>
      <c r="B276" s="52" t="s">
        <v>2564</v>
      </c>
      <c r="C276" s="44" t="s">
        <v>2565</v>
      </c>
      <c r="D276" s="44" t="s">
        <v>147</v>
      </c>
      <c r="E276" s="44" t="s">
        <v>51</v>
      </c>
      <c r="G276" s="44">
        <v>305</v>
      </c>
      <c r="H276" s="44" t="s">
        <v>2537</v>
      </c>
    </row>
    <row r="277" spans="1:8">
      <c r="A277" s="31">
        <f>COUNTIF('BOM Atual ZPCS12'!F:F,B277)+(1-(SUMIF(Invoice!$A:$A,$B277,Invoice!$B:$B)/100000000000))</f>
        <v>1</v>
      </c>
      <c r="B277" s="52" t="s">
        <v>2566</v>
      </c>
      <c r="C277" s="44" t="s">
        <v>2567</v>
      </c>
      <c r="D277" s="44" t="s">
        <v>147</v>
      </c>
      <c r="E277" s="44" t="s">
        <v>51</v>
      </c>
      <c r="G277" s="44">
        <v>305</v>
      </c>
      <c r="H277" s="44" t="s">
        <v>2537</v>
      </c>
    </row>
    <row r="278" spans="1:8">
      <c r="A278" s="31">
        <f>COUNTIF('BOM Atual ZPCS12'!F:F,B278)+(1-(SUMIF(Invoice!$A:$A,$B278,Invoice!$B:$B)/100000000000))</f>
        <v>1</v>
      </c>
      <c r="B278" s="52" t="s">
        <v>2568</v>
      </c>
      <c r="C278" s="44" t="s">
        <v>2569</v>
      </c>
      <c r="D278" s="44" t="s">
        <v>147</v>
      </c>
      <c r="E278" s="44" t="s">
        <v>51</v>
      </c>
      <c r="G278" s="44">
        <v>305</v>
      </c>
      <c r="H278" s="44" t="s">
        <v>2537</v>
      </c>
    </row>
    <row r="279" spans="1:8">
      <c r="A279" s="31">
        <f>COUNTIF('BOM Atual ZPCS12'!F:F,B279)+(1-(SUMIF(Invoice!$A:$A,$B279,Invoice!$B:$B)/100000000000))</f>
        <v>1</v>
      </c>
      <c r="B279" s="52" t="s">
        <v>2570</v>
      </c>
      <c r="C279" s="44" t="s">
        <v>2571</v>
      </c>
      <c r="D279" s="44" t="s">
        <v>147</v>
      </c>
      <c r="E279" s="44" t="s">
        <v>51</v>
      </c>
      <c r="G279" s="44">
        <v>305</v>
      </c>
      <c r="H279" s="44" t="s">
        <v>2537</v>
      </c>
    </row>
    <row r="280" spans="1:8">
      <c r="A280" s="31">
        <f>COUNTIF('BOM Atual ZPCS12'!F:F,B280)+(1-(SUMIF(Invoice!$A:$A,$B280,Invoice!$B:$B)/100000000000))</f>
        <v>1.9999999900000001</v>
      </c>
      <c r="B280" s="52" t="s">
        <v>2128</v>
      </c>
      <c r="C280" s="44" t="s">
        <v>2129</v>
      </c>
      <c r="D280" s="44" t="s">
        <v>147</v>
      </c>
      <c r="E280" s="44" t="s">
        <v>51</v>
      </c>
      <c r="G280" s="44">
        <v>310</v>
      </c>
      <c r="H280" s="44" t="s">
        <v>2537</v>
      </c>
    </row>
    <row r="281" spans="1:8">
      <c r="A281" s="31">
        <f>COUNTIF('BOM Atual ZPCS12'!F:F,B281)+(1-(SUMIF(Invoice!$A:$A,$B281,Invoice!$B:$B)/100000000000))</f>
        <v>1</v>
      </c>
      <c r="B281" s="52" t="s">
        <v>2572</v>
      </c>
      <c r="C281" s="44" t="s">
        <v>2573</v>
      </c>
      <c r="D281" s="44" t="s">
        <v>147</v>
      </c>
      <c r="E281" s="44" t="s">
        <v>51</v>
      </c>
      <c r="G281" s="44">
        <v>310</v>
      </c>
      <c r="H281" s="44" t="s">
        <v>2537</v>
      </c>
    </row>
    <row r="282" spans="1:8">
      <c r="A282" s="31">
        <f>COUNTIF('BOM Atual ZPCS12'!F:F,B282)+(1-(SUMIF(Invoice!$A:$A,$B282,Invoice!$B:$B)/100000000000))</f>
        <v>1</v>
      </c>
      <c r="B282" s="52" t="s">
        <v>2574</v>
      </c>
      <c r="C282" s="44" t="s">
        <v>2575</v>
      </c>
      <c r="D282" s="44" t="s">
        <v>147</v>
      </c>
      <c r="E282" s="44" t="s">
        <v>51</v>
      </c>
      <c r="G282" s="44">
        <v>310</v>
      </c>
      <c r="H282" s="44" t="s">
        <v>2537</v>
      </c>
    </row>
    <row r="283" spans="1:8">
      <c r="A283" s="31">
        <f>COUNTIF('BOM Atual ZPCS12'!F:F,B283)+(1-(SUMIF(Invoice!$A:$A,$B283,Invoice!$B:$B)/100000000000))</f>
        <v>1</v>
      </c>
      <c r="B283" s="52" t="s">
        <v>2576</v>
      </c>
      <c r="C283" s="44" t="s">
        <v>2577</v>
      </c>
      <c r="D283" s="44" t="s">
        <v>147</v>
      </c>
      <c r="E283" s="44" t="s">
        <v>51</v>
      </c>
      <c r="G283" s="44">
        <v>313</v>
      </c>
      <c r="H283" s="44" t="s">
        <v>2537</v>
      </c>
    </row>
    <row r="284" spans="1:8">
      <c r="A284" s="31">
        <f>COUNTIF('BOM Atual ZPCS12'!F:F,B284)+(1-(SUMIF(Invoice!$A:$A,$B284,Invoice!$B:$B)/100000000000))</f>
        <v>1</v>
      </c>
      <c r="B284" s="52" t="s">
        <v>2578</v>
      </c>
      <c r="C284" s="44" t="s">
        <v>2579</v>
      </c>
      <c r="D284" s="44" t="s">
        <v>147</v>
      </c>
      <c r="E284" s="44" t="s">
        <v>51</v>
      </c>
      <c r="G284" s="44">
        <v>313</v>
      </c>
      <c r="H284" s="44" t="s">
        <v>2537</v>
      </c>
    </row>
    <row r="285" spans="1:8">
      <c r="A285" s="31">
        <f>COUNTIF('BOM Atual ZPCS12'!F:F,B285)+(1-(SUMIF(Invoice!$A:$A,$B285,Invoice!$B:$B)/100000000000))</f>
        <v>1</v>
      </c>
      <c r="B285" s="52" t="s">
        <v>2580</v>
      </c>
      <c r="C285" s="44" t="s">
        <v>2581</v>
      </c>
      <c r="D285" s="44" t="s">
        <v>147</v>
      </c>
      <c r="E285" s="44" t="s">
        <v>51</v>
      </c>
      <c r="G285" s="44">
        <v>313</v>
      </c>
      <c r="H285" s="44" t="s">
        <v>2537</v>
      </c>
    </row>
    <row r="286" spans="1:8">
      <c r="A286" s="31">
        <f>COUNTIF('BOM Atual ZPCS12'!F:F,B286)+(1-(SUMIF(Invoice!$A:$A,$B286,Invoice!$B:$B)/100000000000))</f>
        <v>1</v>
      </c>
      <c r="B286" s="52" t="s">
        <v>2582</v>
      </c>
      <c r="C286" s="44" t="s">
        <v>2583</v>
      </c>
      <c r="D286" s="44" t="s">
        <v>147</v>
      </c>
      <c r="E286" s="44" t="s">
        <v>51</v>
      </c>
      <c r="G286" s="44">
        <v>315</v>
      </c>
      <c r="H286" s="44" t="s">
        <v>2537</v>
      </c>
    </row>
    <row r="287" spans="1:8">
      <c r="A287" s="31">
        <f>COUNTIF('BOM Atual ZPCS12'!F:F,B287)+(1-(SUMIF(Invoice!$A:$A,$B287,Invoice!$B:$B)/100000000000))</f>
        <v>1</v>
      </c>
      <c r="B287" s="52" t="s">
        <v>2584</v>
      </c>
      <c r="C287" s="44" t="s">
        <v>2585</v>
      </c>
      <c r="D287" s="44" t="s">
        <v>147</v>
      </c>
      <c r="E287" s="44" t="s">
        <v>51</v>
      </c>
      <c r="G287" s="44">
        <v>315</v>
      </c>
      <c r="H287" s="44" t="s">
        <v>2537</v>
      </c>
    </row>
    <row r="288" spans="1:8">
      <c r="A288" s="31">
        <f>COUNTIF('BOM Atual ZPCS12'!F:F,B288)+(1-(SUMIF(Invoice!$A:$A,$B288,Invoice!$B:$B)/100000000000))</f>
        <v>1</v>
      </c>
      <c r="B288" s="52" t="s">
        <v>2586</v>
      </c>
      <c r="C288" s="44" t="s">
        <v>2587</v>
      </c>
      <c r="D288" s="44" t="s">
        <v>147</v>
      </c>
      <c r="E288" s="44" t="s">
        <v>51</v>
      </c>
      <c r="G288" s="44">
        <v>315</v>
      </c>
      <c r="H288" s="44" t="s">
        <v>2537</v>
      </c>
    </row>
    <row r="289" spans="1:8">
      <c r="A289" s="31">
        <f>COUNTIF('BOM Atual ZPCS12'!F:F,B289)+(1-(SUMIF(Invoice!$A:$A,$B289,Invoice!$B:$B)/100000000000))</f>
        <v>1</v>
      </c>
      <c r="B289" s="52" t="s">
        <v>2588</v>
      </c>
      <c r="C289" s="44" t="s">
        <v>2589</v>
      </c>
      <c r="D289" s="44" t="s">
        <v>147</v>
      </c>
      <c r="E289" s="44" t="s">
        <v>51</v>
      </c>
      <c r="G289" s="44">
        <v>315</v>
      </c>
      <c r="H289" s="44" t="s">
        <v>2537</v>
      </c>
    </row>
    <row r="290" spans="1:8">
      <c r="A290" s="31">
        <f>COUNTIF('BOM Atual ZPCS12'!F:F,B290)+(1-(SUMIF(Invoice!$A:$A,$B290,Invoice!$B:$B)/100000000000))</f>
        <v>1</v>
      </c>
      <c r="B290" s="52" t="s">
        <v>2590</v>
      </c>
      <c r="C290" s="44" t="s">
        <v>2591</v>
      </c>
      <c r="D290" s="44" t="s">
        <v>147</v>
      </c>
      <c r="E290" s="44" t="s">
        <v>51</v>
      </c>
      <c r="G290" s="44">
        <v>315</v>
      </c>
      <c r="H290" s="44" t="s">
        <v>2537</v>
      </c>
    </row>
    <row r="291" spans="1:8">
      <c r="A291" s="31">
        <f>COUNTIF('BOM Atual ZPCS12'!F:F,B291)+(1-(SUMIF(Invoice!$A:$A,$B291,Invoice!$B:$B)/100000000000))</f>
        <v>2</v>
      </c>
      <c r="B291" s="52" t="s">
        <v>173</v>
      </c>
      <c r="C291" s="44" t="s">
        <v>2592</v>
      </c>
      <c r="D291" s="44" t="s">
        <v>147</v>
      </c>
      <c r="E291" s="44" t="s">
        <v>51</v>
      </c>
      <c r="G291" s="44">
        <v>321</v>
      </c>
      <c r="H291" s="44" t="s">
        <v>2537</v>
      </c>
    </row>
    <row r="292" spans="1:8">
      <c r="A292" s="31">
        <f>COUNTIF('BOM Atual ZPCS12'!F:F,B292)+(1-(SUMIF(Invoice!$A:$A,$B292,Invoice!$B:$B)/100000000000))</f>
        <v>1.9999999900000001</v>
      </c>
      <c r="B292" s="52" t="s">
        <v>176</v>
      </c>
      <c r="C292" s="44" t="s">
        <v>2593</v>
      </c>
      <c r="D292" s="44" t="s">
        <v>147</v>
      </c>
      <c r="E292" s="44" t="s">
        <v>51</v>
      </c>
      <c r="G292" s="44">
        <v>321</v>
      </c>
      <c r="H292" s="44" t="s">
        <v>2537</v>
      </c>
    </row>
    <row r="293" spans="1:8">
      <c r="A293" s="31">
        <f>COUNTIF('BOM Atual ZPCS12'!F:F,B293)+(1-(SUMIF(Invoice!$A:$A,$B293,Invoice!$B:$B)/100000000000))</f>
        <v>1</v>
      </c>
      <c r="B293" s="52" t="s">
        <v>2594</v>
      </c>
      <c r="C293" s="44" t="s">
        <v>2595</v>
      </c>
      <c r="D293" s="44" t="s">
        <v>147</v>
      </c>
      <c r="E293" s="44" t="s">
        <v>51</v>
      </c>
      <c r="G293" s="44">
        <v>322</v>
      </c>
      <c r="H293" s="44" t="s">
        <v>2537</v>
      </c>
    </row>
    <row r="294" spans="1:8">
      <c r="A294" s="31">
        <f>COUNTIF('BOM Atual ZPCS12'!F:F,B294)+(1-(SUMIF(Invoice!$A:$A,$B294,Invoice!$B:$B)/100000000000))</f>
        <v>1</v>
      </c>
      <c r="B294" s="52" t="s">
        <v>2596</v>
      </c>
      <c r="C294" s="44" t="s">
        <v>2597</v>
      </c>
      <c r="D294" s="44" t="s">
        <v>147</v>
      </c>
      <c r="E294" s="44" t="s">
        <v>51</v>
      </c>
      <c r="G294" s="44">
        <v>322</v>
      </c>
      <c r="H294" s="44" t="s">
        <v>2537</v>
      </c>
    </row>
    <row r="295" spans="1:8">
      <c r="A295" s="31">
        <f>COUNTIF('BOM Atual ZPCS12'!F:F,B295)+(1-(SUMIF(Invoice!$A:$A,$B295,Invoice!$B:$B)/100000000000))</f>
        <v>1</v>
      </c>
      <c r="B295" s="52" t="s">
        <v>2598</v>
      </c>
      <c r="C295" s="44" t="s">
        <v>2599</v>
      </c>
      <c r="D295" s="44" t="s">
        <v>147</v>
      </c>
      <c r="E295" s="44" t="s">
        <v>51</v>
      </c>
      <c r="G295" s="44">
        <v>322</v>
      </c>
      <c r="H295" s="44" t="s">
        <v>2537</v>
      </c>
    </row>
    <row r="296" spans="1:8">
      <c r="A296" s="31">
        <f>COUNTIF('BOM Atual ZPCS12'!F:F,B296)+(1-(SUMIF(Invoice!$A:$A,$B296,Invoice!$B:$B)/100000000000))</f>
        <v>1</v>
      </c>
      <c r="B296" s="52" t="s">
        <v>2600</v>
      </c>
      <c r="C296" s="44" t="s">
        <v>2601</v>
      </c>
      <c r="D296" s="44" t="s">
        <v>147</v>
      </c>
      <c r="E296" s="44" t="s">
        <v>51</v>
      </c>
      <c r="G296" s="44">
        <v>325</v>
      </c>
      <c r="H296" s="44" t="s">
        <v>2537</v>
      </c>
    </row>
    <row r="297" spans="1:8">
      <c r="A297" s="31">
        <f>COUNTIF('BOM Atual ZPCS12'!F:F,B297)+(1-(SUMIF(Invoice!$A:$A,$B297,Invoice!$B:$B)/100000000000))</f>
        <v>1</v>
      </c>
      <c r="B297" s="52" t="s">
        <v>2602</v>
      </c>
      <c r="C297" s="44" t="s">
        <v>2603</v>
      </c>
      <c r="D297" s="44" t="s">
        <v>147</v>
      </c>
      <c r="E297" s="44" t="s">
        <v>51</v>
      </c>
      <c r="G297" s="44">
        <v>325</v>
      </c>
      <c r="H297" s="44" t="s">
        <v>2537</v>
      </c>
    </row>
    <row r="298" spans="1:8">
      <c r="A298" s="31">
        <f>COUNTIF('BOM Atual ZPCS12'!F:F,B298)+(1-(SUMIF(Invoice!$A:$A,$B298,Invoice!$B:$B)/100000000000))</f>
        <v>1</v>
      </c>
      <c r="B298" s="52" t="s">
        <v>2604</v>
      </c>
      <c r="C298" s="44" t="s">
        <v>2605</v>
      </c>
      <c r="D298" s="44" t="s">
        <v>147</v>
      </c>
      <c r="E298" s="44" t="s">
        <v>51</v>
      </c>
      <c r="G298" s="44">
        <v>325</v>
      </c>
      <c r="H298" s="44" t="s">
        <v>2537</v>
      </c>
    </row>
    <row r="299" spans="1:8">
      <c r="A299" s="31">
        <f>COUNTIF('BOM Atual ZPCS12'!F:F,B299)+(1-(SUMIF(Invoice!$A:$A,$B299,Invoice!$B:$B)/100000000000))</f>
        <v>1</v>
      </c>
      <c r="B299" s="52" t="s">
        <v>2606</v>
      </c>
      <c r="C299" s="44" t="s">
        <v>2607</v>
      </c>
      <c r="D299" s="44" t="s">
        <v>147</v>
      </c>
      <c r="E299" s="44" t="s">
        <v>51</v>
      </c>
      <c r="G299" s="44">
        <v>328</v>
      </c>
      <c r="H299" s="44" t="s">
        <v>2537</v>
      </c>
    </row>
    <row r="300" spans="1:8">
      <c r="A300" s="31">
        <f>COUNTIF('BOM Atual ZPCS12'!F:F,B300)+(1-(SUMIF(Invoice!$A:$A,$B300,Invoice!$B:$B)/100000000000))</f>
        <v>1.9999999900000001</v>
      </c>
      <c r="B300" s="52" t="s">
        <v>327</v>
      </c>
      <c r="C300" s="44" t="s">
        <v>2608</v>
      </c>
      <c r="D300" s="44" t="s">
        <v>147</v>
      </c>
      <c r="E300" s="44" t="s">
        <v>51</v>
      </c>
      <c r="G300" s="44">
        <v>328</v>
      </c>
      <c r="H300" s="44" t="s">
        <v>2537</v>
      </c>
    </row>
    <row r="301" spans="1:8">
      <c r="A301" s="31">
        <f>COUNTIF('BOM Atual ZPCS12'!F:F,B301)+(1-(SUMIF(Invoice!$A:$A,$B301,Invoice!$B:$B)/100000000000))</f>
        <v>1</v>
      </c>
      <c r="B301" s="52" t="s">
        <v>2609</v>
      </c>
      <c r="C301" s="44" t="s">
        <v>2610</v>
      </c>
      <c r="D301" s="44" t="s">
        <v>147</v>
      </c>
      <c r="E301" s="44" t="s">
        <v>51</v>
      </c>
      <c r="G301" s="44">
        <v>328</v>
      </c>
      <c r="H301" s="44" t="s">
        <v>2537</v>
      </c>
    </row>
    <row r="302" spans="1:8">
      <c r="A302" s="31">
        <f>COUNTIF('BOM Atual ZPCS12'!F:F,B302)+(1-(SUMIF(Invoice!$A:$A,$B302,Invoice!$B:$B)/100000000000))</f>
        <v>1.99999986</v>
      </c>
      <c r="B302" s="52" t="s">
        <v>259</v>
      </c>
      <c r="C302" s="44" t="s">
        <v>260</v>
      </c>
      <c r="D302" s="44" t="s">
        <v>147</v>
      </c>
      <c r="E302" s="44" t="s">
        <v>51</v>
      </c>
      <c r="G302" s="44">
        <v>329</v>
      </c>
      <c r="H302" s="44" t="s">
        <v>2537</v>
      </c>
    </row>
    <row r="303" spans="1:8">
      <c r="A303" s="31">
        <f>COUNTIF('BOM Atual ZPCS12'!F:F,B303)+(1-(SUMIF(Invoice!$A:$A,$B303,Invoice!$B:$B)/100000000000))</f>
        <v>2</v>
      </c>
      <c r="B303" s="52" t="s">
        <v>262</v>
      </c>
      <c r="C303" s="44" t="s">
        <v>263</v>
      </c>
      <c r="D303" s="44" t="s">
        <v>147</v>
      </c>
      <c r="E303" s="44" t="s">
        <v>51</v>
      </c>
      <c r="G303" s="44">
        <v>329</v>
      </c>
      <c r="H303" s="44" t="s">
        <v>2537</v>
      </c>
    </row>
    <row r="304" spans="1:8">
      <c r="A304" s="31">
        <f>COUNTIF('BOM Atual ZPCS12'!F:F,B304)+(1-(SUMIF(Invoice!$A:$A,$B304,Invoice!$B:$B)/100000000000))</f>
        <v>2</v>
      </c>
      <c r="B304" s="52" t="s">
        <v>271</v>
      </c>
      <c r="C304" s="44" t="s">
        <v>2611</v>
      </c>
      <c r="D304" s="44" t="s">
        <v>147</v>
      </c>
      <c r="E304" s="44" t="s">
        <v>51</v>
      </c>
      <c r="G304" s="44">
        <v>330</v>
      </c>
      <c r="H304" s="44" t="s">
        <v>2537</v>
      </c>
    </row>
    <row r="305" spans="1:8">
      <c r="A305" s="31">
        <f>COUNTIF('BOM Atual ZPCS12'!F:F,B305)+(1-(SUMIF(Invoice!$A:$A,$B305,Invoice!$B:$B)/100000000000))</f>
        <v>2</v>
      </c>
      <c r="B305" s="52" t="s">
        <v>273</v>
      </c>
      <c r="C305" s="44" t="s">
        <v>2612</v>
      </c>
      <c r="D305" s="44" t="s">
        <v>147</v>
      </c>
      <c r="E305" s="44" t="s">
        <v>51</v>
      </c>
      <c r="G305" s="44">
        <v>330</v>
      </c>
      <c r="H305" s="44" t="s">
        <v>2537</v>
      </c>
    </row>
    <row r="306" spans="1:8">
      <c r="A306" s="31">
        <f>COUNTIF('BOM Atual ZPCS12'!F:F,B306)+(1-(SUMIF(Invoice!$A:$A,$B306,Invoice!$B:$B)/100000000000))</f>
        <v>1</v>
      </c>
      <c r="B306" s="52" t="s">
        <v>2613</v>
      </c>
      <c r="C306" s="44" t="s">
        <v>2614</v>
      </c>
      <c r="D306" s="44" t="s">
        <v>147</v>
      </c>
      <c r="E306" s="44" t="s">
        <v>51</v>
      </c>
      <c r="G306" s="44">
        <v>332</v>
      </c>
      <c r="H306" s="44" t="s">
        <v>2537</v>
      </c>
    </row>
    <row r="307" spans="1:8">
      <c r="A307" s="31">
        <f>COUNTIF('BOM Atual ZPCS12'!F:F,B307)+(1-(SUMIF(Invoice!$A:$A,$B307,Invoice!$B:$B)/100000000000))</f>
        <v>1.9999999900000001</v>
      </c>
      <c r="B307" s="52" t="s">
        <v>369</v>
      </c>
      <c r="C307" s="44" t="s">
        <v>2615</v>
      </c>
      <c r="D307" s="44" t="s">
        <v>147</v>
      </c>
      <c r="E307" s="44" t="s">
        <v>51</v>
      </c>
      <c r="G307" s="44">
        <v>332</v>
      </c>
      <c r="H307" s="44" t="s">
        <v>2537</v>
      </c>
    </row>
    <row r="308" spans="1:8">
      <c r="A308" s="31">
        <f>COUNTIF('BOM Atual ZPCS12'!F:F,B308)+(1-(SUMIF(Invoice!$A:$A,$B308,Invoice!$B:$B)/100000000000))</f>
        <v>1</v>
      </c>
      <c r="B308" s="52" t="s">
        <v>2616</v>
      </c>
      <c r="C308" s="44" t="s">
        <v>2617</v>
      </c>
      <c r="D308" s="44" t="s">
        <v>147</v>
      </c>
      <c r="E308" s="44" t="s">
        <v>51</v>
      </c>
      <c r="G308" s="44">
        <v>333</v>
      </c>
      <c r="H308" s="44" t="s">
        <v>2537</v>
      </c>
    </row>
    <row r="309" spans="1:8">
      <c r="A309" s="31">
        <f>COUNTIF('BOM Atual ZPCS12'!F:F,B309)+(1-(SUMIF(Invoice!$A:$A,$B309,Invoice!$B:$B)/100000000000))</f>
        <v>1.9999999900000001</v>
      </c>
      <c r="B309" s="52" t="s">
        <v>193</v>
      </c>
      <c r="C309" s="44" t="s">
        <v>194</v>
      </c>
      <c r="D309" s="44" t="s">
        <v>147</v>
      </c>
      <c r="E309" s="44" t="s">
        <v>51</v>
      </c>
      <c r="G309" s="44">
        <v>333</v>
      </c>
      <c r="H309" s="44" t="s">
        <v>2537</v>
      </c>
    </row>
    <row r="310" spans="1:8">
      <c r="A310" s="31">
        <f>COUNTIF('BOM Atual ZPCS12'!F:F,B310)+(1-(SUMIF(Invoice!$A:$A,$B310,Invoice!$B:$B)/100000000000))</f>
        <v>1</v>
      </c>
      <c r="B310" s="52" t="s">
        <v>2618</v>
      </c>
      <c r="C310" s="44" t="s">
        <v>2619</v>
      </c>
      <c r="D310" s="44" t="s">
        <v>147</v>
      </c>
      <c r="E310" s="44" t="s">
        <v>51</v>
      </c>
      <c r="G310" s="44">
        <v>334</v>
      </c>
      <c r="H310" s="44" t="s">
        <v>2537</v>
      </c>
    </row>
    <row r="311" spans="1:8">
      <c r="A311" s="31">
        <f>COUNTIF('BOM Atual ZPCS12'!F:F,B311)+(1-(SUMIF(Invoice!$A:$A,$B311,Invoice!$B:$B)/100000000000))</f>
        <v>1</v>
      </c>
      <c r="B311" s="52" t="s">
        <v>2620</v>
      </c>
      <c r="C311" s="44" t="s">
        <v>2621</v>
      </c>
      <c r="D311" s="44" t="s">
        <v>147</v>
      </c>
      <c r="E311" s="44" t="s">
        <v>51</v>
      </c>
      <c r="G311" s="44">
        <v>334</v>
      </c>
      <c r="H311" s="44" t="s">
        <v>2537</v>
      </c>
    </row>
    <row r="312" spans="1:8">
      <c r="A312" s="31">
        <f>COUNTIF('BOM Atual ZPCS12'!F:F,B312)+(1-(SUMIF(Invoice!$A:$A,$B312,Invoice!$B:$B)/100000000000))</f>
        <v>1</v>
      </c>
      <c r="B312" s="52" t="s">
        <v>2622</v>
      </c>
      <c r="C312" s="44" t="s">
        <v>2623</v>
      </c>
      <c r="D312" s="44" t="s">
        <v>147</v>
      </c>
      <c r="E312" s="44" t="s">
        <v>51</v>
      </c>
      <c r="G312" s="44">
        <v>335</v>
      </c>
      <c r="H312" s="44" t="s">
        <v>2537</v>
      </c>
    </row>
    <row r="313" spans="1:8">
      <c r="A313" s="31">
        <f>COUNTIF('BOM Atual ZPCS12'!F:F,B313)+(1-(SUMIF(Invoice!$A:$A,$B313,Invoice!$B:$B)/100000000000))</f>
        <v>1</v>
      </c>
      <c r="B313" s="52" t="s">
        <v>2624</v>
      </c>
      <c r="C313" s="44" t="s">
        <v>2625</v>
      </c>
      <c r="D313" s="44" t="s">
        <v>147</v>
      </c>
      <c r="E313" s="44" t="s">
        <v>51</v>
      </c>
      <c r="G313" s="44">
        <v>335</v>
      </c>
      <c r="H313" s="44" t="s">
        <v>2537</v>
      </c>
    </row>
    <row r="314" spans="1:8">
      <c r="A314" s="31">
        <f>COUNTIF('BOM Atual ZPCS12'!F:F,B314)+(1-(SUMIF(Invoice!$A:$A,$B314,Invoice!$B:$B)/100000000000))</f>
        <v>1.9999999559999999</v>
      </c>
      <c r="B314" s="52" t="s">
        <v>1832</v>
      </c>
      <c r="C314" s="44" t="s">
        <v>1833</v>
      </c>
      <c r="D314" s="44" t="s">
        <v>147</v>
      </c>
      <c r="E314" s="44" t="s">
        <v>51</v>
      </c>
      <c r="G314" s="44">
        <v>336</v>
      </c>
      <c r="H314" s="44" t="s">
        <v>2537</v>
      </c>
    </row>
    <row r="315" spans="1:8">
      <c r="A315" s="31">
        <f>COUNTIF('BOM Atual ZPCS12'!F:F,B315)+(1-(SUMIF(Invoice!$A:$A,$B315,Invoice!$B:$B)/100000000000))</f>
        <v>1</v>
      </c>
      <c r="B315" s="52" t="s">
        <v>2626</v>
      </c>
      <c r="C315" s="44" t="s">
        <v>2627</v>
      </c>
      <c r="D315" s="44" t="s">
        <v>147</v>
      </c>
      <c r="E315" s="44" t="s">
        <v>51</v>
      </c>
      <c r="G315" s="44">
        <v>336</v>
      </c>
      <c r="H315" s="44" t="s">
        <v>2537</v>
      </c>
    </row>
    <row r="316" spans="1:8">
      <c r="A316" s="31">
        <f>COUNTIF('BOM Atual ZPCS12'!F:F,B316)+(1-(SUMIF(Invoice!$A:$A,$B316,Invoice!$B:$B)/100000000000))</f>
        <v>2</v>
      </c>
      <c r="B316" s="52" t="s">
        <v>1835</v>
      </c>
      <c r="C316" s="44" t="s">
        <v>1836</v>
      </c>
      <c r="D316" s="44" t="s">
        <v>147</v>
      </c>
      <c r="E316" s="44" t="s">
        <v>51</v>
      </c>
      <c r="G316" s="44">
        <v>336</v>
      </c>
      <c r="H316" s="44" t="s">
        <v>2537</v>
      </c>
    </row>
    <row r="317" spans="1:8">
      <c r="A317" s="31">
        <f>COUNTIF('BOM Atual ZPCS12'!F:F,B317)+(1-(SUMIF(Invoice!$A:$A,$B317,Invoice!$B:$B)/100000000000))</f>
        <v>2</v>
      </c>
      <c r="B317" s="52" t="s">
        <v>1837</v>
      </c>
      <c r="C317" s="44" t="s">
        <v>1838</v>
      </c>
      <c r="D317" s="44" t="s">
        <v>147</v>
      </c>
      <c r="E317" s="44" t="s">
        <v>51</v>
      </c>
      <c r="G317" s="44">
        <v>336</v>
      </c>
      <c r="H317" s="44" t="s">
        <v>2537</v>
      </c>
    </row>
    <row r="318" spans="1:8">
      <c r="A318" s="31">
        <f>COUNTIF('BOM Atual ZPCS12'!F:F,B318)+(1-(SUMIF(Invoice!$A:$A,$B318,Invoice!$B:$B)/100000000000))</f>
        <v>1</v>
      </c>
      <c r="B318" s="52" t="s">
        <v>2628</v>
      </c>
      <c r="C318" s="44" t="s">
        <v>2629</v>
      </c>
      <c r="D318" s="44" t="s">
        <v>147</v>
      </c>
      <c r="E318" s="44" t="s">
        <v>51</v>
      </c>
      <c r="G318" s="44">
        <v>337</v>
      </c>
      <c r="H318" s="44" t="s">
        <v>2537</v>
      </c>
    </row>
    <row r="319" spans="1:8">
      <c r="A319" s="31">
        <f>COUNTIF('BOM Atual ZPCS12'!F:F,B319)+(1-(SUMIF(Invoice!$A:$A,$B319,Invoice!$B:$B)/100000000000))</f>
        <v>1</v>
      </c>
      <c r="B319" s="52" t="s">
        <v>2630</v>
      </c>
      <c r="C319" s="44" t="s">
        <v>2631</v>
      </c>
      <c r="D319" s="44" t="s">
        <v>147</v>
      </c>
      <c r="E319" s="44" t="s">
        <v>51</v>
      </c>
      <c r="G319" s="44">
        <v>337</v>
      </c>
      <c r="H319" s="44" t="s">
        <v>2537</v>
      </c>
    </row>
    <row r="320" spans="1:8">
      <c r="A320" s="31">
        <f>COUNTIF('BOM Atual ZPCS12'!F:F,B320)+(1-(SUMIF(Invoice!$A:$A,$B320,Invoice!$B:$B)/100000000000))</f>
        <v>2</v>
      </c>
      <c r="B320" s="52" t="s">
        <v>1938</v>
      </c>
      <c r="C320" s="44" t="s">
        <v>1939</v>
      </c>
      <c r="D320" s="44" t="s">
        <v>147</v>
      </c>
      <c r="E320" s="44" t="s">
        <v>51</v>
      </c>
      <c r="G320" s="44">
        <v>338</v>
      </c>
      <c r="H320" s="44" t="s">
        <v>2537</v>
      </c>
    </row>
    <row r="321" spans="1:8">
      <c r="A321" s="31">
        <f>COUNTIF('BOM Atual ZPCS12'!F:F,B321)+(1-(SUMIF(Invoice!$A:$A,$B321,Invoice!$B:$B)/100000000000))</f>
        <v>1.9999999885599999</v>
      </c>
      <c r="B321" s="52" t="s">
        <v>1941</v>
      </c>
      <c r="C321" s="44" t="s">
        <v>2632</v>
      </c>
      <c r="D321" s="44" t="s">
        <v>147</v>
      </c>
      <c r="E321" s="44" t="s">
        <v>51</v>
      </c>
      <c r="G321" s="44">
        <v>338</v>
      </c>
      <c r="H321" s="44" t="s">
        <v>2537</v>
      </c>
    </row>
    <row r="322" spans="1:8">
      <c r="A322" s="31">
        <f>COUNTIF('BOM Atual ZPCS12'!F:F,B322)+(1-(SUMIF(Invoice!$A:$A,$B322,Invoice!$B:$B)/100000000000))</f>
        <v>1</v>
      </c>
      <c r="B322" s="52" t="s">
        <v>2633</v>
      </c>
      <c r="C322" s="44" t="s">
        <v>2634</v>
      </c>
      <c r="D322" s="44" t="s">
        <v>147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2635</v>
      </c>
      <c r="C323" s="44" t="s">
        <v>2636</v>
      </c>
      <c r="D323" s="44" t="s">
        <v>147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2637</v>
      </c>
      <c r="C324" s="44" t="s">
        <v>2638</v>
      </c>
      <c r="D324" s="44" t="s">
        <v>147</v>
      </c>
      <c r="E324" s="44" t="s">
        <v>51</v>
      </c>
      <c r="G324" s="44">
        <v>582</v>
      </c>
      <c r="H324" s="44" t="s">
        <v>2537</v>
      </c>
    </row>
    <row r="325" spans="1:8">
      <c r="A325" s="31">
        <f>COUNTIF('BOM Atual ZPCS12'!F:F,B325)+(1-(SUMIF(Invoice!$A:$A,$B325,Invoice!$B:$B)/100000000000))</f>
        <v>1</v>
      </c>
      <c r="B325" s="52" t="s">
        <v>2639</v>
      </c>
      <c r="C325" s="44" t="s">
        <v>2640</v>
      </c>
      <c r="D325" s="44" t="s">
        <v>147</v>
      </c>
      <c r="E325" s="44" t="s">
        <v>51</v>
      </c>
      <c r="G325" s="44">
        <v>582</v>
      </c>
      <c r="H325" s="44" t="s">
        <v>2537</v>
      </c>
    </row>
    <row r="326" spans="1:8">
      <c r="A326" s="31">
        <f>COUNTIF('BOM Atual ZPCS12'!F:F,B326)+(1-(SUMIF(Invoice!$A:$A,$B326,Invoice!$B:$B)/100000000000))</f>
        <v>1</v>
      </c>
      <c r="B326" s="52" t="s">
        <v>2641</v>
      </c>
      <c r="C326" s="44" t="s">
        <v>2642</v>
      </c>
      <c r="D326" s="44" t="s">
        <v>147</v>
      </c>
      <c r="E326" s="44" t="s">
        <v>51</v>
      </c>
      <c r="G326" s="44">
        <v>582</v>
      </c>
      <c r="H326" s="44" t="s">
        <v>2537</v>
      </c>
    </row>
    <row r="327" spans="1:8">
      <c r="A327" s="31">
        <f>COUNTIF('BOM Atual ZPCS12'!F:F,B327)+(1-(SUMIF(Invoice!$A:$A,$B327,Invoice!$B:$B)/100000000000))</f>
        <v>1</v>
      </c>
      <c r="B327" s="52" t="s">
        <v>2643</v>
      </c>
      <c r="C327" s="44" t="s">
        <v>2644</v>
      </c>
      <c r="D327" s="44" t="s">
        <v>147</v>
      </c>
      <c r="E327" s="44" t="s">
        <v>51</v>
      </c>
      <c r="G327" s="44">
        <v>583</v>
      </c>
      <c r="H327" s="44" t="s">
        <v>2537</v>
      </c>
    </row>
    <row r="328" spans="1:8">
      <c r="A328" s="31">
        <f>COUNTIF('BOM Atual ZPCS12'!F:F,B328)+(1-(SUMIF(Invoice!$A:$A,$B328,Invoice!$B:$B)/100000000000))</f>
        <v>1</v>
      </c>
      <c r="B328" s="52" t="s">
        <v>2645</v>
      </c>
      <c r="C328" s="44" t="s">
        <v>2646</v>
      </c>
      <c r="D328" s="44" t="s">
        <v>147</v>
      </c>
      <c r="E328" s="44" t="s">
        <v>51</v>
      </c>
      <c r="G328" s="44">
        <v>583</v>
      </c>
      <c r="H328" s="44" t="s">
        <v>2537</v>
      </c>
    </row>
    <row r="329" spans="1:8">
      <c r="A329" s="31">
        <f>COUNTIF('BOM Atual ZPCS12'!F:F,B329)+(1-(SUMIF(Invoice!$A:$A,$B329,Invoice!$B:$B)/100000000000))</f>
        <v>1</v>
      </c>
      <c r="B329" s="52" t="s">
        <v>2647</v>
      </c>
      <c r="C329" s="44" t="s">
        <v>2648</v>
      </c>
      <c r="D329" s="44" t="s">
        <v>147</v>
      </c>
      <c r="E329" s="44" t="s">
        <v>51</v>
      </c>
      <c r="G329" s="44">
        <v>583</v>
      </c>
      <c r="H329" s="44" t="s">
        <v>2537</v>
      </c>
    </row>
    <row r="330" spans="1:8">
      <c r="A330" s="31">
        <f>COUNTIF('BOM Atual ZPCS12'!F:F,B330)+(1-(SUMIF(Invoice!$A:$A,$B330,Invoice!$B:$B)/100000000000))</f>
        <v>1.9999999900000001</v>
      </c>
      <c r="B330" s="52" t="s">
        <v>183</v>
      </c>
      <c r="C330" s="44" t="s">
        <v>2649</v>
      </c>
      <c r="D330" s="44" t="s">
        <v>147</v>
      </c>
      <c r="E330" s="44" t="s">
        <v>51</v>
      </c>
      <c r="G330" s="44">
        <v>583</v>
      </c>
      <c r="H330" s="44" t="s">
        <v>2537</v>
      </c>
    </row>
    <row r="331" spans="1:8">
      <c r="A331" s="31">
        <f>COUNTIF('BOM Atual ZPCS12'!F:F,B331)+(1-(SUMIF(Invoice!$A:$A,$B331,Invoice!$B:$B)/100000000000))</f>
        <v>2</v>
      </c>
      <c r="B331" s="52" t="s">
        <v>186</v>
      </c>
      <c r="C331" s="44" t="s">
        <v>2650</v>
      </c>
      <c r="D331" s="44" t="s">
        <v>147</v>
      </c>
      <c r="E331" s="44" t="s">
        <v>51</v>
      </c>
      <c r="G331" s="44">
        <v>583</v>
      </c>
      <c r="H331" s="44" t="s">
        <v>2537</v>
      </c>
    </row>
    <row r="332" spans="1:8">
      <c r="A332" s="31">
        <f>COUNTIF('BOM Atual ZPCS12'!F:F,B332)+(1-(SUMIF(Invoice!$A:$A,$B332,Invoice!$B:$B)/100000000000))</f>
        <v>1</v>
      </c>
      <c r="B332" s="52" t="s">
        <v>2651</v>
      </c>
      <c r="C332" s="44" t="s">
        <v>2652</v>
      </c>
      <c r="D332" s="44" t="s">
        <v>147</v>
      </c>
      <c r="E332" s="44" t="s">
        <v>51</v>
      </c>
      <c r="G332" s="44">
        <v>584</v>
      </c>
      <c r="H332" s="44" t="s">
        <v>2537</v>
      </c>
    </row>
    <row r="333" spans="1:8">
      <c r="A333" s="31">
        <f>COUNTIF('BOM Atual ZPCS12'!F:F,B333)+(1-(SUMIF(Invoice!$A:$A,$B333,Invoice!$B:$B)/100000000000))</f>
        <v>2</v>
      </c>
      <c r="B333" s="52" t="s">
        <v>211</v>
      </c>
      <c r="C333" s="44" t="s">
        <v>2653</v>
      </c>
      <c r="D333" s="44" t="s">
        <v>147</v>
      </c>
      <c r="E333" s="44" t="s">
        <v>51</v>
      </c>
      <c r="G333" s="44">
        <v>584</v>
      </c>
      <c r="H333" s="44" t="s">
        <v>2537</v>
      </c>
    </row>
    <row r="334" spans="1:8">
      <c r="A334" s="31">
        <f>COUNTIF('BOM Atual ZPCS12'!F:F,B334)+(1-(SUMIF(Invoice!$A:$A,$B334,Invoice!$B:$B)/100000000000))</f>
        <v>1</v>
      </c>
      <c r="B334" s="52" t="s">
        <v>2654</v>
      </c>
      <c r="C334" s="44" t="s">
        <v>2655</v>
      </c>
      <c r="D334" s="44" t="s">
        <v>147</v>
      </c>
      <c r="E334" s="44" t="s">
        <v>51</v>
      </c>
      <c r="G334" s="44">
        <v>584</v>
      </c>
      <c r="H334" s="44" t="s">
        <v>2537</v>
      </c>
    </row>
    <row r="335" spans="1:8">
      <c r="A335" s="31">
        <f>COUNTIF('BOM Atual ZPCS12'!F:F,B335)+(1-(SUMIF(Invoice!$A:$A,$B335,Invoice!$B:$B)/100000000000))</f>
        <v>1.999999978</v>
      </c>
      <c r="B335" s="52" t="s">
        <v>215</v>
      </c>
      <c r="C335" s="44" t="s">
        <v>2656</v>
      </c>
      <c r="D335" s="44" t="s">
        <v>147</v>
      </c>
      <c r="E335" s="44" t="s">
        <v>51</v>
      </c>
      <c r="G335" s="44">
        <v>584</v>
      </c>
      <c r="H335" s="44" t="s">
        <v>2537</v>
      </c>
    </row>
    <row r="336" spans="1:8">
      <c r="A336" s="31">
        <f>COUNTIF('BOM Atual ZPCS12'!F:F,B336)+(1-(SUMIF(Invoice!$A:$A,$B336,Invoice!$B:$B)/100000000000))</f>
        <v>1</v>
      </c>
      <c r="B336" s="52" t="s">
        <v>2657</v>
      </c>
      <c r="C336" s="44" t="s">
        <v>2658</v>
      </c>
      <c r="D336" s="44" t="s">
        <v>147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2659</v>
      </c>
      <c r="C337" s="44" t="s">
        <v>2660</v>
      </c>
      <c r="D337" s="44" t="s">
        <v>147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2661</v>
      </c>
      <c r="C338" s="44" t="s">
        <v>2662</v>
      </c>
      <c r="D338" s="44" t="s">
        <v>147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2663</v>
      </c>
      <c r="C339" s="44" t="s">
        <v>2664</v>
      </c>
      <c r="D339" s="44" t="s">
        <v>147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2665</v>
      </c>
      <c r="C340" s="44" t="s">
        <v>2666</v>
      </c>
      <c r="D340" s="44" t="s">
        <v>147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2667</v>
      </c>
      <c r="C341" s="44" t="s">
        <v>2668</v>
      </c>
      <c r="D341" s="44" t="s">
        <v>147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2669</v>
      </c>
      <c r="C342" s="44" t="s">
        <v>2670</v>
      </c>
      <c r="D342" s="44" t="s">
        <v>147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2671</v>
      </c>
      <c r="C343" s="44" t="s">
        <v>2672</v>
      </c>
      <c r="D343" s="44" t="s">
        <v>147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2673</v>
      </c>
      <c r="C344" s="44" t="s">
        <v>2674</v>
      </c>
      <c r="D344" s="44" t="s">
        <v>147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2675</v>
      </c>
      <c r="C345" s="44" t="s">
        <v>2676</v>
      </c>
      <c r="D345" s="44" t="s">
        <v>147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2677</v>
      </c>
      <c r="C346" s="44" t="s">
        <v>2678</v>
      </c>
      <c r="D346" s="44" t="s">
        <v>147</v>
      </c>
      <c r="E346" s="44" t="s">
        <v>51</v>
      </c>
      <c r="G346" s="44">
        <v>590</v>
      </c>
      <c r="H346" s="44" t="s">
        <v>2537</v>
      </c>
    </row>
    <row r="347" spans="1:8">
      <c r="A347" s="31">
        <f>COUNTIF('BOM Atual ZPCS12'!F:F,B347)+(1-(SUMIF(Invoice!$A:$A,$B347,Invoice!$B:$B)/100000000000))</f>
        <v>1</v>
      </c>
      <c r="B347" s="52" t="s">
        <v>2679</v>
      </c>
      <c r="C347" s="44" t="s">
        <v>2680</v>
      </c>
      <c r="D347" s="44" t="s">
        <v>147</v>
      </c>
      <c r="E347" s="44" t="s">
        <v>51</v>
      </c>
      <c r="G347" s="44">
        <v>590</v>
      </c>
      <c r="H347" s="44" t="s">
        <v>2537</v>
      </c>
    </row>
    <row r="348" spans="1:8">
      <c r="A348" s="31">
        <f>COUNTIF('BOM Atual ZPCS12'!F:F,B348)+(1-(SUMIF(Invoice!$A:$A,$B348,Invoice!$B:$B)/100000000000))</f>
        <v>1</v>
      </c>
      <c r="B348" s="52" t="s">
        <v>2681</v>
      </c>
      <c r="C348" s="44" t="s">
        <v>2682</v>
      </c>
      <c r="D348" s="44" t="s">
        <v>147</v>
      </c>
      <c r="E348" s="44" t="s">
        <v>51</v>
      </c>
      <c r="G348" s="44">
        <v>590</v>
      </c>
      <c r="H348" s="44" t="s">
        <v>2537</v>
      </c>
    </row>
    <row r="349" spans="1:8">
      <c r="A349" s="31">
        <f>COUNTIF('BOM Atual ZPCS12'!F:F,B349)+(1-(SUMIF(Invoice!$A:$A,$B349,Invoice!$B:$B)/100000000000))</f>
        <v>1.9999999900000001</v>
      </c>
      <c r="B349" s="52" t="s">
        <v>188</v>
      </c>
      <c r="C349" s="44" t="s">
        <v>2683</v>
      </c>
      <c r="D349" s="44" t="s">
        <v>147</v>
      </c>
      <c r="E349" s="44" t="s">
        <v>51</v>
      </c>
      <c r="G349" s="44">
        <v>590</v>
      </c>
      <c r="H349" s="44" t="s">
        <v>2537</v>
      </c>
    </row>
    <row r="350" spans="1:8">
      <c r="A350" s="31">
        <f>COUNTIF('BOM Atual ZPCS12'!F:F,B350)+(1-(SUMIF(Invoice!$A:$A,$B350,Invoice!$B:$B)/100000000000))</f>
        <v>2</v>
      </c>
      <c r="B350" s="52" t="s">
        <v>191</v>
      </c>
      <c r="C350" s="44" t="s">
        <v>2684</v>
      </c>
      <c r="D350" s="44" t="s">
        <v>147</v>
      </c>
      <c r="E350" s="44" t="s">
        <v>51</v>
      </c>
      <c r="G350" s="44">
        <v>590</v>
      </c>
      <c r="H350" s="44" t="s">
        <v>2537</v>
      </c>
    </row>
    <row r="351" spans="1:8">
      <c r="A351" s="31">
        <f>COUNTIF('BOM Atual ZPCS12'!F:F,B351)+(1-(SUMIF(Invoice!$A:$A,$B351,Invoice!$B:$B)/100000000000))</f>
        <v>1</v>
      </c>
      <c r="B351" s="52" t="s">
        <v>2685</v>
      </c>
      <c r="C351" s="44" t="s">
        <v>2686</v>
      </c>
      <c r="D351" s="44" t="s">
        <v>147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2687</v>
      </c>
      <c r="C352" s="44" t="s">
        <v>2688</v>
      </c>
      <c r="D352" s="44" t="s">
        <v>147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2689</v>
      </c>
      <c r="C353" s="44" t="s">
        <v>2690</v>
      </c>
      <c r="D353" s="44" t="s">
        <v>147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2691</v>
      </c>
      <c r="C354" s="44" t="s">
        <v>2692</v>
      </c>
      <c r="D354" s="44" t="s">
        <v>147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2693</v>
      </c>
      <c r="C355" s="44" t="s">
        <v>2694</v>
      </c>
      <c r="D355" s="44" t="s">
        <v>147</v>
      </c>
      <c r="E355" s="44" t="s">
        <v>51</v>
      </c>
      <c r="G355" s="44">
        <v>592</v>
      </c>
      <c r="H355" s="44" t="s">
        <v>2537</v>
      </c>
    </row>
    <row r="356" spans="1:8">
      <c r="A356" s="31">
        <f>COUNTIF('BOM Atual ZPCS12'!F:F,B356)+(1-(SUMIF(Invoice!$A:$A,$B356,Invoice!$B:$B)/100000000000))</f>
        <v>1</v>
      </c>
      <c r="B356" s="52" t="s">
        <v>2695</v>
      </c>
      <c r="C356" s="44" t="s">
        <v>2696</v>
      </c>
      <c r="D356" s="44" t="s">
        <v>147</v>
      </c>
      <c r="E356" s="44" t="s">
        <v>51</v>
      </c>
      <c r="G356" s="44">
        <v>592</v>
      </c>
      <c r="H356" s="44" t="s">
        <v>2537</v>
      </c>
    </row>
    <row r="357" spans="1:8">
      <c r="A357" s="31">
        <f>COUNTIF('BOM Atual ZPCS12'!F:F,B357)+(1-(SUMIF(Invoice!$A:$A,$B357,Invoice!$B:$B)/100000000000))</f>
        <v>1</v>
      </c>
      <c r="B357" s="52" t="s">
        <v>2697</v>
      </c>
      <c r="C357" s="44" t="s">
        <v>2698</v>
      </c>
      <c r="D357" s="44" t="s">
        <v>147</v>
      </c>
      <c r="E357" s="44" t="s">
        <v>51</v>
      </c>
      <c r="G357" s="44">
        <v>592</v>
      </c>
      <c r="H357" s="44" t="s">
        <v>2537</v>
      </c>
    </row>
    <row r="358" spans="1:8">
      <c r="A358" s="31">
        <f>COUNTIF('BOM Atual ZPCS12'!F:F,B358)+(1-(SUMIF(Invoice!$A:$A,$B358,Invoice!$B:$B)/100000000000))</f>
        <v>2</v>
      </c>
      <c r="B358" s="52" t="s">
        <v>312</v>
      </c>
      <c r="C358" s="44" t="s">
        <v>2699</v>
      </c>
      <c r="D358" s="44" t="s">
        <v>147</v>
      </c>
      <c r="E358" s="44" t="s">
        <v>51</v>
      </c>
      <c r="G358" s="44">
        <v>593</v>
      </c>
      <c r="H358" s="44" t="s">
        <v>2537</v>
      </c>
    </row>
    <row r="359" spans="1:8">
      <c r="A359" s="31">
        <f>COUNTIF('BOM Atual ZPCS12'!F:F,B359)+(1-(SUMIF(Invoice!$A:$A,$B359,Invoice!$B:$B)/100000000000))</f>
        <v>2</v>
      </c>
      <c r="B359" s="52" t="s">
        <v>315</v>
      </c>
      <c r="C359" s="44" t="s">
        <v>2700</v>
      </c>
      <c r="D359" s="44" t="s">
        <v>147</v>
      </c>
      <c r="E359" s="44" t="s">
        <v>51</v>
      </c>
      <c r="G359" s="44">
        <v>593</v>
      </c>
      <c r="H359" s="44" t="s">
        <v>2537</v>
      </c>
    </row>
    <row r="360" spans="1:8">
      <c r="A360" s="31">
        <f>COUNTIF('BOM Atual ZPCS12'!F:F,B360)+(1-(SUMIF(Invoice!$A:$A,$B360,Invoice!$B:$B)/100000000000))</f>
        <v>1</v>
      </c>
      <c r="B360" s="52" t="s">
        <v>2701</v>
      </c>
      <c r="C360" s="44" t="s">
        <v>2702</v>
      </c>
      <c r="D360" s="44" t="s">
        <v>147</v>
      </c>
      <c r="E360" s="44" t="s">
        <v>51</v>
      </c>
      <c r="G360" s="44">
        <v>593</v>
      </c>
      <c r="H360" s="44" t="s">
        <v>2537</v>
      </c>
    </row>
    <row r="361" spans="1:8">
      <c r="A361" s="31">
        <f>COUNTIF('BOM Atual ZPCS12'!F:F,B361)+(1-(SUMIF(Invoice!$A:$A,$B361,Invoice!$B:$B)/100000000000))</f>
        <v>1.9999999399999999</v>
      </c>
      <c r="B361" s="52" t="s">
        <v>317</v>
      </c>
      <c r="C361" s="44" t="s">
        <v>2703</v>
      </c>
      <c r="D361" s="44" t="s">
        <v>147</v>
      </c>
      <c r="E361" s="44" t="s">
        <v>51</v>
      </c>
      <c r="G361" s="44">
        <v>593</v>
      </c>
      <c r="H361" s="44" t="s">
        <v>2537</v>
      </c>
    </row>
    <row r="362" spans="1:8">
      <c r="A362" s="31">
        <f>COUNTIF('BOM Atual ZPCS12'!F:F,B362)+(1-(SUMIF(Invoice!$A:$A,$B362,Invoice!$B:$B)/100000000000))</f>
        <v>2</v>
      </c>
      <c r="B362" s="52" t="s">
        <v>349</v>
      </c>
      <c r="C362" s="44" t="s">
        <v>2704</v>
      </c>
      <c r="D362" s="44" t="s">
        <v>147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1.9999999900000001</v>
      </c>
      <c r="B363" s="52" t="s">
        <v>351</v>
      </c>
      <c r="C363" s="44" t="s">
        <v>2705</v>
      </c>
      <c r="D363" s="44" t="s">
        <v>147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437</v>
      </c>
      <c r="C364" s="44" t="s">
        <v>2706</v>
      </c>
      <c r="D364" s="44" t="s">
        <v>147</v>
      </c>
      <c r="E364" s="44" t="s">
        <v>51</v>
      </c>
      <c r="G364" s="44">
        <v>597</v>
      </c>
      <c r="H364" s="44" t="s">
        <v>2537</v>
      </c>
    </row>
    <row r="365" spans="1:8">
      <c r="A365" s="31">
        <f>COUNTIF('BOM Atual ZPCS12'!F:F,B365)+(1-(SUMIF(Invoice!$A:$A,$B365,Invoice!$B:$B)/100000000000))</f>
        <v>1.9999999900000001</v>
      </c>
      <c r="B365" s="52" t="s">
        <v>439</v>
      </c>
      <c r="C365" s="44" t="s">
        <v>2707</v>
      </c>
      <c r="D365" s="44" t="s">
        <v>147</v>
      </c>
      <c r="E365" s="44" t="s">
        <v>51</v>
      </c>
      <c r="G365" s="44">
        <v>597</v>
      </c>
      <c r="H365" s="44" t="s">
        <v>2537</v>
      </c>
    </row>
    <row r="366" spans="1:8">
      <c r="A366" s="31">
        <f>COUNTIF('BOM Atual ZPCS12'!F:F,B366)+(1-(SUMIF(Invoice!$A:$A,$B366,Invoice!$B:$B)/100000000000))</f>
        <v>2</v>
      </c>
      <c r="B366" s="52" t="s">
        <v>441</v>
      </c>
      <c r="C366" s="44" t="s">
        <v>2708</v>
      </c>
      <c r="D366" s="44" t="s">
        <v>147</v>
      </c>
      <c r="E366" s="44" t="s">
        <v>51</v>
      </c>
      <c r="G366" s="44">
        <v>597</v>
      </c>
      <c r="H366" s="44" t="s">
        <v>2537</v>
      </c>
    </row>
    <row r="367" spans="1:8">
      <c r="A367" s="31">
        <f>COUNTIF('BOM Atual ZPCS12'!F:F,B367)+(1-(SUMIF(Invoice!$A:$A,$B367,Invoice!$B:$B)/100000000000))</f>
        <v>2</v>
      </c>
      <c r="B367" s="52" t="s">
        <v>443</v>
      </c>
      <c r="C367" s="44" t="s">
        <v>2709</v>
      </c>
      <c r="D367" s="44" t="s">
        <v>147</v>
      </c>
      <c r="E367" s="44" t="s">
        <v>51</v>
      </c>
      <c r="G367" s="44">
        <v>597</v>
      </c>
      <c r="H367" s="44" t="s">
        <v>2537</v>
      </c>
    </row>
    <row r="368" spans="1:8">
      <c r="A368" s="31">
        <f>COUNTIF('BOM Atual ZPCS12'!F:F,B368)+(1-(SUMIF(Invoice!$A:$A,$B368,Invoice!$B:$B)/100000000000))</f>
        <v>2</v>
      </c>
      <c r="B368" s="52" t="s">
        <v>445</v>
      </c>
      <c r="C368" s="44" t="s">
        <v>2710</v>
      </c>
      <c r="D368" s="44" t="s">
        <v>147</v>
      </c>
      <c r="E368" s="44" t="s">
        <v>51</v>
      </c>
      <c r="G368" s="44">
        <v>597</v>
      </c>
      <c r="H368" s="44" t="s">
        <v>2537</v>
      </c>
    </row>
    <row r="369" spans="1:8">
      <c r="A369" s="31">
        <f>COUNTIF('BOM Atual ZPCS12'!F:F,B369)+(1-(SUMIF(Invoice!$A:$A,$B369,Invoice!$B:$B)/100000000000))</f>
        <v>1.9999999800000001</v>
      </c>
      <c r="B369" s="52" t="s">
        <v>487</v>
      </c>
      <c r="C369" s="44" t="s">
        <v>2711</v>
      </c>
      <c r="D369" s="44" t="s">
        <v>147</v>
      </c>
      <c r="E369" s="44" t="s">
        <v>51</v>
      </c>
      <c r="G369" s="44">
        <v>597</v>
      </c>
      <c r="H369" s="44" t="s">
        <v>2537</v>
      </c>
    </row>
    <row r="370" spans="1:8">
      <c r="A370" s="31">
        <f>COUNTIF('BOM Atual ZPCS12'!F:F,B370)+(1-(SUMIF(Invoice!$A:$A,$B370,Invoice!$B:$B)/100000000000))</f>
        <v>2</v>
      </c>
      <c r="B370" s="52" t="s">
        <v>490</v>
      </c>
      <c r="C370" s="44" t="s">
        <v>491</v>
      </c>
      <c r="D370" s="44" t="s">
        <v>147</v>
      </c>
      <c r="E370" s="44" t="s">
        <v>51</v>
      </c>
      <c r="G370" s="44">
        <v>597</v>
      </c>
      <c r="H370" s="44" t="s">
        <v>2537</v>
      </c>
    </row>
    <row r="371" spans="1:8">
      <c r="A371" s="31">
        <f>COUNTIF('BOM Atual ZPCS12'!F:F,B371)+(1-(SUMIF(Invoice!$A:$A,$B371,Invoice!$B:$B)/100000000000))</f>
        <v>1</v>
      </c>
      <c r="B371" s="52" t="s">
        <v>2712</v>
      </c>
      <c r="C371" s="44" t="s">
        <v>2713</v>
      </c>
      <c r="D371" s="44" t="s">
        <v>147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2714</v>
      </c>
      <c r="C372" s="44" t="s">
        <v>2715</v>
      </c>
      <c r="D372" s="44" t="s">
        <v>147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2716</v>
      </c>
      <c r="C373" s="44" t="s">
        <v>2717</v>
      </c>
      <c r="D373" s="44" t="s">
        <v>147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2718</v>
      </c>
      <c r="C374" s="44" t="s">
        <v>2719</v>
      </c>
      <c r="D374" s="44" t="s">
        <v>147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1.99999986</v>
      </c>
      <c r="B375" s="52" t="s">
        <v>427</v>
      </c>
      <c r="C375" s="44" t="s">
        <v>2720</v>
      </c>
      <c r="D375" s="44" t="s">
        <v>147</v>
      </c>
      <c r="E375" s="44" t="s">
        <v>51</v>
      </c>
      <c r="G375" s="44">
        <v>600</v>
      </c>
      <c r="H375" s="44" t="s">
        <v>2537</v>
      </c>
    </row>
    <row r="376" spans="1:8">
      <c r="A376" s="31">
        <f>COUNTIF('BOM Atual ZPCS12'!F:F,B376)+(1-(SUMIF(Invoice!$A:$A,$B376,Invoice!$B:$B)/100000000000))</f>
        <v>1.9999999900000001</v>
      </c>
      <c r="B376" s="52" t="s">
        <v>479</v>
      </c>
      <c r="C376" s="44" t="s">
        <v>2721</v>
      </c>
      <c r="D376" s="44" t="s">
        <v>147</v>
      </c>
      <c r="E376" s="44" t="s">
        <v>51</v>
      </c>
      <c r="G376" s="44">
        <v>600</v>
      </c>
      <c r="H376" s="44" t="s">
        <v>2537</v>
      </c>
    </row>
    <row r="377" spans="1:8">
      <c r="A377" s="31">
        <f>COUNTIF('BOM Atual ZPCS12'!F:F,B377)+(1-(SUMIF(Invoice!$A:$A,$B377,Invoice!$B:$B)/100000000000))</f>
        <v>2</v>
      </c>
      <c r="B377" s="52" t="s">
        <v>481</v>
      </c>
      <c r="C377" s="44" t="s">
        <v>482</v>
      </c>
      <c r="D377" s="44" t="s">
        <v>147</v>
      </c>
      <c r="E377" s="44" t="s">
        <v>51</v>
      </c>
      <c r="G377" s="44">
        <v>600</v>
      </c>
      <c r="H377" s="44" t="s">
        <v>2537</v>
      </c>
    </row>
    <row r="378" spans="1:8">
      <c r="A378" s="31">
        <f>COUNTIF('BOM Atual ZPCS12'!F:F,B378)+(1-(SUMIF(Invoice!$A:$A,$B378,Invoice!$B:$B)/100000000000))</f>
        <v>2</v>
      </c>
      <c r="B378" s="52" t="s">
        <v>429</v>
      </c>
      <c r="C378" s="44" t="s">
        <v>2722</v>
      </c>
      <c r="D378" s="44" t="s">
        <v>147</v>
      </c>
      <c r="E378" s="44" t="s">
        <v>51</v>
      </c>
      <c r="G378" s="44">
        <v>600</v>
      </c>
      <c r="H378" s="44" t="s">
        <v>2537</v>
      </c>
    </row>
    <row r="379" spans="1:8">
      <c r="A379" s="31">
        <f>COUNTIF('BOM Atual ZPCS12'!F:F,B379)+(1-(SUMIF(Invoice!$A:$A,$B379,Invoice!$B:$B)/100000000000))</f>
        <v>1</v>
      </c>
      <c r="B379" s="52" t="s">
        <v>2723</v>
      </c>
      <c r="C379" s="44" t="s">
        <v>2724</v>
      </c>
      <c r="D379" s="44" t="s">
        <v>147</v>
      </c>
      <c r="E379" s="44" t="s">
        <v>51</v>
      </c>
      <c r="G379" s="44">
        <v>600</v>
      </c>
      <c r="H379" s="44" t="s">
        <v>2537</v>
      </c>
    </row>
    <row r="380" spans="1:8">
      <c r="A380" s="31">
        <f>COUNTIF('BOM Atual ZPCS12'!F:F,B380)+(1-(SUMIF(Invoice!$A:$A,$B380,Invoice!$B:$B)/100000000000))</f>
        <v>1.99999996</v>
      </c>
      <c r="B380" s="52" t="s">
        <v>492</v>
      </c>
      <c r="C380" s="44" t="s">
        <v>493</v>
      </c>
      <c r="D380" s="44" t="s">
        <v>147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494</v>
      </c>
      <c r="C381" s="44" t="s">
        <v>495</v>
      </c>
      <c r="D381" s="44" t="s">
        <v>147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2725</v>
      </c>
      <c r="C382" s="44" t="s">
        <v>2726</v>
      </c>
      <c r="D382" s="44" t="s">
        <v>147</v>
      </c>
      <c r="E382" s="44" t="s">
        <v>51</v>
      </c>
      <c r="G382" s="44">
        <v>604</v>
      </c>
      <c r="H382" s="44" t="s">
        <v>2537</v>
      </c>
    </row>
    <row r="383" spans="1:8">
      <c r="A383" s="31">
        <f>COUNTIF('BOM Atual ZPCS12'!F:F,B383)+(1-(SUMIF(Invoice!$A:$A,$B383,Invoice!$B:$B)/100000000000))</f>
        <v>1</v>
      </c>
      <c r="B383" s="52" t="s">
        <v>2727</v>
      </c>
      <c r="C383" s="44" t="s">
        <v>2728</v>
      </c>
      <c r="D383" s="44" t="s">
        <v>147</v>
      </c>
      <c r="E383" s="44" t="s">
        <v>51</v>
      </c>
      <c r="G383" s="44">
        <v>604</v>
      </c>
      <c r="H383" s="44" t="s">
        <v>2537</v>
      </c>
    </row>
    <row r="384" spans="1:8">
      <c r="A384" s="31">
        <f>COUNTIF('BOM Atual ZPCS12'!F:F,B384)+(1-(SUMIF(Invoice!$A:$A,$B384,Invoice!$B:$B)/100000000000))</f>
        <v>1</v>
      </c>
      <c r="B384" s="52" t="s">
        <v>2729</v>
      </c>
      <c r="C384" s="44" t="s">
        <v>2730</v>
      </c>
      <c r="D384" s="44" t="s">
        <v>147</v>
      </c>
      <c r="E384" s="44" t="s">
        <v>51</v>
      </c>
      <c r="G384" s="44">
        <v>604</v>
      </c>
      <c r="H384" s="44" t="s">
        <v>2537</v>
      </c>
    </row>
    <row r="385" spans="1:8">
      <c r="A385" s="31">
        <f>COUNTIF('BOM Atual ZPCS12'!F:F,B385)+(1-(SUMIF(Invoice!$A:$A,$B385,Invoice!$B:$B)/100000000000))</f>
        <v>1</v>
      </c>
      <c r="B385" s="52" t="s">
        <v>2731</v>
      </c>
      <c r="C385" s="44" t="s">
        <v>2732</v>
      </c>
      <c r="D385" s="44" t="s">
        <v>147</v>
      </c>
      <c r="E385" s="44" t="s">
        <v>51</v>
      </c>
      <c r="G385" s="44">
        <v>605</v>
      </c>
      <c r="H385" s="44" t="s">
        <v>2537</v>
      </c>
    </row>
    <row r="386" spans="1:8">
      <c r="A386" s="31">
        <f>COUNTIF('BOM Atual ZPCS12'!F:F,B386)+(1-(SUMIF(Invoice!$A:$A,$B386,Invoice!$B:$B)/100000000000))</f>
        <v>1</v>
      </c>
      <c r="B386" s="52" t="s">
        <v>2733</v>
      </c>
      <c r="C386" s="44" t="s">
        <v>2734</v>
      </c>
      <c r="D386" s="44" t="s">
        <v>147</v>
      </c>
      <c r="E386" s="44" t="s">
        <v>51</v>
      </c>
      <c r="G386" s="44">
        <v>605</v>
      </c>
      <c r="H386" s="44" t="s">
        <v>2537</v>
      </c>
    </row>
    <row r="387" spans="1:8">
      <c r="A387" s="31">
        <f>COUNTIF('BOM Atual ZPCS12'!F:F,B387)+(1-(SUMIF(Invoice!$A:$A,$B387,Invoice!$B:$B)/100000000000))</f>
        <v>1</v>
      </c>
      <c r="B387" s="52" t="s">
        <v>2735</v>
      </c>
      <c r="C387" s="44" t="s">
        <v>2736</v>
      </c>
      <c r="D387" s="44" t="s">
        <v>147</v>
      </c>
      <c r="E387" s="44" t="s">
        <v>51</v>
      </c>
      <c r="G387" s="44">
        <v>605</v>
      </c>
      <c r="H387" s="44" t="s">
        <v>2537</v>
      </c>
    </row>
    <row r="388" spans="1:8">
      <c r="A388" s="31">
        <f>COUNTIF('BOM Atual ZPCS12'!F:F,B388)+(1-(SUMIF(Invoice!$A:$A,$B388,Invoice!$B:$B)/100000000000))</f>
        <v>1</v>
      </c>
      <c r="B388" s="52" t="s">
        <v>2737</v>
      </c>
      <c r="C388" s="44" t="s">
        <v>2738</v>
      </c>
      <c r="D388" s="44" t="s">
        <v>147</v>
      </c>
      <c r="E388" s="44" t="s">
        <v>51</v>
      </c>
      <c r="G388" s="44">
        <v>605</v>
      </c>
      <c r="H388" s="44" t="s">
        <v>2537</v>
      </c>
    </row>
    <row r="389" spans="1:8">
      <c r="A389" s="31">
        <f>COUNTIF('BOM Atual ZPCS12'!F:F,B389)+(1-(SUMIF(Invoice!$A:$A,$B389,Invoice!$B:$B)/100000000000))</f>
        <v>2</v>
      </c>
      <c r="B389" s="52" t="s">
        <v>525</v>
      </c>
      <c r="C389" s="44" t="s">
        <v>2739</v>
      </c>
      <c r="D389" s="44" t="s">
        <v>147</v>
      </c>
      <c r="E389" s="44" t="s">
        <v>51</v>
      </c>
      <c r="G389" s="44">
        <v>606</v>
      </c>
      <c r="H389" s="44" t="s">
        <v>2537</v>
      </c>
    </row>
    <row r="390" spans="1:8">
      <c r="A390" s="31">
        <f>COUNTIF('BOM Atual ZPCS12'!F:F,B390)+(1-(SUMIF(Invoice!$A:$A,$B390,Invoice!$B:$B)/100000000000))</f>
        <v>1.9999996499999999</v>
      </c>
      <c r="B390" s="52" t="s">
        <v>527</v>
      </c>
      <c r="C390" s="44" t="s">
        <v>2740</v>
      </c>
      <c r="D390" s="44" t="s">
        <v>147</v>
      </c>
      <c r="E390" s="44" t="s">
        <v>51</v>
      </c>
      <c r="G390" s="44">
        <v>606</v>
      </c>
      <c r="H390" s="44" t="s">
        <v>2537</v>
      </c>
    </row>
    <row r="391" spans="1:8">
      <c r="A391" s="31">
        <f>COUNTIF('BOM Atual ZPCS12'!F:F,B391)+(1-(SUMIF(Invoice!$A:$A,$B391,Invoice!$B:$B)/100000000000))</f>
        <v>1</v>
      </c>
      <c r="B391" s="52" t="s">
        <v>2741</v>
      </c>
      <c r="C391" s="44" t="s">
        <v>2742</v>
      </c>
      <c r="D391" s="44" t="s">
        <v>147</v>
      </c>
      <c r="E391" s="44" t="s">
        <v>51</v>
      </c>
      <c r="G391" s="44">
        <v>606</v>
      </c>
      <c r="H391" s="44" t="s">
        <v>2537</v>
      </c>
    </row>
    <row r="392" spans="1:8">
      <c r="A392" s="31">
        <f>COUNTIF('BOM Atual ZPCS12'!F:F,B392)+(1-(SUMIF(Invoice!$A:$A,$B392,Invoice!$B:$B)/100000000000))</f>
        <v>2</v>
      </c>
      <c r="B392" s="52" t="s">
        <v>529</v>
      </c>
      <c r="C392" s="44" t="s">
        <v>2743</v>
      </c>
      <c r="D392" s="44" t="s">
        <v>147</v>
      </c>
      <c r="E392" s="44" t="s">
        <v>51</v>
      </c>
      <c r="G392" s="44">
        <v>606</v>
      </c>
      <c r="H392" s="44" t="s">
        <v>2537</v>
      </c>
    </row>
    <row r="393" spans="1:8">
      <c r="A393" s="31">
        <f>COUNTIF('BOM Atual ZPCS12'!F:F,B393)+(1-(SUMIF(Invoice!$A:$A,$B393,Invoice!$B:$B)/100000000000))</f>
        <v>1</v>
      </c>
      <c r="B393" s="52" t="s">
        <v>2744</v>
      </c>
      <c r="C393" s="44" t="s">
        <v>2745</v>
      </c>
      <c r="D393" s="44" t="s">
        <v>147</v>
      </c>
      <c r="E393" s="44" t="s">
        <v>51</v>
      </c>
      <c r="G393" s="44">
        <v>606</v>
      </c>
      <c r="H393" s="44" t="s">
        <v>2537</v>
      </c>
    </row>
    <row r="394" spans="1:8">
      <c r="A394" s="31">
        <f>COUNTIF('BOM Atual ZPCS12'!F:F,B394)+(1-(SUMIF(Invoice!$A:$A,$B394,Invoice!$B:$B)/100000000000))</f>
        <v>1</v>
      </c>
      <c r="B394" s="52" t="s">
        <v>2746</v>
      </c>
      <c r="C394" s="44" t="s">
        <v>2747</v>
      </c>
      <c r="D394" s="44" t="s">
        <v>147</v>
      </c>
      <c r="E394" s="44" t="s">
        <v>51</v>
      </c>
      <c r="G394" s="44">
        <v>606</v>
      </c>
      <c r="H394" s="44" t="s">
        <v>2537</v>
      </c>
    </row>
    <row r="395" spans="1:8">
      <c r="A395" s="31">
        <f>COUNTIF('BOM Atual ZPCS12'!F:F,B395)+(1-(SUMIF(Invoice!$A:$A,$B395,Invoice!$B:$B)/100000000000))</f>
        <v>1</v>
      </c>
      <c r="B395" s="52" t="s">
        <v>2748</v>
      </c>
      <c r="C395" s="44" t="s">
        <v>2749</v>
      </c>
      <c r="D395" s="44" t="s">
        <v>147</v>
      </c>
      <c r="E395" s="44" t="s">
        <v>51</v>
      </c>
      <c r="G395" s="44">
        <v>607</v>
      </c>
      <c r="H395" s="44" t="s">
        <v>2537</v>
      </c>
    </row>
    <row r="396" spans="1:8">
      <c r="A396" s="31">
        <f>COUNTIF('BOM Atual ZPCS12'!F:F,B396)+(1-(SUMIF(Invoice!$A:$A,$B396,Invoice!$B:$B)/100000000000))</f>
        <v>2</v>
      </c>
      <c r="B396" s="52" t="s">
        <v>531</v>
      </c>
      <c r="C396" s="44" t="s">
        <v>532</v>
      </c>
      <c r="D396" s="44" t="s">
        <v>147</v>
      </c>
      <c r="E396" s="44" t="s">
        <v>51</v>
      </c>
      <c r="G396" s="44">
        <v>607</v>
      </c>
      <c r="H396" s="44" t="s">
        <v>2537</v>
      </c>
    </row>
    <row r="397" spans="1:8">
      <c r="A397" s="31">
        <f>COUNTIF('BOM Atual ZPCS12'!F:F,B397)+(1-(SUMIF(Invoice!$A:$A,$B397,Invoice!$B:$B)/100000000000))</f>
        <v>2</v>
      </c>
      <c r="B397" s="52" t="s">
        <v>533</v>
      </c>
      <c r="C397" s="44" t="s">
        <v>2750</v>
      </c>
      <c r="D397" s="44" t="s">
        <v>147</v>
      </c>
      <c r="E397" s="44" t="s">
        <v>51</v>
      </c>
      <c r="G397" s="44">
        <v>607</v>
      </c>
      <c r="H397" s="44" t="s">
        <v>2537</v>
      </c>
    </row>
    <row r="398" spans="1:8">
      <c r="A398" s="31">
        <f>COUNTIF('BOM Atual ZPCS12'!F:F,B398)+(1-(SUMIF(Invoice!$A:$A,$B398,Invoice!$B:$B)/100000000000))</f>
        <v>1.9999999399999999</v>
      </c>
      <c r="B398" s="52" t="s">
        <v>535</v>
      </c>
      <c r="C398" s="44" t="s">
        <v>2751</v>
      </c>
      <c r="D398" s="44" t="s">
        <v>147</v>
      </c>
      <c r="E398" s="44" t="s">
        <v>51</v>
      </c>
      <c r="G398" s="44">
        <v>607</v>
      </c>
      <c r="H398" s="44" t="s">
        <v>2537</v>
      </c>
    </row>
    <row r="399" spans="1:8">
      <c r="A399" s="31">
        <f>COUNTIF('BOM Atual ZPCS12'!F:F,B399)+(1-(SUMIF(Invoice!$A:$A,$B399,Invoice!$B:$B)/100000000000))</f>
        <v>2</v>
      </c>
      <c r="B399" s="52" t="s">
        <v>537</v>
      </c>
      <c r="C399" s="44" t="s">
        <v>2752</v>
      </c>
      <c r="D399" s="44" t="s">
        <v>147</v>
      </c>
      <c r="E399" s="44" t="s">
        <v>51</v>
      </c>
      <c r="G399" s="44">
        <v>607</v>
      </c>
      <c r="H399" s="44" t="s">
        <v>2537</v>
      </c>
    </row>
    <row r="400" spans="1:8">
      <c r="A400" s="31">
        <f>COUNTIF('BOM Atual ZPCS12'!F:F,B400)+(1-(SUMIF(Invoice!$A:$A,$B400,Invoice!$B:$B)/100000000000))</f>
        <v>1</v>
      </c>
      <c r="B400" s="52" t="s">
        <v>2753</v>
      </c>
      <c r="C400" s="44" t="s">
        <v>2754</v>
      </c>
      <c r="D400" s="44" t="s">
        <v>147</v>
      </c>
      <c r="E400" s="44" t="s">
        <v>51</v>
      </c>
      <c r="G400" s="44">
        <v>607</v>
      </c>
      <c r="H400" s="44" t="s">
        <v>2537</v>
      </c>
    </row>
    <row r="401" spans="1:8">
      <c r="A401" s="31">
        <f>COUNTIF('BOM Atual ZPCS12'!F:F,B401)+(1-(SUMIF(Invoice!$A:$A,$B401,Invoice!$B:$B)/100000000000))</f>
        <v>2</v>
      </c>
      <c r="B401" s="52" t="s">
        <v>539</v>
      </c>
      <c r="C401" s="44" t="s">
        <v>2755</v>
      </c>
      <c r="D401" s="44" t="s">
        <v>147</v>
      </c>
      <c r="E401" s="44" t="s">
        <v>51</v>
      </c>
      <c r="G401" s="44">
        <v>608</v>
      </c>
      <c r="H401" s="44" t="s">
        <v>2537</v>
      </c>
    </row>
    <row r="402" spans="1:8">
      <c r="A402" s="31">
        <f>COUNTIF('BOM Atual ZPCS12'!F:F,B402)+(1-(SUMIF(Invoice!$A:$A,$B402,Invoice!$B:$B)/100000000000))</f>
        <v>1.9999998699999999</v>
      </c>
      <c r="B402" s="52" t="s">
        <v>541</v>
      </c>
      <c r="C402" s="44" t="s">
        <v>2756</v>
      </c>
      <c r="D402" s="44" t="s">
        <v>147</v>
      </c>
      <c r="E402" s="44" t="s">
        <v>51</v>
      </c>
      <c r="G402" s="44">
        <v>608</v>
      </c>
      <c r="H402" s="44" t="s">
        <v>2537</v>
      </c>
    </row>
    <row r="403" spans="1:8">
      <c r="A403" s="31">
        <f>COUNTIF('BOM Atual ZPCS12'!F:F,B403)+(1-(SUMIF(Invoice!$A:$A,$B403,Invoice!$B:$B)/100000000000))</f>
        <v>2</v>
      </c>
      <c r="B403" s="52" t="s">
        <v>543</v>
      </c>
      <c r="C403" s="44" t="s">
        <v>2757</v>
      </c>
      <c r="D403" s="44" t="s">
        <v>147</v>
      </c>
      <c r="E403" s="44" t="s">
        <v>51</v>
      </c>
      <c r="G403" s="44">
        <v>608</v>
      </c>
      <c r="H403" s="44" t="s">
        <v>2537</v>
      </c>
    </row>
    <row r="404" spans="1:8">
      <c r="A404" s="31">
        <f>COUNTIF('BOM Atual ZPCS12'!F:F,B404)+(1-(SUMIF(Invoice!$A:$A,$B404,Invoice!$B:$B)/100000000000))</f>
        <v>1</v>
      </c>
      <c r="B404" s="52" t="s">
        <v>2758</v>
      </c>
      <c r="C404" s="44" t="s">
        <v>2759</v>
      </c>
      <c r="D404" s="44" t="s">
        <v>147</v>
      </c>
      <c r="E404" s="44" t="s">
        <v>51</v>
      </c>
      <c r="G404" s="44">
        <v>608</v>
      </c>
      <c r="H404" s="44" t="s">
        <v>2537</v>
      </c>
    </row>
    <row r="405" spans="1:8">
      <c r="A405" s="31">
        <f>COUNTIF('BOM Atual ZPCS12'!F:F,B405)+(1-(SUMIF(Invoice!$A:$A,$B405,Invoice!$B:$B)/100000000000))</f>
        <v>2</v>
      </c>
      <c r="B405" s="52" t="s">
        <v>545</v>
      </c>
      <c r="C405" s="44" t="s">
        <v>2760</v>
      </c>
      <c r="D405" s="44" t="s">
        <v>147</v>
      </c>
      <c r="E405" s="44" t="s">
        <v>51</v>
      </c>
      <c r="G405" s="44">
        <v>609</v>
      </c>
      <c r="H405" s="44" t="s">
        <v>2537</v>
      </c>
    </row>
    <row r="406" spans="1:8">
      <c r="A406" s="31">
        <f>COUNTIF('BOM Atual ZPCS12'!F:F,B406)+(1-(SUMIF(Invoice!$A:$A,$B406,Invoice!$B:$B)/100000000000))</f>
        <v>2</v>
      </c>
      <c r="B406" s="52" t="s">
        <v>547</v>
      </c>
      <c r="C406" s="44" t="s">
        <v>2761</v>
      </c>
      <c r="D406" s="44" t="s">
        <v>147</v>
      </c>
      <c r="E406" s="44" t="s">
        <v>51</v>
      </c>
      <c r="G406" s="44">
        <v>609</v>
      </c>
      <c r="H406" s="44" t="s">
        <v>2537</v>
      </c>
    </row>
    <row r="407" spans="1:8">
      <c r="A407" s="31">
        <f>COUNTIF('BOM Atual ZPCS12'!F:F,B407)+(1-(SUMIF(Invoice!$A:$A,$B407,Invoice!$B:$B)/100000000000))</f>
        <v>1</v>
      </c>
      <c r="B407" s="52" t="s">
        <v>2762</v>
      </c>
      <c r="C407" s="44" t="s">
        <v>2763</v>
      </c>
      <c r="D407" s="44" t="s">
        <v>147</v>
      </c>
      <c r="E407" s="44" t="s">
        <v>51</v>
      </c>
      <c r="G407" s="44">
        <v>609</v>
      </c>
      <c r="H407" s="44" t="s">
        <v>2537</v>
      </c>
    </row>
    <row r="408" spans="1:8">
      <c r="A408" s="31">
        <f>COUNTIF('BOM Atual ZPCS12'!F:F,B408)+(1-(SUMIF(Invoice!$A:$A,$B408,Invoice!$B:$B)/100000000000))</f>
        <v>1.99999971</v>
      </c>
      <c r="B408" s="52" t="s">
        <v>549</v>
      </c>
      <c r="C408" s="44" t="s">
        <v>2764</v>
      </c>
      <c r="D408" s="44" t="s">
        <v>147</v>
      </c>
      <c r="E408" s="44" t="s">
        <v>51</v>
      </c>
      <c r="G408" s="44">
        <v>609</v>
      </c>
      <c r="H408" s="44" t="s">
        <v>2537</v>
      </c>
    </row>
    <row r="409" spans="1:8">
      <c r="A409" s="31">
        <f>COUNTIF('BOM Atual ZPCS12'!F:F,B409)+(1-(SUMIF(Invoice!$A:$A,$B409,Invoice!$B:$B)/100000000000))</f>
        <v>1</v>
      </c>
      <c r="B409" s="52" t="s">
        <v>2765</v>
      </c>
      <c r="C409" s="44" t="s">
        <v>2766</v>
      </c>
      <c r="D409" s="44" t="s">
        <v>147</v>
      </c>
      <c r="E409" s="44" t="s">
        <v>51</v>
      </c>
      <c r="G409" s="44">
        <v>611</v>
      </c>
      <c r="H409" s="44" t="s">
        <v>2537</v>
      </c>
    </row>
    <row r="410" spans="1:8">
      <c r="A410" s="31">
        <f>COUNTIF('BOM Atual ZPCS12'!F:F,B410)+(1-(SUMIF(Invoice!$A:$A,$B410,Invoice!$B:$B)/100000000000))</f>
        <v>1</v>
      </c>
      <c r="B410" s="52" t="s">
        <v>2767</v>
      </c>
      <c r="C410" s="44" t="s">
        <v>2768</v>
      </c>
      <c r="D410" s="44" t="s">
        <v>147</v>
      </c>
      <c r="E410" s="44" t="s">
        <v>51</v>
      </c>
      <c r="G410" s="44">
        <v>611</v>
      </c>
      <c r="H410" s="44" t="s">
        <v>2537</v>
      </c>
    </row>
    <row r="411" spans="1:8">
      <c r="A411" s="31">
        <f>COUNTIF('BOM Atual ZPCS12'!F:F,B411)+(1-(SUMIF(Invoice!$A:$A,$B411,Invoice!$B:$B)/100000000000))</f>
        <v>1</v>
      </c>
      <c r="B411" s="52" t="s">
        <v>2769</v>
      </c>
      <c r="C411" s="44" t="s">
        <v>2770</v>
      </c>
      <c r="D411" s="44" t="s">
        <v>147</v>
      </c>
      <c r="E411" s="44" t="s">
        <v>51</v>
      </c>
      <c r="G411" s="44">
        <v>611</v>
      </c>
      <c r="H411" s="44" t="s">
        <v>2537</v>
      </c>
    </row>
    <row r="412" spans="1:8">
      <c r="A412" s="31">
        <f>COUNTIF('BOM Atual ZPCS12'!F:F,B412)+(1-(SUMIF(Invoice!$A:$A,$B412,Invoice!$B:$B)/100000000000))</f>
        <v>2</v>
      </c>
      <c r="B412" s="52" t="s">
        <v>551</v>
      </c>
      <c r="C412" s="44" t="s">
        <v>552</v>
      </c>
      <c r="D412" s="44" t="s">
        <v>147</v>
      </c>
      <c r="E412" s="44" t="s">
        <v>51</v>
      </c>
      <c r="G412" s="44">
        <v>612</v>
      </c>
      <c r="H412" s="44" t="s">
        <v>2537</v>
      </c>
    </row>
    <row r="413" spans="1:8">
      <c r="A413" s="31">
        <f>COUNTIF('BOM Atual ZPCS12'!F:F,B413)+(1-(SUMIF(Invoice!$A:$A,$B413,Invoice!$B:$B)/100000000000))</f>
        <v>1</v>
      </c>
      <c r="B413" s="52" t="s">
        <v>2771</v>
      </c>
      <c r="C413" s="44" t="s">
        <v>2772</v>
      </c>
      <c r="D413" s="44" t="s">
        <v>147</v>
      </c>
      <c r="E413" s="44" t="s">
        <v>51</v>
      </c>
      <c r="G413" s="44">
        <v>612</v>
      </c>
      <c r="H413" s="44" t="s">
        <v>2537</v>
      </c>
    </row>
    <row r="414" spans="1:8">
      <c r="A414" s="31">
        <f>COUNTIF('BOM Atual ZPCS12'!F:F,B414)+(1-(SUMIF(Invoice!$A:$A,$B414,Invoice!$B:$B)/100000000000))</f>
        <v>2</v>
      </c>
      <c r="B414" s="52" t="s">
        <v>553</v>
      </c>
      <c r="C414" s="44" t="s">
        <v>2773</v>
      </c>
      <c r="D414" s="44" t="s">
        <v>147</v>
      </c>
      <c r="E414" s="44" t="s">
        <v>51</v>
      </c>
      <c r="G414" s="44">
        <v>612</v>
      </c>
      <c r="H414" s="44" t="s">
        <v>2537</v>
      </c>
    </row>
    <row r="415" spans="1:8">
      <c r="A415" s="31">
        <f>COUNTIF('BOM Atual ZPCS12'!F:F,B415)+(1-(SUMIF(Invoice!$A:$A,$B415,Invoice!$B:$B)/100000000000))</f>
        <v>2</v>
      </c>
      <c r="B415" s="52" t="s">
        <v>555</v>
      </c>
      <c r="C415" s="44" t="s">
        <v>2774</v>
      </c>
      <c r="D415" s="44" t="s">
        <v>147</v>
      </c>
      <c r="E415" s="44" t="s">
        <v>51</v>
      </c>
      <c r="G415" s="44">
        <v>612</v>
      </c>
      <c r="H415" s="44" t="s">
        <v>2537</v>
      </c>
    </row>
    <row r="416" spans="1:8">
      <c r="A416" s="31">
        <f>COUNTIF('BOM Atual ZPCS12'!F:F,B416)+(1-(SUMIF(Invoice!$A:$A,$B416,Invoice!$B:$B)/100000000000))</f>
        <v>1.9999999499999999</v>
      </c>
      <c r="B416" s="52" t="s">
        <v>557</v>
      </c>
      <c r="C416" s="44" t="s">
        <v>2775</v>
      </c>
      <c r="D416" s="44" t="s">
        <v>147</v>
      </c>
      <c r="E416" s="44" t="s">
        <v>51</v>
      </c>
      <c r="G416" s="44">
        <v>612</v>
      </c>
      <c r="H416" s="44" t="s">
        <v>2537</v>
      </c>
    </row>
    <row r="417" spans="1:8">
      <c r="A417" s="31">
        <f>COUNTIF('BOM Atual ZPCS12'!F:F,B417)+(1-(SUMIF(Invoice!$A:$A,$B417,Invoice!$B:$B)/100000000000))</f>
        <v>1.9999999800000001</v>
      </c>
      <c r="B417" s="52" t="s">
        <v>559</v>
      </c>
      <c r="C417" s="44" t="s">
        <v>2776</v>
      </c>
      <c r="D417" s="44" t="s">
        <v>147</v>
      </c>
      <c r="E417" s="44" t="s">
        <v>51</v>
      </c>
      <c r="G417" s="44">
        <v>613</v>
      </c>
      <c r="H417" s="44" t="s">
        <v>2537</v>
      </c>
    </row>
    <row r="418" spans="1:8">
      <c r="A418" s="31">
        <f>COUNTIF('BOM Atual ZPCS12'!F:F,B418)+(1-(SUMIF(Invoice!$A:$A,$B418,Invoice!$B:$B)/100000000000))</f>
        <v>2</v>
      </c>
      <c r="B418" s="52" t="s">
        <v>561</v>
      </c>
      <c r="C418" s="44" t="s">
        <v>2777</v>
      </c>
      <c r="D418" s="44" t="s">
        <v>147</v>
      </c>
      <c r="E418" s="44" t="s">
        <v>51</v>
      </c>
      <c r="G418" s="44">
        <v>613</v>
      </c>
      <c r="H418" s="44" t="s">
        <v>2537</v>
      </c>
    </row>
    <row r="419" spans="1:8">
      <c r="A419" s="31">
        <f>COUNTIF('BOM Atual ZPCS12'!F:F,B419)+(1-(SUMIF(Invoice!$A:$A,$B419,Invoice!$B:$B)/100000000000))</f>
        <v>2</v>
      </c>
      <c r="B419" s="52" t="s">
        <v>563</v>
      </c>
      <c r="C419" s="44" t="s">
        <v>2778</v>
      </c>
      <c r="D419" s="44" t="s">
        <v>147</v>
      </c>
      <c r="E419" s="44" t="s">
        <v>51</v>
      </c>
      <c r="G419" s="44">
        <v>613</v>
      </c>
      <c r="H419" s="44" t="s">
        <v>2537</v>
      </c>
    </row>
    <row r="420" spans="1:8">
      <c r="A420" s="31">
        <f>COUNTIF('BOM Atual ZPCS12'!F:F,B420)+(1-(SUMIF(Invoice!$A:$A,$B420,Invoice!$B:$B)/100000000000))</f>
        <v>2</v>
      </c>
      <c r="B420" s="52" t="s">
        <v>565</v>
      </c>
      <c r="C420" s="44" t="s">
        <v>2779</v>
      </c>
      <c r="D420" s="44" t="s">
        <v>147</v>
      </c>
      <c r="E420" s="44" t="s">
        <v>51</v>
      </c>
      <c r="G420" s="44">
        <v>613</v>
      </c>
      <c r="H420" s="44" t="s">
        <v>2537</v>
      </c>
    </row>
    <row r="421" spans="1:8">
      <c r="A421" s="31">
        <f>COUNTIF('BOM Atual ZPCS12'!F:F,B421)+(1-(SUMIF(Invoice!$A:$A,$B421,Invoice!$B:$B)/100000000000))</f>
        <v>2</v>
      </c>
      <c r="B421" s="52" t="s">
        <v>567</v>
      </c>
      <c r="C421" s="44" t="s">
        <v>2780</v>
      </c>
      <c r="D421" s="44" t="s">
        <v>147</v>
      </c>
      <c r="E421" s="44" t="s">
        <v>51</v>
      </c>
      <c r="G421" s="44">
        <v>614</v>
      </c>
      <c r="H421" s="44" t="s">
        <v>2537</v>
      </c>
    </row>
    <row r="422" spans="1:8">
      <c r="A422" s="31">
        <f>COUNTIF('BOM Atual ZPCS12'!F:F,B422)+(1-(SUMIF(Invoice!$A:$A,$B422,Invoice!$B:$B)/100000000000))</f>
        <v>2</v>
      </c>
      <c r="B422" s="52" t="s">
        <v>569</v>
      </c>
      <c r="C422" s="44" t="s">
        <v>570</v>
      </c>
      <c r="D422" s="44" t="s">
        <v>147</v>
      </c>
      <c r="E422" s="44" t="s">
        <v>51</v>
      </c>
      <c r="G422" s="44">
        <v>614</v>
      </c>
      <c r="H422" s="44" t="s">
        <v>2537</v>
      </c>
    </row>
    <row r="423" spans="1:8">
      <c r="A423" s="31">
        <f>COUNTIF('BOM Atual ZPCS12'!F:F,B423)+(1-(SUMIF(Invoice!$A:$A,$B423,Invoice!$B:$B)/100000000000))</f>
        <v>1</v>
      </c>
      <c r="B423" s="52" t="s">
        <v>2781</v>
      </c>
      <c r="C423" s="44" t="s">
        <v>2782</v>
      </c>
      <c r="D423" s="44" t="s">
        <v>147</v>
      </c>
      <c r="E423" s="44" t="s">
        <v>51</v>
      </c>
      <c r="G423" s="44">
        <v>614</v>
      </c>
      <c r="H423" s="44" t="s">
        <v>2537</v>
      </c>
    </row>
    <row r="424" spans="1:8">
      <c r="A424" s="31">
        <f>COUNTIF('BOM Atual ZPCS12'!F:F,B424)+(1-(SUMIF(Invoice!$A:$A,$B424,Invoice!$B:$B)/100000000000))</f>
        <v>2</v>
      </c>
      <c r="B424" s="52" t="s">
        <v>571</v>
      </c>
      <c r="C424" s="44" t="s">
        <v>2783</v>
      </c>
      <c r="D424" s="44" t="s">
        <v>147</v>
      </c>
      <c r="E424" s="44" t="s">
        <v>51</v>
      </c>
      <c r="G424" s="44">
        <v>614</v>
      </c>
      <c r="H424" s="44" t="s">
        <v>2537</v>
      </c>
    </row>
    <row r="425" spans="1:8">
      <c r="A425" s="31">
        <f>COUNTIF('BOM Atual ZPCS12'!F:F,B425)+(1-(SUMIF(Invoice!$A:$A,$B425,Invoice!$B:$B)/100000000000))</f>
        <v>1</v>
      </c>
      <c r="B425" s="52" t="s">
        <v>2784</v>
      </c>
      <c r="C425" s="44" t="s">
        <v>2785</v>
      </c>
      <c r="D425" s="44" t="s">
        <v>147</v>
      </c>
      <c r="E425" s="44" t="s">
        <v>51</v>
      </c>
      <c r="G425" s="44">
        <v>614</v>
      </c>
      <c r="H425" s="44" t="s">
        <v>2537</v>
      </c>
    </row>
    <row r="426" spans="1:8">
      <c r="A426" s="31">
        <f>COUNTIF('BOM Atual ZPCS12'!F:F,B426)+(1-(SUMIF(Invoice!$A:$A,$B426,Invoice!$B:$B)/100000000000))</f>
        <v>1.9999999800000001</v>
      </c>
      <c r="B426" s="52" t="s">
        <v>573</v>
      </c>
      <c r="C426" s="44" t="s">
        <v>2786</v>
      </c>
      <c r="D426" s="44" t="s">
        <v>147</v>
      </c>
      <c r="E426" s="44" t="s">
        <v>51</v>
      </c>
      <c r="G426" s="44">
        <v>614</v>
      </c>
      <c r="H426" s="44" t="s">
        <v>2537</v>
      </c>
    </row>
    <row r="427" spans="1:8">
      <c r="A427" s="31">
        <f>COUNTIF('BOM Atual ZPCS12'!F:F,B427)+(1-(SUMIF(Invoice!$A:$A,$B427,Invoice!$B:$B)/100000000000))</f>
        <v>1</v>
      </c>
      <c r="B427" s="52" t="s">
        <v>2787</v>
      </c>
      <c r="C427" s="44" t="s">
        <v>2788</v>
      </c>
      <c r="D427" s="44" t="s">
        <v>147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2789</v>
      </c>
      <c r="C428" s="44" t="s">
        <v>2790</v>
      </c>
      <c r="D428" s="44" t="s">
        <v>147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2791</v>
      </c>
      <c r="C429" s="44" t="s">
        <v>2792</v>
      </c>
      <c r="D429" s="44" t="s">
        <v>147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</v>
      </c>
      <c r="B430" s="52" t="s">
        <v>2793</v>
      </c>
      <c r="C430" s="44" t="s">
        <v>2794</v>
      </c>
      <c r="D430" s="44" t="s">
        <v>147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1</v>
      </c>
      <c r="B431" s="52" t="s">
        <v>2795</v>
      </c>
      <c r="C431" s="44" t="s">
        <v>2796</v>
      </c>
      <c r="D431" s="44" t="s">
        <v>147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1</v>
      </c>
      <c r="B432" s="52" t="s">
        <v>2797</v>
      </c>
      <c r="C432" s="44" t="s">
        <v>2798</v>
      </c>
      <c r="D432" s="44" t="s">
        <v>147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1.99999985</v>
      </c>
      <c r="B433" s="52" t="s">
        <v>624</v>
      </c>
      <c r="C433" s="44" t="s">
        <v>2799</v>
      </c>
      <c r="D433" s="44" t="s">
        <v>147</v>
      </c>
      <c r="E433" s="44" t="s">
        <v>51</v>
      </c>
      <c r="G433" s="44">
        <v>618</v>
      </c>
      <c r="H433" s="44" t="s">
        <v>2537</v>
      </c>
    </row>
    <row r="434" spans="1:8">
      <c r="A434" s="31">
        <f>COUNTIF('BOM Atual ZPCS12'!F:F,B434)+(1-(SUMIF(Invoice!$A:$A,$B434,Invoice!$B:$B)/100000000000))</f>
        <v>1</v>
      </c>
      <c r="B434" s="52" t="s">
        <v>2800</v>
      </c>
      <c r="C434" s="44" t="s">
        <v>2801</v>
      </c>
      <c r="D434" s="44" t="s">
        <v>147</v>
      </c>
      <c r="E434" s="44" t="s">
        <v>51</v>
      </c>
      <c r="G434" s="44">
        <v>618</v>
      </c>
      <c r="H434" s="44" t="s">
        <v>2537</v>
      </c>
    </row>
    <row r="435" spans="1:8">
      <c r="A435" s="31">
        <f>COUNTIF('BOM Atual ZPCS12'!F:F,B435)+(1-(SUMIF(Invoice!$A:$A,$B435,Invoice!$B:$B)/100000000000))</f>
        <v>2</v>
      </c>
      <c r="B435" s="52" t="s">
        <v>626</v>
      </c>
      <c r="C435" s="44" t="s">
        <v>627</v>
      </c>
      <c r="D435" s="44" t="s">
        <v>147</v>
      </c>
      <c r="E435" s="44" t="s">
        <v>51</v>
      </c>
      <c r="G435" s="44">
        <v>618</v>
      </c>
      <c r="H435" s="44" t="s">
        <v>2537</v>
      </c>
    </row>
    <row r="436" spans="1:8">
      <c r="A436" s="31">
        <f>COUNTIF('BOM Atual ZPCS12'!F:F,B436)+(1-(SUMIF(Invoice!$A:$A,$B436,Invoice!$B:$B)/100000000000))</f>
        <v>1.9999999499999999</v>
      </c>
      <c r="B436" s="52" t="s">
        <v>628</v>
      </c>
      <c r="C436" s="44" t="s">
        <v>2802</v>
      </c>
      <c r="D436" s="44" t="s">
        <v>147</v>
      </c>
      <c r="E436" s="44" t="s">
        <v>51</v>
      </c>
      <c r="G436" s="44">
        <v>619</v>
      </c>
      <c r="H436" s="44" t="s">
        <v>2537</v>
      </c>
    </row>
    <row r="437" spans="1:8">
      <c r="A437" s="31">
        <f>COUNTIF('BOM Atual ZPCS12'!F:F,B437)+(1-(SUMIF(Invoice!$A:$A,$B437,Invoice!$B:$B)/100000000000))</f>
        <v>1</v>
      </c>
      <c r="B437" s="52" t="s">
        <v>2803</v>
      </c>
      <c r="C437" s="44" t="s">
        <v>2804</v>
      </c>
      <c r="D437" s="44" t="s">
        <v>147</v>
      </c>
      <c r="E437" s="44" t="s">
        <v>51</v>
      </c>
      <c r="G437" s="44">
        <v>619</v>
      </c>
      <c r="H437" s="44" t="s">
        <v>2537</v>
      </c>
    </row>
    <row r="438" spans="1:8">
      <c r="A438" s="31">
        <f>COUNTIF('BOM Atual ZPCS12'!F:F,B438)+(1-(SUMIF(Invoice!$A:$A,$B438,Invoice!$B:$B)/100000000000))</f>
        <v>2</v>
      </c>
      <c r="B438" s="52" t="s">
        <v>630</v>
      </c>
      <c r="C438" s="44" t="s">
        <v>631</v>
      </c>
      <c r="D438" s="44" t="s">
        <v>147</v>
      </c>
      <c r="E438" s="44" t="s">
        <v>51</v>
      </c>
      <c r="G438" s="44">
        <v>619</v>
      </c>
      <c r="H438" s="44" t="s">
        <v>2537</v>
      </c>
    </row>
    <row r="439" spans="1:8">
      <c r="A439" s="31">
        <f>COUNTIF('BOM Atual ZPCS12'!F:F,B439)+(1-(SUMIF(Invoice!$A:$A,$B439,Invoice!$B:$B)/100000000000))</f>
        <v>1</v>
      </c>
      <c r="B439" s="52" t="s">
        <v>2805</v>
      </c>
      <c r="C439" s="44" t="s">
        <v>2806</v>
      </c>
      <c r="D439" s="44" t="s">
        <v>147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2807</v>
      </c>
      <c r="C440" s="44" t="s">
        <v>2808</v>
      </c>
      <c r="D440" s="44" t="s">
        <v>147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1.9999999000000002</v>
      </c>
      <c r="B441" s="52" t="s">
        <v>632</v>
      </c>
      <c r="C441" s="44" t="s">
        <v>2809</v>
      </c>
      <c r="D441" s="44" t="s">
        <v>147</v>
      </c>
      <c r="E441" s="44" t="s">
        <v>51</v>
      </c>
      <c r="G441" s="44">
        <v>621</v>
      </c>
      <c r="H441" s="44" t="s">
        <v>2537</v>
      </c>
    </row>
    <row r="442" spans="1:8">
      <c r="A442" s="31">
        <f>COUNTIF('BOM Atual ZPCS12'!F:F,B442)+(1-(SUMIF(Invoice!$A:$A,$B442,Invoice!$B:$B)/100000000000))</f>
        <v>1</v>
      </c>
      <c r="B442" s="52" t="s">
        <v>2810</v>
      </c>
      <c r="C442" s="44" t="s">
        <v>2811</v>
      </c>
      <c r="D442" s="44" t="s">
        <v>147</v>
      </c>
      <c r="E442" s="44" t="s">
        <v>51</v>
      </c>
      <c r="G442" s="44">
        <v>621</v>
      </c>
      <c r="H442" s="44" t="s">
        <v>2537</v>
      </c>
    </row>
    <row r="443" spans="1:8">
      <c r="A443" s="31">
        <f>COUNTIF('BOM Atual ZPCS12'!F:F,B443)+(1-(SUMIF(Invoice!$A:$A,$B443,Invoice!$B:$B)/100000000000))</f>
        <v>2</v>
      </c>
      <c r="B443" s="52" t="s">
        <v>634</v>
      </c>
      <c r="C443" s="44" t="s">
        <v>635</v>
      </c>
      <c r="D443" s="44" t="s">
        <v>147</v>
      </c>
      <c r="E443" s="44" t="s">
        <v>51</v>
      </c>
      <c r="G443" s="44">
        <v>621</v>
      </c>
      <c r="H443" s="44" t="s">
        <v>2537</v>
      </c>
    </row>
    <row r="444" spans="1:8">
      <c r="A444" s="31">
        <f>COUNTIF('BOM Atual ZPCS12'!F:F,B444)+(1-(SUMIF(Invoice!$A:$A,$B444,Invoice!$B:$B)/100000000000))</f>
        <v>1.9999999000000002</v>
      </c>
      <c r="B444" s="52" t="s">
        <v>636</v>
      </c>
      <c r="C444" s="44" t="s">
        <v>2812</v>
      </c>
      <c r="D444" s="44" t="s">
        <v>147</v>
      </c>
      <c r="E444" s="44" t="s">
        <v>51</v>
      </c>
      <c r="G444" s="44">
        <v>622</v>
      </c>
      <c r="H444" s="44" t="s">
        <v>2537</v>
      </c>
    </row>
    <row r="445" spans="1:8">
      <c r="A445" s="31">
        <f>COUNTIF('BOM Atual ZPCS12'!F:F,B445)+(1-(SUMIF(Invoice!$A:$A,$B445,Invoice!$B:$B)/100000000000))</f>
        <v>1</v>
      </c>
      <c r="B445" s="52" t="s">
        <v>2813</v>
      </c>
      <c r="C445" s="44" t="s">
        <v>2814</v>
      </c>
      <c r="D445" s="44" t="s">
        <v>147</v>
      </c>
      <c r="E445" s="44" t="s">
        <v>51</v>
      </c>
      <c r="G445" s="44">
        <v>622</v>
      </c>
      <c r="H445" s="44" t="s">
        <v>2537</v>
      </c>
    </row>
    <row r="446" spans="1:8">
      <c r="A446" s="31">
        <f>COUNTIF('BOM Atual ZPCS12'!F:F,B446)+(1-(SUMIF(Invoice!$A:$A,$B446,Invoice!$B:$B)/100000000000))</f>
        <v>2</v>
      </c>
      <c r="B446" s="52" t="s">
        <v>638</v>
      </c>
      <c r="C446" s="44" t="s">
        <v>639</v>
      </c>
      <c r="D446" s="44" t="s">
        <v>147</v>
      </c>
      <c r="E446" s="44" t="s">
        <v>51</v>
      </c>
      <c r="G446" s="44">
        <v>622</v>
      </c>
      <c r="H446" s="44" t="s">
        <v>2537</v>
      </c>
    </row>
    <row r="447" spans="1:8">
      <c r="A447" s="31">
        <f>COUNTIF('BOM Atual ZPCS12'!F:F,B447)+(1-(SUMIF(Invoice!$A:$A,$B447,Invoice!$B:$B)/100000000000))</f>
        <v>1.9999999499999999</v>
      </c>
      <c r="B447" s="52" t="s">
        <v>640</v>
      </c>
      <c r="C447" s="44" t="s">
        <v>641</v>
      </c>
      <c r="D447" s="44" t="s">
        <v>147</v>
      </c>
      <c r="E447" s="44" t="s">
        <v>51</v>
      </c>
      <c r="G447" s="44">
        <v>623</v>
      </c>
      <c r="H447" s="44" t="s">
        <v>2537</v>
      </c>
    </row>
    <row r="448" spans="1:8">
      <c r="A448" s="31">
        <f>COUNTIF('BOM Atual ZPCS12'!F:F,B448)+(1-(SUMIF(Invoice!$A:$A,$B448,Invoice!$B:$B)/100000000000))</f>
        <v>1</v>
      </c>
      <c r="B448" s="52" t="s">
        <v>2815</v>
      </c>
      <c r="C448" s="44" t="s">
        <v>2816</v>
      </c>
      <c r="D448" s="44" t="s">
        <v>147</v>
      </c>
      <c r="E448" s="44" t="s">
        <v>51</v>
      </c>
      <c r="G448" s="44">
        <v>623</v>
      </c>
      <c r="H448" s="44" t="s">
        <v>2537</v>
      </c>
    </row>
    <row r="449" spans="1:8">
      <c r="A449" s="31">
        <f>COUNTIF('BOM Atual ZPCS12'!F:F,B449)+(1-(SUMIF(Invoice!$A:$A,$B449,Invoice!$B:$B)/100000000000))</f>
        <v>2</v>
      </c>
      <c r="B449" s="52" t="s">
        <v>642</v>
      </c>
      <c r="C449" s="44" t="s">
        <v>643</v>
      </c>
      <c r="D449" s="44" t="s">
        <v>147</v>
      </c>
      <c r="E449" s="44" t="s">
        <v>51</v>
      </c>
      <c r="G449" s="44">
        <v>623</v>
      </c>
      <c r="H449" s="44" t="s">
        <v>2537</v>
      </c>
    </row>
    <row r="450" spans="1:8">
      <c r="A450" s="31">
        <f>COUNTIF('BOM Atual ZPCS12'!F:F,B450)+(1-(SUMIF(Invoice!$A:$A,$B450,Invoice!$B:$B)/100000000000))</f>
        <v>1.9999999499999999</v>
      </c>
      <c r="B450" s="52" t="s">
        <v>644</v>
      </c>
      <c r="C450" s="44" t="s">
        <v>2817</v>
      </c>
      <c r="D450" s="44" t="s">
        <v>147</v>
      </c>
      <c r="E450" s="44" t="s">
        <v>51</v>
      </c>
      <c r="G450" s="44">
        <v>624</v>
      </c>
      <c r="H450" s="44" t="s">
        <v>2537</v>
      </c>
    </row>
    <row r="451" spans="1:8">
      <c r="A451" s="31">
        <f>COUNTIF('BOM Atual ZPCS12'!F:F,B451)+(1-(SUMIF(Invoice!$A:$A,$B451,Invoice!$B:$B)/100000000000))</f>
        <v>1</v>
      </c>
      <c r="B451" s="52" t="s">
        <v>2818</v>
      </c>
      <c r="C451" s="44" t="s">
        <v>2819</v>
      </c>
      <c r="D451" s="44" t="s">
        <v>147</v>
      </c>
      <c r="E451" s="44" t="s">
        <v>51</v>
      </c>
      <c r="G451" s="44">
        <v>624</v>
      </c>
      <c r="H451" s="44" t="s">
        <v>2537</v>
      </c>
    </row>
    <row r="452" spans="1:8">
      <c r="A452" s="31">
        <f>COUNTIF('BOM Atual ZPCS12'!F:F,B452)+(1-(SUMIF(Invoice!$A:$A,$B452,Invoice!$B:$B)/100000000000))</f>
        <v>2</v>
      </c>
      <c r="B452" s="52" t="s">
        <v>646</v>
      </c>
      <c r="C452" s="44" t="s">
        <v>647</v>
      </c>
      <c r="D452" s="44" t="s">
        <v>147</v>
      </c>
      <c r="E452" s="44" t="s">
        <v>51</v>
      </c>
      <c r="G452" s="44">
        <v>624</v>
      </c>
      <c r="H452" s="44" t="s">
        <v>2537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648</v>
      </c>
      <c r="C453" s="44" t="s">
        <v>649</v>
      </c>
      <c r="D453" s="44" t="s">
        <v>147</v>
      </c>
      <c r="E453" s="44" t="s">
        <v>51</v>
      </c>
      <c r="G453" s="44">
        <v>625</v>
      </c>
      <c r="H453" s="44" t="s">
        <v>2537</v>
      </c>
    </row>
    <row r="454" spans="1:8">
      <c r="A454" s="31">
        <f>COUNTIF('BOM Atual ZPCS12'!F:F,B454)+(1-(SUMIF(Invoice!$A:$A,$B454,Invoice!$B:$B)/100000000000))</f>
        <v>1</v>
      </c>
      <c r="B454" s="52" t="s">
        <v>2820</v>
      </c>
      <c r="C454" s="44" t="s">
        <v>2821</v>
      </c>
      <c r="D454" s="44" t="s">
        <v>147</v>
      </c>
      <c r="E454" s="44" t="s">
        <v>51</v>
      </c>
      <c r="G454" s="44">
        <v>625</v>
      </c>
      <c r="H454" s="44" t="s">
        <v>2537</v>
      </c>
    </row>
    <row r="455" spans="1:8">
      <c r="A455" s="31">
        <f>COUNTIF('BOM Atual ZPCS12'!F:F,B455)+(1-(SUMIF(Invoice!$A:$A,$B455,Invoice!$B:$B)/100000000000))</f>
        <v>2</v>
      </c>
      <c r="B455" s="52" t="s">
        <v>650</v>
      </c>
      <c r="C455" s="44" t="s">
        <v>651</v>
      </c>
      <c r="D455" s="44" t="s">
        <v>147</v>
      </c>
      <c r="E455" s="44" t="s">
        <v>51</v>
      </c>
      <c r="G455" s="44">
        <v>625</v>
      </c>
      <c r="H455" s="44" t="s">
        <v>2537</v>
      </c>
    </row>
    <row r="456" spans="1:8">
      <c r="A456" s="31">
        <f>COUNTIF('BOM Atual ZPCS12'!F:F,B456)+(1-(SUMIF(Invoice!$A:$A,$B456,Invoice!$B:$B)/100000000000))</f>
        <v>1.9999999499999999</v>
      </c>
      <c r="B456" s="52" t="s">
        <v>652</v>
      </c>
      <c r="C456" s="44" t="s">
        <v>653</v>
      </c>
      <c r="D456" s="44" t="s">
        <v>147</v>
      </c>
      <c r="E456" s="44" t="s">
        <v>51</v>
      </c>
      <c r="G456" s="44">
        <v>626</v>
      </c>
      <c r="H456" s="44" t="s">
        <v>2537</v>
      </c>
    </row>
    <row r="457" spans="1:8">
      <c r="A457" s="31">
        <f>COUNTIF('BOM Atual ZPCS12'!F:F,B457)+(1-(SUMIF(Invoice!$A:$A,$B457,Invoice!$B:$B)/100000000000))</f>
        <v>1</v>
      </c>
      <c r="B457" s="52" t="s">
        <v>2822</v>
      </c>
      <c r="C457" s="44" t="s">
        <v>2823</v>
      </c>
      <c r="D457" s="44" t="s">
        <v>147</v>
      </c>
      <c r="E457" s="44" t="s">
        <v>51</v>
      </c>
      <c r="G457" s="44">
        <v>626</v>
      </c>
      <c r="H457" s="44" t="s">
        <v>2537</v>
      </c>
    </row>
    <row r="458" spans="1:8">
      <c r="A458" s="31">
        <f>COUNTIF('BOM Atual ZPCS12'!F:F,B458)+(1-(SUMIF(Invoice!$A:$A,$B458,Invoice!$B:$B)/100000000000))</f>
        <v>2</v>
      </c>
      <c r="B458" s="52" t="s">
        <v>654</v>
      </c>
      <c r="C458" s="44" t="s">
        <v>655</v>
      </c>
      <c r="D458" s="44" t="s">
        <v>147</v>
      </c>
      <c r="E458" s="44" t="s">
        <v>51</v>
      </c>
      <c r="G458" s="44">
        <v>626</v>
      </c>
      <c r="H458" s="44" t="s">
        <v>2537</v>
      </c>
    </row>
    <row r="459" spans="1:8">
      <c r="A459" s="31">
        <f>COUNTIF('BOM Atual ZPCS12'!F:F,B459)+(1-(SUMIF(Invoice!$A:$A,$B459,Invoice!$B:$B)/100000000000))</f>
        <v>1.9999999499999999</v>
      </c>
      <c r="B459" s="52" t="s">
        <v>658</v>
      </c>
      <c r="C459" s="44" t="s">
        <v>2824</v>
      </c>
      <c r="D459" s="44" t="s">
        <v>147</v>
      </c>
      <c r="E459" s="44" t="s">
        <v>51</v>
      </c>
      <c r="G459" s="44">
        <v>627</v>
      </c>
      <c r="H459" s="44" t="s">
        <v>2537</v>
      </c>
    </row>
    <row r="460" spans="1:8">
      <c r="A460" s="31">
        <f>COUNTIF('BOM Atual ZPCS12'!F:F,B460)+(1-(SUMIF(Invoice!$A:$A,$B460,Invoice!$B:$B)/100000000000))</f>
        <v>1</v>
      </c>
      <c r="B460" s="52" t="s">
        <v>2825</v>
      </c>
      <c r="C460" s="44" t="s">
        <v>2826</v>
      </c>
      <c r="D460" s="44" t="s">
        <v>147</v>
      </c>
      <c r="E460" s="44" t="s">
        <v>51</v>
      </c>
      <c r="G460" s="44">
        <v>627</v>
      </c>
      <c r="H460" s="44" t="s">
        <v>2537</v>
      </c>
    </row>
    <row r="461" spans="1:8">
      <c r="A461" s="31">
        <f>COUNTIF('BOM Atual ZPCS12'!F:F,B461)+(1-(SUMIF(Invoice!$A:$A,$B461,Invoice!$B:$B)/100000000000))</f>
        <v>2</v>
      </c>
      <c r="B461" s="52" t="s">
        <v>660</v>
      </c>
      <c r="C461" s="44" t="s">
        <v>661</v>
      </c>
      <c r="D461" s="44" t="s">
        <v>147</v>
      </c>
      <c r="E461" s="44" t="s">
        <v>51</v>
      </c>
      <c r="G461" s="44">
        <v>627</v>
      </c>
      <c r="H461" s="44" t="s">
        <v>2537</v>
      </c>
    </row>
    <row r="462" spans="1:8">
      <c r="A462" s="31">
        <f>COUNTIF('BOM Atual ZPCS12'!F:F,B462)+(1-(SUMIF(Invoice!$A:$A,$B462,Invoice!$B:$B)/100000000000))</f>
        <v>1</v>
      </c>
      <c r="B462" s="52" t="s">
        <v>2827</v>
      </c>
      <c r="C462" s="44" t="s">
        <v>2828</v>
      </c>
      <c r="D462" s="44" t="s">
        <v>147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2829</v>
      </c>
      <c r="C463" s="44" t="s">
        <v>2830</v>
      </c>
      <c r="D463" s="44" t="s">
        <v>147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2831</v>
      </c>
      <c r="C464" s="44" t="s">
        <v>2832</v>
      </c>
      <c r="D464" s="44" t="s">
        <v>147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2833</v>
      </c>
      <c r="C465" s="44" t="s">
        <v>2834</v>
      </c>
      <c r="D465" s="44" t="s">
        <v>147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2835</v>
      </c>
      <c r="C466" s="44" t="s">
        <v>2836</v>
      </c>
      <c r="D466" s="44" t="s">
        <v>147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2837</v>
      </c>
      <c r="C467" s="44" t="s">
        <v>2838</v>
      </c>
      <c r="D467" s="44" t="s">
        <v>147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2839</v>
      </c>
      <c r="C468" s="44" t="s">
        <v>2840</v>
      </c>
      <c r="D468" s="44" t="s">
        <v>147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2841</v>
      </c>
      <c r="C469" s="44" t="s">
        <v>2842</v>
      </c>
      <c r="D469" s="44" t="s">
        <v>147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2843</v>
      </c>
      <c r="C470" s="44" t="s">
        <v>2844</v>
      </c>
      <c r="D470" s="44" t="s">
        <v>147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2845</v>
      </c>
      <c r="C471" s="44" t="s">
        <v>2846</v>
      </c>
      <c r="D471" s="44" t="s">
        <v>147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2847</v>
      </c>
      <c r="C472" s="44" t="s">
        <v>2848</v>
      </c>
      <c r="D472" s="44" t="s">
        <v>147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2849</v>
      </c>
      <c r="C473" s="44" t="s">
        <v>2850</v>
      </c>
      <c r="D473" s="44" t="s">
        <v>147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2851</v>
      </c>
      <c r="C474" s="44" t="s">
        <v>2852</v>
      </c>
      <c r="D474" s="44" t="s">
        <v>147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2853</v>
      </c>
      <c r="C475" s="44" t="s">
        <v>2854</v>
      </c>
      <c r="D475" s="44" t="s">
        <v>147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2855</v>
      </c>
      <c r="C476" s="44" t="s">
        <v>2856</v>
      </c>
      <c r="D476" s="44" t="s">
        <v>147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2857</v>
      </c>
      <c r="C477" s="44" t="s">
        <v>2858</v>
      </c>
      <c r="D477" s="44" t="s">
        <v>147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664</v>
      </c>
      <c r="C478" s="44" t="s">
        <v>665</v>
      </c>
      <c r="D478" s="44" t="s">
        <v>147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666</v>
      </c>
      <c r="C479" s="44" t="s">
        <v>667</v>
      </c>
      <c r="D479" s="44" t="s">
        <v>147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668</v>
      </c>
      <c r="C480" s="44" t="s">
        <v>2859</v>
      </c>
      <c r="D480" s="44" t="s">
        <v>147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670</v>
      </c>
      <c r="C481" s="44" t="s">
        <v>2860</v>
      </c>
      <c r="D481" s="44" t="s">
        <v>147</v>
      </c>
      <c r="E481" s="44" t="s">
        <v>51</v>
      </c>
      <c r="G481" s="44">
        <v>635</v>
      </c>
      <c r="H481" s="44" t="s">
        <v>2537</v>
      </c>
    </row>
    <row r="482" spans="1:8">
      <c r="A482" s="31">
        <f>COUNTIF('BOM Atual ZPCS12'!F:F,B482)+(1-(SUMIF(Invoice!$A:$A,$B482,Invoice!$B:$B)/100000000000))</f>
        <v>1.999997</v>
      </c>
      <c r="B482" s="52" t="s">
        <v>672</v>
      </c>
      <c r="C482" s="44" t="s">
        <v>2861</v>
      </c>
      <c r="D482" s="44" t="s">
        <v>147</v>
      </c>
      <c r="E482" s="44" t="s">
        <v>51</v>
      </c>
      <c r="G482" s="44">
        <v>635</v>
      </c>
      <c r="H482" s="44" t="s">
        <v>2537</v>
      </c>
    </row>
    <row r="483" spans="1:8">
      <c r="A483" s="31">
        <f>COUNTIF('BOM Atual ZPCS12'!F:F,B483)+(1-(SUMIF(Invoice!$A:$A,$B483,Invoice!$B:$B)/100000000000))</f>
        <v>1</v>
      </c>
      <c r="B483" s="52" t="s">
        <v>2862</v>
      </c>
      <c r="C483" s="44" t="s">
        <v>2860</v>
      </c>
      <c r="D483" s="44" t="s">
        <v>147</v>
      </c>
      <c r="E483" s="44" t="s">
        <v>51</v>
      </c>
      <c r="G483" s="44">
        <v>635</v>
      </c>
      <c r="H483" s="44" t="s">
        <v>2537</v>
      </c>
    </row>
    <row r="484" spans="1:8">
      <c r="A484" s="31">
        <f>COUNTIF('BOM Atual ZPCS12'!F:F,B484)+(1-(SUMIF(Invoice!$A:$A,$B484,Invoice!$B:$B)/100000000000))</f>
        <v>2</v>
      </c>
      <c r="B484" s="52" t="s">
        <v>674</v>
      </c>
      <c r="C484" s="44" t="s">
        <v>675</v>
      </c>
      <c r="D484" s="44" t="s">
        <v>147</v>
      </c>
      <c r="E484" s="44" t="s">
        <v>51</v>
      </c>
      <c r="G484" s="44">
        <v>635</v>
      </c>
      <c r="H484" s="44" t="s">
        <v>2537</v>
      </c>
    </row>
    <row r="485" spans="1:8">
      <c r="A485" s="31">
        <f>COUNTIF('BOM Atual ZPCS12'!F:F,B485)+(1-(SUMIF(Invoice!$A:$A,$B485,Invoice!$B:$B)/100000000000))</f>
        <v>1.9999999000000002</v>
      </c>
      <c r="B485" s="52" t="s">
        <v>682</v>
      </c>
      <c r="C485" s="44" t="s">
        <v>2863</v>
      </c>
      <c r="D485" s="44" t="s">
        <v>147</v>
      </c>
      <c r="E485" s="44" t="s">
        <v>51</v>
      </c>
      <c r="G485" s="44">
        <v>636</v>
      </c>
      <c r="H485" s="44" t="s">
        <v>2537</v>
      </c>
    </row>
    <row r="486" spans="1:8">
      <c r="A486" s="31">
        <f>COUNTIF('BOM Atual ZPCS12'!F:F,B486)+(1-(SUMIF(Invoice!$A:$A,$B486,Invoice!$B:$B)/100000000000))</f>
        <v>2</v>
      </c>
      <c r="B486" s="52" t="s">
        <v>684</v>
      </c>
      <c r="C486" s="44" t="s">
        <v>2864</v>
      </c>
      <c r="D486" s="44" t="s">
        <v>147</v>
      </c>
      <c r="E486" s="44" t="s">
        <v>51</v>
      </c>
      <c r="G486" s="44">
        <v>636</v>
      </c>
      <c r="H486" s="44" t="s">
        <v>2537</v>
      </c>
    </row>
    <row r="487" spans="1:8">
      <c r="A487" s="31">
        <f>COUNTIF('BOM Atual ZPCS12'!F:F,B487)+(1-(SUMIF(Invoice!$A:$A,$B487,Invoice!$B:$B)/100000000000))</f>
        <v>1</v>
      </c>
      <c r="B487" s="52" t="s">
        <v>2865</v>
      </c>
      <c r="C487" s="44" t="s">
        <v>2866</v>
      </c>
      <c r="D487" s="44" t="s">
        <v>147</v>
      </c>
      <c r="E487" s="44" t="s">
        <v>51</v>
      </c>
      <c r="G487" s="44">
        <v>636</v>
      </c>
      <c r="H487" s="44" t="s">
        <v>2537</v>
      </c>
    </row>
    <row r="488" spans="1:8">
      <c r="A488" s="31">
        <f>COUNTIF('BOM Atual ZPCS12'!F:F,B488)+(1-(SUMIF(Invoice!$A:$A,$B488,Invoice!$B:$B)/100000000000))</f>
        <v>2</v>
      </c>
      <c r="B488" s="52" t="s">
        <v>686</v>
      </c>
      <c r="C488" s="44" t="s">
        <v>687</v>
      </c>
      <c r="D488" s="44" t="s">
        <v>147</v>
      </c>
      <c r="E488" s="44" t="s">
        <v>51</v>
      </c>
      <c r="G488" s="44">
        <v>636</v>
      </c>
      <c r="H488" s="44" t="s">
        <v>2537</v>
      </c>
    </row>
    <row r="489" spans="1:8">
      <c r="A489" s="31">
        <f>COUNTIF('BOM Atual ZPCS12'!F:F,B489)+(1-(SUMIF(Invoice!$A:$A,$B489,Invoice!$B:$B)/100000000000))</f>
        <v>1.9999993</v>
      </c>
      <c r="B489" s="52" t="s">
        <v>688</v>
      </c>
      <c r="C489" s="44" t="s">
        <v>2867</v>
      </c>
      <c r="D489" s="44" t="s">
        <v>147</v>
      </c>
      <c r="E489" s="44" t="s">
        <v>51</v>
      </c>
      <c r="G489" s="44">
        <v>637</v>
      </c>
      <c r="H489" s="44" t="s">
        <v>2537</v>
      </c>
    </row>
    <row r="490" spans="1:8">
      <c r="A490" s="31">
        <f>COUNTIF('BOM Atual ZPCS12'!F:F,B490)+(1-(SUMIF(Invoice!$A:$A,$B490,Invoice!$B:$B)/100000000000))</f>
        <v>2</v>
      </c>
      <c r="B490" s="52" t="s">
        <v>690</v>
      </c>
      <c r="C490" s="44" t="s">
        <v>2868</v>
      </c>
      <c r="D490" s="44" t="s">
        <v>147</v>
      </c>
      <c r="E490" s="44" t="s">
        <v>51</v>
      </c>
      <c r="G490" s="44">
        <v>637</v>
      </c>
      <c r="H490" s="44" t="s">
        <v>2537</v>
      </c>
    </row>
    <row r="491" spans="1:8">
      <c r="A491" s="31">
        <f>COUNTIF('BOM Atual ZPCS12'!F:F,B491)+(1-(SUMIF(Invoice!$A:$A,$B491,Invoice!$B:$B)/100000000000))</f>
        <v>1</v>
      </c>
      <c r="B491" s="52" t="s">
        <v>2869</v>
      </c>
      <c r="C491" s="44" t="s">
        <v>2867</v>
      </c>
      <c r="D491" s="44" t="s">
        <v>147</v>
      </c>
      <c r="E491" s="44" t="s">
        <v>51</v>
      </c>
      <c r="G491" s="44">
        <v>637</v>
      </c>
      <c r="H491" s="44" t="s">
        <v>2537</v>
      </c>
    </row>
    <row r="492" spans="1:8">
      <c r="A492" s="31">
        <f>COUNTIF('BOM Atual ZPCS12'!F:F,B492)+(1-(SUMIF(Invoice!$A:$A,$B492,Invoice!$B:$B)/100000000000))</f>
        <v>2</v>
      </c>
      <c r="B492" s="52" t="s">
        <v>692</v>
      </c>
      <c r="C492" s="44" t="s">
        <v>693</v>
      </c>
      <c r="D492" s="44" t="s">
        <v>147</v>
      </c>
      <c r="E492" s="44" t="s">
        <v>51</v>
      </c>
      <c r="G492" s="44">
        <v>637</v>
      </c>
      <c r="H492" s="44" t="s">
        <v>2537</v>
      </c>
    </row>
    <row r="493" spans="1:8">
      <c r="A493" s="31">
        <f>COUNTIF('BOM Atual ZPCS12'!F:F,B493)+(1-(SUMIF(Invoice!$A:$A,$B493,Invoice!$B:$B)/100000000000))</f>
        <v>2</v>
      </c>
      <c r="B493" s="52" t="s">
        <v>694</v>
      </c>
      <c r="C493" s="44" t="s">
        <v>2870</v>
      </c>
      <c r="D493" s="44" t="s">
        <v>147</v>
      </c>
      <c r="E493" s="44" t="s">
        <v>51</v>
      </c>
      <c r="G493" s="44">
        <v>638</v>
      </c>
      <c r="H493" s="44" t="s">
        <v>2537</v>
      </c>
    </row>
    <row r="494" spans="1:8">
      <c r="A494" s="31">
        <f>COUNTIF('BOM Atual ZPCS12'!F:F,B494)+(1-(SUMIF(Invoice!$A:$A,$B494,Invoice!$B:$B)/100000000000))</f>
        <v>1.9999994000000001</v>
      </c>
      <c r="B494" s="52" t="s">
        <v>696</v>
      </c>
      <c r="C494" s="44" t="s">
        <v>2871</v>
      </c>
      <c r="D494" s="44" t="s">
        <v>147</v>
      </c>
      <c r="E494" s="44" t="s">
        <v>51</v>
      </c>
      <c r="G494" s="44">
        <v>638</v>
      </c>
      <c r="H494" s="44" t="s">
        <v>2537</v>
      </c>
    </row>
    <row r="495" spans="1:8">
      <c r="A495" s="31">
        <f>COUNTIF('BOM Atual ZPCS12'!F:F,B495)+(1-(SUMIF(Invoice!$A:$A,$B495,Invoice!$B:$B)/100000000000))</f>
        <v>1</v>
      </c>
      <c r="B495" s="52" t="s">
        <v>2872</v>
      </c>
      <c r="C495" s="44" t="s">
        <v>2870</v>
      </c>
      <c r="D495" s="44" t="s">
        <v>147</v>
      </c>
      <c r="E495" s="44" t="s">
        <v>51</v>
      </c>
      <c r="G495" s="44">
        <v>638</v>
      </c>
      <c r="H495" s="44" t="s">
        <v>2537</v>
      </c>
    </row>
    <row r="496" spans="1:8">
      <c r="A496" s="31">
        <f>COUNTIF('BOM Atual ZPCS12'!F:F,B496)+(1-(SUMIF(Invoice!$A:$A,$B496,Invoice!$B:$B)/100000000000))</f>
        <v>2</v>
      </c>
      <c r="B496" s="52" t="s">
        <v>698</v>
      </c>
      <c r="C496" s="44" t="s">
        <v>699</v>
      </c>
      <c r="D496" s="44" t="s">
        <v>147</v>
      </c>
      <c r="E496" s="44" t="s">
        <v>51</v>
      </c>
      <c r="G496" s="44">
        <v>638</v>
      </c>
      <c r="H496" s="44" t="s">
        <v>2537</v>
      </c>
    </row>
    <row r="497" spans="1:8">
      <c r="A497" s="31">
        <f>COUNTIF('BOM Atual ZPCS12'!F:F,B497)+(1-(SUMIF(Invoice!$A:$A,$B497,Invoice!$B:$B)/100000000000))</f>
        <v>1.9999997</v>
      </c>
      <c r="B497" s="52" t="s">
        <v>700</v>
      </c>
      <c r="C497" s="44" t="s">
        <v>2873</v>
      </c>
      <c r="D497" s="44" t="s">
        <v>147</v>
      </c>
      <c r="E497" s="44" t="s">
        <v>51</v>
      </c>
      <c r="G497" s="44">
        <v>639</v>
      </c>
      <c r="H497" s="44" t="s">
        <v>2537</v>
      </c>
    </row>
    <row r="498" spans="1:8">
      <c r="A498" s="31">
        <f>COUNTIF('BOM Atual ZPCS12'!F:F,B498)+(1-(SUMIF(Invoice!$A:$A,$B498,Invoice!$B:$B)/100000000000))</f>
        <v>2</v>
      </c>
      <c r="B498" s="52" t="s">
        <v>702</v>
      </c>
      <c r="C498" s="44" t="s">
        <v>2874</v>
      </c>
      <c r="D498" s="44" t="s">
        <v>147</v>
      </c>
      <c r="E498" s="44" t="s">
        <v>51</v>
      </c>
      <c r="G498" s="44">
        <v>639</v>
      </c>
      <c r="H498" s="44" t="s">
        <v>2537</v>
      </c>
    </row>
    <row r="499" spans="1:8">
      <c r="A499" s="31">
        <f>COUNTIF('BOM Atual ZPCS12'!F:F,B499)+(1-(SUMIF(Invoice!$A:$A,$B499,Invoice!$B:$B)/100000000000))</f>
        <v>1</v>
      </c>
      <c r="B499" s="52" t="s">
        <v>2875</v>
      </c>
      <c r="C499" s="44" t="s">
        <v>2876</v>
      </c>
      <c r="D499" s="44" t="s">
        <v>147</v>
      </c>
      <c r="E499" s="44" t="s">
        <v>51</v>
      </c>
      <c r="G499" s="44">
        <v>639</v>
      </c>
      <c r="H499" s="44" t="s">
        <v>2537</v>
      </c>
    </row>
    <row r="500" spans="1:8">
      <c r="A500" s="31">
        <f>COUNTIF('BOM Atual ZPCS12'!F:F,B500)+(1-(SUMIF(Invoice!$A:$A,$B500,Invoice!$B:$B)/100000000000))</f>
        <v>2</v>
      </c>
      <c r="B500" s="52" t="s">
        <v>704</v>
      </c>
      <c r="C500" s="44" t="s">
        <v>2877</v>
      </c>
      <c r="D500" s="44" t="s">
        <v>147</v>
      </c>
      <c r="E500" s="44" t="s">
        <v>51</v>
      </c>
      <c r="G500" s="44">
        <v>639</v>
      </c>
      <c r="H500" s="44" t="s">
        <v>2537</v>
      </c>
    </row>
    <row r="501" spans="1:8">
      <c r="A501" s="31">
        <f>COUNTIF('BOM Atual ZPCS12'!F:F,B501)+(1-(SUMIF(Invoice!$A:$A,$B501,Invoice!$B:$B)/100000000000))</f>
        <v>1</v>
      </c>
      <c r="B501" s="52" t="s">
        <v>2878</v>
      </c>
      <c r="C501" s="44" t="s">
        <v>2879</v>
      </c>
      <c r="D501" s="44" t="s">
        <v>147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2880</v>
      </c>
      <c r="C502" s="44" t="s">
        <v>2881</v>
      </c>
      <c r="D502" s="44" t="s">
        <v>147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2882</v>
      </c>
      <c r="C503" s="44" t="s">
        <v>2883</v>
      </c>
      <c r="D503" s="44" t="s">
        <v>147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1</v>
      </c>
      <c r="B504" s="52" t="s">
        <v>2884</v>
      </c>
      <c r="C504" s="44" t="s">
        <v>2885</v>
      </c>
      <c r="D504" s="44" t="s">
        <v>147</v>
      </c>
      <c r="E504" s="44" t="s">
        <v>51</v>
      </c>
      <c r="G504" s="44">
        <v>641</v>
      </c>
      <c r="H504" s="44" t="s">
        <v>2537</v>
      </c>
    </row>
    <row r="505" spans="1:8">
      <c r="A505" s="31">
        <f>COUNTIF('BOM Atual ZPCS12'!F:F,B505)+(1-(SUMIF(Invoice!$A:$A,$B505,Invoice!$B:$B)/100000000000))</f>
        <v>1</v>
      </c>
      <c r="B505" s="52" t="s">
        <v>2886</v>
      </c>
      <c r="C505" s="44" t="s">
        <v>2887</v>
      </c>
      <c r="D505" s="44" t="s">
        <v>147</v>
      </c>
      <c r="E505" s="44" t="s">
        <v>51</v>
      </c>
      <c r="G505" s="44">
        <v>641</v>
      </c>
      <c r="H505" s="44" t="s">
        <v>2537</v>
      </c>
    </row>
    <row r="506" spans="1:8">
      <c r="A506" s="31">
        <f>COUNTIF('BOM Atual ZPCS12'!F:F,B506)+(1-(SUMIF(Invoice!$A:$A,$B506,Invoice!$B:$B)/100000000000))</f>
        <v>1</v>
      </c>
      <c r="B506" s="52" t="s">
        <v>2888</v>
      </c>
      <c r="C506" s="44" t="s">
        <v>2885</v>
      </c>
      <c r="D506" s="44" t="s">
        <v>147</v>
      </c>
      <c r="E506" s="44" t="s">
        <v>51</v>
      </c>
      <c r="G506" s="44">
        <v>641</v>
      </c>
      <c r="H506" s="44" t="s">
        <v>2537</v>
      </c>
    </row>
    <row r="507" spans="1:8">
      <c r="A507" s="31">
        <f>COUNTIF('BOM Atual ZPCS12'!F:F,B507)+(1-(SUMIF(Invoice!$A:$A,$B507,Invoice!$B:$B)/100000000000))</f>
        <v>1</v>
      </c>
      <c r="B507" s="52" t="s">
        <v>2889</v>
      </c>
      <c r="C507" s="44" t="s">
        <v>2890</v>
      </c>
      <c r="D507" s="44" t="s">
        <v>147</v>
      </c>
      <c r="E507" s="44" t="s">
        <v>51</v>
      </c>
      <c r="G507" s="44">
        <v>641</v>
      </c>
      <c r="H507" s="44" t="s">
        <v>2537</v>
      </c>
    </row>
    <row r="508" spans="1:8">
      <c r="A508" s="31">
        <f>COUNTIF('BOM Atual ZPCS12'!F:F,B508)+(1-(SUMIF(Invoice!$A:$A,$B508,Invoice!$B:$B)/100000000000))</f>
        <v>2</v>
      </c>
      <c r="B508" s="52" t="s">
        <v>718</v>
      </c>
      <c r="C508" s="44" t="s">
        <v>2891</v>
      </c>
      <c r="D508" s="44" t="s">
        <v>147</v>
      </c>
      <c r="E508" s="44" t="s">
        <v>51</v>
      </c>
      <c r="G508" s="44">
        <v>642</v>
      </c>
      <c r="H508" s="44" t="s">
        <v>2537</v>
      </c>
    </row>
    <row r="509" spans="1:8">
      <c r="A509" s="31">
        <f>COUNTIF('BOM Atual ZPCS12'!F:F,B509)+(1-(SUMIF(Invoice!$A:$A,$B509,Invoice!$B:$B)/100000000000))</f>
        <v>1.9999999000000002</v>
      </c>
      <c r="B509" s="52" t="s">
        <v>720</v>
      </c>
      <c r="C509" s="44" t="s">
        <v>2892</v>
      </c>
      <c r="D509" s="44" t="s">
        <v>147</v>
      </c>
      <c r="E509" s="44" t="s">
        <v>51</v>
      </c>
      <c r="G509" s="44">
        <v>642</v>
      </c>
      <c r="H509" s="44" t="s">
        <v>2537</v>
      </c>
    </row>
    <row r="510" spans="1:8">
      <c r="A510" s="31">
        <f>COUNTIF('BOM Atual ZPCS12'!F:F,B510)+(1-(SUMIF(Invoice!$A:$A,$B510,Invoice!$B:$B)/100000000000))</f>
        <v>1</v>
      </c>
      <c r="B510" s="52" t="s">
        <v>2893</v>
      </c>
      <c r="C510" s="44" t="s">
        <v>2891</v>
      </c>
      <c r="D510" s="44" t="s">
        <v>147</v>
      </c>
      <c r="E510" s="44" t="s">
        <v>51</v>
      </c>
      <c r="G510" s="44">
        <v>642</v>
      </c>
      <c r="H510" s="44" t="s">
        <v>2537</v>
      </c>
    </row>
    <row r="511" spans="1:8">
      <c r="A511" s="31">
        <f>COUNTIF('BOM Atual ZPCS12'!F:F,B511)+(1-(SUMIF(Invoice!$A:$A,$B511,Invoice!$B:$B)/100000000000))</f>
        <v>2</v>
      </c>
      <c r="B511" s="52" t="s">
        <v>722</v>
      </c>
      <c r="C511" s="44" t="s">
        <v>723</v>
      </c>
      <c r="D511" s="44" t="s">
        <v>147</v>
      </c>
      <c r="E511" s="44" t="s">
        <v>51</v>
      </c>
      <c r="G511" s="44">
        <v>642</v>
      </c>
      <c r="H511" s="44" t="s">
        <v>2537</v>
      </c>
    </row>
    <row r="512" spans="1:8">
      <c r="A512" s="31">
        <f>COUNTIF('BOM Atual ZPCS12'!F:F,B512)+(1-(SUMIF(Invoice!$A:$A,$B512,Invoice!$B:$B)/100000000000))</f>
        <v>1</v>
      </c>
      <c r="B512" s="52" t="s">
        <v>2894</v>
      </c>
      <c r="C512" s="44" t="s">
        <v>2895</v>
      </c>
      <c r="D512" s="44" t="s">
        <v>147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2896</v>
      </c>
      <c r="C513" s="44" t="s">
        <v>2895</v>
      </c>
      <c r="D513" s="44" t="s">
        <v>147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2897</v>
      </c>
      <c r="C514" s="44" t="s">
        <v>2898</v>
      </c>
      <c r="D514" s="44" t="s">
        <v>147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2</v>
      </c>
      <c r="B515" s="52" t="s">
        <v>724</v>
      </c>
      <c r="C515" s="44" t="s">
        <v>2899</v>
      </c>
      <c r="D515" s="44" t="s">
        <v>147</v>
      </c>
      <c r="E515" s="44" t="s">
        <v>51</v>
      </c>
      <c r="G515" s="44">
        <v>644</v>
      </c>
      <c r="H515" s="44" t="s">
        <v>2537</v>
      </c>
    </row>
    <row r="516" spans="1:8">
      <c r="A516" s="31">
        <f>COUNTIF('BOM Atual ZPCS12'!F:F,B516)+(1-(SUMIF(Invoice!$A:$A,$B516,Invoice!$B:$B)/100000000000))</f>
        <v>1.9999999000000002</v>
      </c>
      <c r="B516" s="52" t="s">
        <v>726</v>
      </c>
      <c r="C516" s="44" t="s">
        <v>727</v>
      </c>
      <c r="D516" s="44" t="s">
        <v>147</v>
      </c>
      <c r="E516" s="44" t="s">
        <v>51</v>
      </c>
      <c r="G516" s="44">
        <v>644</v>
      </c>
      <c r="H516" s="44" t="s">
        <v>2537</v>
      </c>
    </row>
    <row r="517" spans="1:8">
      <c r="A517" s="31">
        <f>COUNTIF('BOM Atual ZPCS12'!F:F,B517)+(1-(SUMIF(Invoice!$A:$A,$B517,Invoice!$B:$B)/100000000000))</f>
        <v>1</v>
      </c>
      <c r="B517" s="52" t="s">
        <v>2900</v>
      </c>
      <c r="C517" s="44" t="s">
        <v>2901</v>
      </c>
      <c r="D517" s="44" t="s">
        <v>147</v>
      </c>
      <c r="E517" s="44" t="s">
        <v>51</v>
      </c>
      <c r="G517" s="44">
        <v>644</v>
      </c>
      <c r="H517" s="44" t="s">
        <v>2537</v>
      </c>
    </row>
    <row r="518" spans="1:8">
      <c r="A518" s="31">
        <f>COUNTIF('BOM Atual ZPCS12'!F:F,B518)+(1-(SUMIF(Invoice!$A:$A,$B518,Invoice!$B:$B)/100000000000))</f>
        <v>2</v>
      </c>
      <c r="B518" s="52" t="s">
        <v>728</v>
      </c>
      <c r="C518" s="44" t="s">
        <v>729</v>
      </c>
      <c r="D518" s="44" t="s">
        <v>147</v>
      </c>
      <c r="E518" s="44" t="s">
        <v>51</v>
      </c>
      <c r="G518" s="44">
        <v>644</v>
      </c>
      <c r="H518" s="44" t="s">
        <v>2537</v>
      </c>
    </row>
    <row r="519" spans="1:8">
      <c r="A519" s="31">
        <f>COUNTIF('BOM Atual ZPCS12'!F:F,B519)+(1-(SUMIF(Invoice!$A:$A,$B519,Invoice!$B:$B)/100000000000))</f>
        <v>1</v>
      </c>
      <c r="B519" s="52" t="s">
        <v>2902</v>
      </c>
      <c r="C519" s="44" t="s">
        <v>2903</v>
      </c>
      <c r="D519" s="44" t="s">
        <v>147</v>
      </c>
      <c r="E519" s="44" t="s">
        <v>51</v>
      </c>
      <c r="G519" s="44">
        <v>645</v>
      </c>
      <c r="H519" s="44" t="s">
        <v>2537</v>
      </c>
    </row>
    <row r="520" spans="1:8">
      <c r="A520" s="31">
        <f>COUNTIF('BOM Atual ZPCS12'!F:F,B520)+(1-(SUMIF(Invoice!$A:$A,$B520,Invoice!$B:$B)/100000000000))</f>
        <v>1</v>
      </c>
      <c r="B520" s="52" t="s">
        <v>2904</v>
      </c>
      <c r="C520" s="44" t="s">
        <v>2905</v>
      </c>
      <c r="D520" s="44" t="s">
        <v>147</v>
      </c>
      <c r="E520" s="44" t="s">
        <v>51</v>
      </c>
      <c r="G520" s="44">
        <v>645</v>
      </c>
      <c r="H520" s="44" t="s">
        <v>2537</v>
      </c>
    </row>
    <row r="521" spans="1:8">
      <c r="A521" s="31">
        <f>COUNTIF('BOM Atual ZPCS12'!F:F,B521)+(1-(SUMIF(Invoice!$A:$A,$B521,Invoice!$B:$B)/100000000000))</f>
        <v>1</v>
      </c>
      <c r="B521" s="52" t="s">
        <v>2906</v>
      </c>
      <c r="C521" s="44" t="s">
        <v>2907</v>
      </c>
      <c r="D521" s="44" t="s">
        <v>147</v>
      </c>
      <c r="E521" s="44" t="s">
        <v>51</v>
      </c>
      <c r="G521" s="44">
        <v>645</v>
      </c>
      <c r="H521" s="44" t="s">
        <v>2537</v>
      </c>
    </row>
    <row r="522" spans="1:8">
      <c r="A522" s="31">
        <f>COUNTIF('BOM Atual ZPCS12'!F:F,B522)+(1-(SUMIF(Invoice!$A:$A,$B522,Invoice!$B:$B)/100000000000))</f>
        <v>1</v>
      </c>
      <c r="B522" s="52" t="s">
        <v>2908</v>
      </c>
      <c r="C522" s="44" t="s">
        <v>2909</v>
      </c>
      <c r="D522" s="44" t="s">
        <v>147</v>
      </c>
      <c r="E522" s="44" t="s">
        <v>51</v>
      </c>
      <c r="G522" s="44">
        <v>645</v>
      </c>
      <c r="H522" s="44" t="s">
        <v>2537</v>
      </c>
    </row>
    <row r="523" spans="1:8">
      <c r="A523" s="31">
        <f>COUNTIF('BOM Atual ZPCS12'!F:F,B523)+(1-(SUMIF(Invoice!$A:$A,$B523,Invoice!$B:$B)/100000000000))</f>
        <v>1</v>
      </c>
      <c r="B523" s="52" t="s">
        <v>2910</v>
      </c>
      <c r="C523" s="44" t="s">
        <v>2911</v>
      </c>
      <c r="D523" s="44" t="s">
        <v>147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2912</v>
      </c>
      <c r="C524" s="44" t="s">
        <v>2913</v>
      </c>
      <c r="D524" s="44" t="s">
        <v>147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2914</v>
      </c>
      <c r="C525" s="44" t="s">
        <v>2915</v>
      </c>
      <c r="D525" s="44" t="s">
        <v>147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741</v>
      </c>
      <c r="C526" s="44" t="s">
        <v>742</v>
      </c>
      <c r="D526" s="44" t="s">
        <v>147</v>
      </c>
      <c r="E526" s="44" t="s">
        <v>51</v>
      </c>
      <c r="G526" s="44">
        <v>647</v>
      </c>
      <c r="H526" s="44" t="s">
        <v>2537</v>
      </c>
    </row>
    <row r="527" spans="1:8">
      <c r="A527" s="31">
        <f>COUNTIF('BOM Atual ZPCS12'!F:F,B527)+(1-(SUMIF(Invoice!$A:$A,$B527,Invoice!$B:$B)/100000000000))</f>
        <v>2</v>
      </c>
      <c r="B527" s="52" t="s">
        <v>743</v>
      </c>
      <c r="C527" s="44" t="s">
        <v>2916</v>
      </c>
      <c r="D527" s="44" t="s">
        <v>147</v>
      </c>
      <c r="E527" s="44" t="s">
        <v>51</v>
      </c>
      <c r="G527" s="44">
        <v>647</v>
      </c>
      <c r="H527" s="44" t="s">
        <v>2537</v>
      </c>
    </row>
    <row r="528" spans="1:8">
      <c r="A528" s="31">
        <f>COUNTIF('BOM Atual ZPCS12'!F:F,B528)+(1-(SUMIF(Invoice!$A:$A,$B528,Invoice!$B:$B)/100000000000))</f>
        <v>1</v>
      </c>
      <c r="B528" s="52" t="s">
        <v>2917</v>
      </c>
      <c r="C528" s="44" t="s">
        <v>2918</v>
      </c>
      <c r="D528" s="44" t="s">
        <v>147</v>
      </c>
      <c r="E528" s="44" t="s">
        <v>51</v>
      </c>
      <c r="G528" s="44">
        <v>647</v>
      </c>
      <c r="H528" s="44" t="s">
        <v>2537</v>
      </c>
    </row>
    <row r="529" spans="1:8">
      <c r="A529" s="31">
        <f>COUNTIF('BOM Atual ZPCS12'!F:F,B529)+(1-(SUMIF(Invoice!$A:$A,$B529,Invoice!$B:$B)/100000000000))</f>
        <v>2</v>
      </c>
      <c r="B529" s="52" t="s">
        <v>745</v>
      </c>
      <c r="C529" s="44" t="s">
        <v>2919</v>
      </c>
      <c r="D529" s="44" t="s">
        <v>147</v>
      </c>
      <c r="E529" s="44" t="s">
        <v>51</v>
      </c>
      <c r="G529" s="44">
        <v>647</v>
      </c>
      <c r="H529" s="44" t="s">
        <v>2537</v>
      </c>
    </row>
    <row r="530" spans="1:8">
      <c r="A530" s="31">
        <f>COUNTIF('BOM Atual ZPCS12'!F:F,B530)+(1-(SUMIF(Invoice!$A:$A,$B530,Invoice!$B:$B)/100000000000))</f>
        <v>1</v>
      </c>
      <c r="B530" s="52" t="s">
        <v>2920</v>
      </c>
      <c r="C530" s="44" t="s">
        <v>2921</v>
      </c>
      <c r="D530" s="44" t="s">
        <v>147</v>
      </c>
      <c r="E530" s="44" t="s">
        <v>51</v>
      </c>
      <c r="G530" s="44">
        <v>648</v>
      </c>
      <c r="H530" s="44" t="s">
        <v>2537</v>
      </c>
    </row>
    <row r="531" spans="1:8">
      <c r="A531" s="31">
        <f>COUNTIF('BOM Atual ZPCS12'!F:F,B531)+(1-(SUMIF(Invoice!$A:$A,$B531,Invoice!$B:$B)/100000000000))</f>
        <v>1</v>
      </c>
      <c r="B531" s="52" t="s">
        <v>2922</v>
      </c>
      <c r="C531" s="44" t="s">
        <v>2923</v>
      </c>
      <c r="D531" s="44" t="s">
        <v>147</v>
      </c>
      <c r="E531" s="44" t="s">
        <v>51</v>
      </c>
      <c r="G531" s="44">
        <v>648</v>
      </c>
      <c r="H531" s="44" t="s">
        <v>2537</v>
      </c>
    </row>
    <row r="532" spans="1:8">
      <c r="A532" s="31">
        <f>COUNTIF('BOM Atual ZPCS12'!F:F,B532)+(1-(SUMIF(Invoice!$A:$A,$B532,Invoice!$B:$B)/100000000000))</f>
        <v>1</v>
      </c>
      <c r="B532" s="52" t="s">
        <v>2924</v>
      </c>
      <c r="C532" s="44" t="s">
        <v>2921</v>
      </c>
      <c r="D532" s="44" t="s">
        <v>147</v>
      </c>
      <c r="E532" s="44" t="s">
        <v>51</v>
      </c>
      <c r="G532" s="44">
        <v>648</v>
      </c>
      <c r="H532" s="44" t="s">
        <v>2537</v>
      </c>
    </row>
    <row r="533" spans="1:8">
      <c r="A533" s="31">
        <f>COUNTIF('BOM Atual ZPCS12'!F:F,B533)+(1-(SUMIF(Invoice!$A:$A,$B533,Invoice!$B:$B)/100000000000))</f>
        <v>1</v>
      </c>
      <c r="B533" s="52" t="s">
        <v>2925</v>
      </c>
      <c r="C533" s="44" t="s">
        <v>2926</v>
      </c>
      <c r="D533" s="44" t="s">
        <v>147</v>
      </c>
      <c r="E533" s="44" t="s">
        <v>51</v>
      </c>
      <c r="G533" s="44">
        <v>648</v>
      </c>
      <c r="H533" s="44" t="s">
        <v>2537</v>
      </c>
    </row>
    <row r="534" spans="1:8">
      <c r="A534" s="31">
        <f>COUNTIF('BOM Atual ZPCS12'!F:F,B534)+(1-(SUMIF(Invoice!$A:$A,$B534,Invoice!$B:$B)/100000000000))</f>
        <v>1.9999999000000002</v>
      </c>
      <c r="B534" s="52" t="s">
        <v>747</v>
      </c>
      <c r="C534" s="44" t="s">
        <v>748</v>
      </c>
      <c r="D534" s="44" t="s">
        <v>147</v>
      </c>
      <c r="E534" s="44" t="s">
        <v>51</v>
      </c>
      <c r="G534" s="44">
        <v>649</v>
      </c>
      <c r="H534" s="44" t="s">
        <v>2537</v>
      </c>
    </row>
    <row r="535" spans="1:8">
      <c r="A535" s="31">
        <f>COUNTIF('BOM Atual ZPCS12'!F:F,B535)+(1-(SUMIF(Invoice!$A:$A,$B535,Invoice!$B:$B)/100000000000))</f>
        <v>2</v>
      </c>
      <c r="B535" s="52" t="s">
        <v>749</v>
      </c>
      <c r="C535" s="44" t="s">
        <v>2927</v>
      </c>
      <c r="D535" s="44" t="s">
        <v>147</v>
      </c>
      <c r="E535" s="44" t="s">
        <v>51</v>
      </c>
      <c r="G535" s="44">
        <v>649</v>
      </c>
      <c r="H535" s="44" t="s">
        <v>2537</v>
      </c>
    </row>
    <row r="536" spans="1:8">
      <c r="A536" s="31">
        <f>COUNTIF('BOM Atual ZPCS12'!F:F,B536)+(1-(SUMIF(Invoice!$A:$A,$B536,Invoice!$B:$B)/100000000000))</f>
        <v>1</v>
      </c>
      <c r="B536" s="52" t="s">
        <v>2928</v>
      </c>
      <c r="C536" s="44" t="s">
        <v>2929</v>
      </c>
      <c r="D536" s="44" t="s">
        <v>147</v>
      </c>
      <c r="E536" s="44" t="s">
        <v>51</v>
      </c>
      <c r="G536" s="44">
        <v>649</v>
      </c>
      <c r="H536" s="44" t="s">
        <v>2537</v>
      </c>
    </row>
    <row r="537" spans="1:8">
      <c r="A537" s="31">
        <f>COUNTIF('BOM Atual ZPCS12'!F:F,B537)+(1-(SUMIF(Invoice!$A:$A,$B537,Invoice!$B:$B)/100000000000))</f>
        <v>2</v>
      </c>
      <c r="B537" s="52" t="s">
        <v>751</v>
      </c>
      <c r="C537" s="44" t="s">
        <v>2930</v>
      </c>
      <c r="D537" s="44" t="s">
        <v>147</v>
      </c>
      <c r="E537" s="44" t="s">
        <v>51</v>
      </c>
      <c r="G537" s="44">
        <v>649</v>
      </c>
      <c r="H537" s="44" t="s">
        <v>2537</v>
      </c>
    </row>
    <row r="538" spans="1:8">
      <c r="A538" s="31">
        <f>COUNTIF('BOM Atual ZPCS12'!F:F,B538)+(1-(SUMIF(Invoice!$A:$A,$B538,Invoice!$B:$B)/100000000000))</f>
        <v>1.99999997</v>
      </c>
      <c r="B538" s="52" t="s">
        <v>1964</v>
      </c>
      <c r="C538" s="44" t="s">
        <v>1965</v>
      </c>
      <c r="D538" s="44" t="s">
        <v>147</v>
      </c>
      <c r="E538" s="44" t="s">
        <v>51</v>
      </c>
      <c r="G538" s="44">
        <v>649</v>
      </c>
      <c r="H538" s="44" t="s">
        <v>2537</v>
      </c>
    </row>
    <row r="539" spans="1:8">
      <c r="A539" s="31">
        <f>COUNTIF('BOM Atual ZPCS12'!F:F,B539)+(1-(SUMIF(Invoice!$A:$A,$B539,Invoice!$B:$B)/100000000000))</f>
        <v>2</v>
      </c>
      <c r="B539" s="52" t="s">
        <v>1967</v>
      </c>
      <c r="C539" s="44" t="s">
        <v>1968</v>
      </c>
      <c r="D539" s="44" t="s">
        <v>147</v>
      </c>
      <c r="E539" s="44" t="s">
        <v>51</v>
      </c>
      <c r="G539" s="44">
        <v>649</v>
      </c>
      <c r="H539" s="44" t="s">
        <v>2537</v>
      </c>
    </row>
    <row r="540" spans="1:8">
      <c r="A540" s="31">
        <f>COUNTIF('BOM Atual ZPCS12'!F:F,B540)+(1-(SUMIF(Invoice!$A:$A,$B540,Invoice!$B:$B)/100000000000))</f>
        <v>1</v>
      </c>
      <c r="B540" s="52" t="s">
        <v>2931</v>
      </c>
      <c r="C540" s="44" t="s">
        <v>2932</v>
      </c>
      <c r="D540" s="44" t="s">
        <v>147</v>
      </c>
      <c r="E540" s="44" t="s">
        <v>51</v>
      </c>
      <c r="G540" s="44">
        <v>650</v>
      </c>
      <c r="H540" s="44" t="s">
        <v>2537</v>
      </c>
    </row>
    <row r="541" spans="1:8">
      <c r="A541" s="31">
        <f>COUNTIF('BOM Atual ZPCS12'!F:F,B541)+(1-(SUMIF(Invoice!$A:$A,$B541,Invoice!$B:$B)/100000000000))</f>
        <v>1</v>
      </c>
      <c r="B541" s="52" t="s">
        <v>2933</v>
      </c>
      <c r="C541" s="44" t="s">
        <v>2934</v>
      </c>
      <c r="D541" s="44" t="s">
        <v>147</v>
      </c>
      <c r="E541" s="44" t="s">
        <v>51</v>
      </c>
      <c r="G541" s="44">
        <v>650</v>
      </c>
      <c r="H541" s="44" t="s">
        <v>2537</v>
      </c>
    </row>
    <row r="542" spans="1:8">
      <c r="A542" s="31">
        <f>COUNTIF('BOM Atual ZPCS12'!F:F,B542)+(1-(SUMIF(Invoice!$A:$A,$B542,Invoice!$B:$B)/100000000000))</f>
        <v>1</v>
      </c>
      <c r="B542" s="52" t="s">
        <v>2935</v>
      </c>
      <c r="C542" s="44" t="s">
        <v>2936</v>
      </c>
      <c r="D542" s="44" t="s">
        <v>147</v>
      </c>
      <c r="E542" s="44" t="s">
        <v>51</v>
      </c>
      <c r="G542" s="44">
        <v>650</v>
      </c>
      <c r="H542" s="44" t="s">
        <v>2537</v>
      </c>
    </row>
    <row r="543" spans="1:8">
      <c r="A543" s="31">
        <f>COUNTIF('BOM Atual ZPCS12'!F:F,B543)+(1-(SUMIF(Invoice!$A:$A,$B543,Invoice!$B:$B)/100000000000))</f>
        <v>1</v>
      </c>
      <c r="B543" s="52" t="s">
        <v>2937</v>
      </c>
      <c r="C543" s="44" t="s">
        <v>2938</v>
      </c>
      <c r="D543" s="44" t="s">
        <v>147</v>
      </c>
      <c r="E543" s="44" t="s">
        <v>51</v>
      </c>
      <c r="G543" s="44">
        <v>650</v>
      </c>
      <c r="H543" s="44" t="s">
        <v>2537</v>
      </c>
    </row>
    <row r="544" spans="1:8">
      <c r="A544" s="31">
        <f>COUNTIF('BOM Atual ZPCS12'!F:F,B544)+(1-(SUMIF(Invoice!$A:$A,$B544,Invoice!$B:$B)/100000000000))</f>
        <v>1</v>
      </c>
      <c r="B544" s="52" t="s">
        <v>2939</v>
      </c>
      <c r="C544" s="44" t="s">
        <v>2940</v>
      </c>
      <c r="D544" s="44" t="s">
        <v>147</v>
      </c>
      <c r="E544" s="44" t="s">
        <v>51</v>
      </c>
      <c r="G544" s="44">
        <v>651</v>
      </c>
      <c r="H544" s="44" t="s">
        <v>2537</v>
      </c>
    </row>
    <row r="545" spans="1:8">
      <c r="A545" s="31">
        <f>COUNTIF('BOM Atual ZPCS12'!F:F,B545)+(1-(SUMIF(Invoice!$A:$A,$B545,Invoice!$B:$B)/100000000000))</f>
        <v>1</v>
      </c>
      <c r="B545" s="52" t="s">
        <v>2941</v>
      </c>
      <c r="C545" s="44" t="s">
        <v>2942</v>
      </c>
      <c r="D545" s="44" t="s">
        <v>147</v>
      </c>
      <c r="E545" s="44" t="s">
        <v>51</v>
      </c>
      <c r="G545" s="44">
        <v>651</v>
      </c>
      <c r="H545" s="44" t="s">
        <v>2537</v>
      </c>
    </row>
    <row r="546" spans="1:8">
      <c r="A546" s="31">
        <f>COUNTIF('BOM Atual ZPCS12'!F:F,B546)+(1-(SUMIF(Invoice!$A:$A,$B546,Invoice!$B:$B)/100000000000))</f>
        <v>1</v>
      </c>
      <c r="B546" s="52" t="s">
        <v>2943</v>
      </c>
      <c r="C546" s="44" t="s">
        <v>2944</v>
      </c>
      <c r="D546" s="44" t="s">
        <v>147</v>
      </c>
      <c r="E546" s="44" t="s">
        <v>51</v>
      </c>
      <c r="G546" s="44">
        <v>651</v>
      </c>
      <c r="H546" s="44" t="s">
        <v>2537</v>
      </c>
    </row>
    <row r="547" spans="1:8">
      <c r="A547" s="31">
        <f>COUNTIF('BOM Atual ZPCS12'!F:F,B547)+(1-(SUMIF(Invoice!$A:$A,$B547,Invoice!$B:$B)/100000000000))</f>
        <v>1</v>
      </c>
      <c r="B547" s="52" t="s">
        <v>2945</v>
      </c>
      <c r="C547" s="44" t="s">
        <v>2946</v>
      </c>
      <c r="D547" s="44" t="s">
        <v>147</v>
      </c>
      <c r="E547" s="44" t="s">
        <v>51</v>
      </c>
      <c r="G547" s="44">
        <v>651</v>
      </c>
      <c r="H547" s="44" t="s">
        <v>2537</v>
      </c>
    </row>
    <row r="548" spans="1:8">
      <c r="A548" s="31">
        <f>COUNTIF('BOM Atual ZPCS12'!F:F,B548)+(1-(SUMIF(Invoice!$A:$A,$B548,Invoice!$B:$B)/100000000000))</f>
        <v>1</v>
      </c>
      <c r="B548" s="52" t="s">
        <v>2947</v>
      </c>
      <c r="C548" s="44" t="s">
        <v>2948</v>
      </c>
      <c r="D548" s="44" t="s">
        <v>147</v>
      </c>
      <c r="E548" s="44" t="s">
        <v>51</v>
      </c>
      <c r="G548" s="44">
        <v>652</v>
      </c>
      <c r="H548" s="44" t="s">
        <v>2537</v>
      </c>
    </row>
    <row r="549" spans="1:8">
      <c r="A549" s="31">
        <f>COUNTIF('BOM Atual ZPCS12'!F:F,B549)+(1-(SUMIF(Invoice!$A:$A,$B549,Invoice!$B:$B)/100000000000))</f>
        <v>1</v>
      </c>
      <c r="B549" s="52" t="s">
        <v>2949</v>
      </c>
      <c r="C549" s="44" t="s">
        <v>2950</v>
      </c>
      <c r="D549" s="44" t="s">
        <v>147</v>
      </c>
      <c r="E549" s="44" t="s">
        <v>51</v>
      </c>
      <c r="G549" s="44">
        <v>652</v>
      </c>
      <c r="H549" s="44" t="s">
        <v>2537</v>
      </c>
    </row>
    <row r="550" spans="1:8">
      <c r="A550" s="31">
        <f>COUNTIF('BOM Atual ZPCS12'!F:F,B550)+(1-(SUMIF(Invoice!$A:$A,$B550,Invoice!$B:$B)/100000000000))</f>
        <v>1</v>
      </c>
      <c r="B550" s="52" t="s">
        <v>2951</v>
      </c>
      <c r="C550" s="44" t="s">
        <v>2952</v>
      </c>
      <c r="D550" s="44" t="s">
        <v>147</v>
      </c>
      <c r="E550" s="44" t="s">
        <v>51</v>
      </c>
      <c r="G550" s="44">
        <v>652</v>
      </c>
      <c r="H550" s="44" t="s">
        <v>2537</v>
      </c>
    </row>
    <row r="551" spans="1:8">
      <c r="A551" s="31">
        <f>COUNTIF('BOM Atual ZPCS12'!F:F,B551)+(1-(SUMIF(Invoice!$A:$A,$B551,Invoice!$B:$B)/100000000000))</f>
        <v>1</v>
      </c>
      <c r="B551" s="52" t="s">
        <v>2953</v>
      </c>
      <c r="C551" s="44" t="s">
        <v>2954</v>
      </c>
      <c r="D551" s="44" t="s">
        <v>147</v>
      </c>
      <c r="E551" s="44" t="s">
        <v>51</v>
      </c>
      <c r="G551" s="44">
        <v>652</v>
      </c>
      <c r="H551" s="44" t="s">
        <v>2537</v>
      </c>
    </row>
    <row r="552" spans="1:8">
      <c r="A552" s="31">
        <f>COUNTIF('BOM Atual ZPCS12'!F:F,B552)+(1-(SUMIF(Invoice!$A:$A,$B552,Invoice!$B:$B)/100000000000))</f>
        <v>1</v>
      </c>
      <c r="B552" s="52" t="s">
        <v>2955</v>
      </c>
      <c r="C552" s="44" t="s">
        <v>2956</v>
      </c>
      <c r="D552" s="44" t="s">
        <v>147</v>
      </c>
      <c r="E552" s="44" t="s">
        <v>51</v>
      </c>
      <c r="G552" s="44">
        <v>653</v>
      </c>
      <c r="H552" s="44" t="s">
        <v>2537</v>
      </c>
    </row>
    <row r="553" spans="1:8">
      <c r="A553" s="31">
        <f>COUNTIF('BOM Atual ZPCS12'!F:F,B553)+(1-(SUMIF(Invoice!$A:$A,$B553,Invoice!$B:$B)/100000000000))</f>
        <v>1</v>
      </c>
      <c r="B553" s="52" t="s">
        <v>2957</v>
      </c>
      <c r="C553" s="44" t="s">
        <v>2958</v>
      </c>
      <c r="D553" s="44" t="s">
        <v>147</v>
      </c>
      <c r="E553" s="44" t="s">
        <v>51</v>
      </c>
      <c r="G553" s="44">
        <v>653</v>
      </c>
      <c r="H553" s="44" t="s">
        <v>2537</v>
      </c>
    </row>
    <row r="554" spans="1:8">
      <c r="A554" s="31">
        <f>COUNTIF('BOM Atual ZPCS12'!F:F,B554)+(1-(SUMIF(Invoice!$A:$A,$B554,Invoice!$B:$B)/100000000000))</f>
        <v>1</v>
      </c>
      <c r="B554" s="52" t="s">
        <v>2959</v>
      </c>
      <c r="C554" s="44" t="s">
        <v>2958</v>
      </c>
      <c r="D554" s="44" t="s">
        <v>147</v>
      </c>
      <c r="E554" s="44" t="s">
        <v>51</v>
      </c>
      <c r="G554" s="44">
        <v>653</v>
      </c>
      <c r="H554" s="44" t="s">
        <v>2537</v>
      </c>
    </row>
    <row r="555" spans="1:8">
      <c r="A555" s="31">
        <f>COUNTIF('BOM Atual ZPCS12'!F:F,B555)+(1-(SUMIF(Invoice!$A:$A,$B555,Invoice!$B:$B)/100000000000))</f>
        <v>1</v>
      </c>
      <c r="B555" s="52" t="s">
        <v>2960</v>
      </c>
      <c r="C555" s="44" t="s">
        <v>2961</v>
      </c>
      <c r="D555" s="44" t="s">
        <v>147</v>
      </c>
      <c r="E555" s="44" t="s">
        <v>51</v>
      </c>
      <c r="G555" s="44">
        <v>653</v>
      </c>
      <c r="H555" s="44" t="s">
        <v>2537</v>
      </c>
    </row>
    <row r="556" spans="1:8">
      <c r="A556" s="31">
        <f>COUNTIF('BOM Atual ZPCS12'!F:F,B556)+(1-(SUMIF(Invoice!$A:$A,$B556,Invoice!$B:$B)/100000000000))</f>
        <v>2</v>
      </c>
      <c r="B556" s="52" t="s">
        <v>1903</v>
      </c>
      <c r="C556" s="44" t="s">
        <v>2962</v>
      </c>
      <c r="D556" s="44" t="s">
        <v>147</v>
      </c>
      <c r="E556" s="44" t="s">
        <v>51</v>
      </c>
      <c r="G556" s="44">
        <v>654</v>
      </c>
      <c r="H556" s="44" t="s">
        <v>2537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1906</v>
      </c>
      <c r="C557" s="44" t="s">
        <v>2963</v>
      </c>
      <c r="D557" s="44" t="s">
        <v>147</v>
      </c>
      <c r="E557" s="44" t="s">
        <v>51</v>
      </c>
      <c r="G557" s="44">
        <v>654</v>
      </c>
      <c r="H557" s="44" t="s">
        <v>2537</v>
      </c>
    </row>
    <row r="558" spans="1:8">
      <c r="A558" s="31">
        <f>COUNTIF('BOM Atual ZPCS12'!F:F,B558)+(1-(SUMIF(Invoice!$A:$A,$B558,Invoice!$B:$B)/100000000000))</f>
        <v>1</v>
      </c>
      <c r="B558" s="52" t="s">
        <v>2964</v>
      </c>
      <c r="C558" s="44" t="s">
        <v>2965</v>
      </c>
      <c r="D558" s="44" t="s">
        <v>147</v>
      </c>
      <c r="E558" s="44" t="s">
        <v>51</v>
      </c>
      <c r="G558" s="44">
        <v>654</v>
      </c>
      <c r="H558" s="44" t="s">
        <v>2537</v>
      </c>
    </row>
    <row r="559" spans="1:8">
      <c r="A559" s="31">
        <f>COUNTIF('BOM Atual ZPCS12'!F:F,B559)+(1-(SUMIF(Invoice!$A:$A,$B559,Invoice!$B:$B)/100000000000))</f>
        <v>2</v>
      </c>
      <c r="B559" s="52" t="s">
        <v>1908</v>
      </c>
      <c r="C559" s="44" t="s">
        <v>1909</v>
      </c>
      <c r="D559" s="44" t="s">
        <v>147</v>
      </c>
      <c r="E559" s="44" t="s">
        <v>51</v>
      </c>
      <c r="G559" s="44">
        <v>654</v>
      </c>
      <c r="H559" s="44" t="s">
        <v>2537</v>
      </c>
    </row>
    <row r="560" spans="1:8">
      <c r="A560" s="31">
        <f>COUNTIF('BOM Atual ZPCS12'!F:F,B560)+(1-(SUMIF(Invoice!$A:$A,$B560,Invoice!$B:$B)/100000000000))</f>
        <v>1</v>
      </c>
      <c r="B560" s="52" t="s">
        <v>2966</v>
      </c>
      <c r="C560" s="44" t="s">
        <v>2967</v>
      </c>
      <c r="D560" s="44" t="s">
        <v>147</v>
      </c>
      <c r="E560" s="44" t="s">
        <v>51</v>
      </c>
      <c r="G560" s="44">
        <v>655</v>
      </c>
      <c r="H560" s="44" t="s">
        <v>2537</v>
      </c>
    </row>
    <row r="561" spans="1:8">
      <c r="A561" s="31">
        <f>COUNTIF('BOM Atual ZPCS12'!F:F,B561)+(1-(SUMIF(Invoice!$A:$A,$B561,Invoice!$B:$B)/100000000000))</f>
        <v>1</v>
      </c>
      <c r="B561" s="52" t="s">
        <v>2968</v>
      </c>
      <c r="C561" s="44" t="s">
        <v>2969</v>
      </c>
      <c r="D561" s="44" t="s">
        <v>147</v>
      </c>
      <c r="E561" s="44" t="s">
        <v>51</v>
      </c>
      <c r="G561" s="44">
        <v>655</v>
      </c>
      <c r="H561" s="44" t="s">
        <v>2537</v>
      </c>
    </row>
    <row r="562" spans="1:8">
      <c r="A562" s="31">
        <f>COUNTIF('BOM Atual ZPCS12'!F:F,B562)+(1-(SUMIF(Invoice!$A:$A,$B562,Invoice!$B:$B)/100000000000))</f>
        <v>1</v>
      </c>
      <c r="B562" s="52" t="s">
        <v>2970</v>
      </c>
      <c r="C562" s="44" t="s">
        <v>2967</v>
      </c>
      <c r="D562" s="44" t="s">
        <v>147</v>
      </c>
      <c r="E562" s="44" t="s">
        <v>51</v>
      </c>
      <c r="G562" s="44">
        <v>655</v>
      </c>
      <c r="H562" s="44" t="s">
        <v>2537</v>
      </c>
    </row>
    <row r="563" spans="1:8">
      <c r="A563" s="31">
        <f>COUNTIF('BOM Atual ZPCS12'!F:F,B563)+(1-(SUMIF(Invoice!$A:$A,$B563,Invoice!$B:$B)/100000000000))</f>
        <v>1</v>
      </c>
      <c r="B563" s="52" t="s">
        <v>2971</v>
      </c>
      <c r="C563" s="44" t="s">
        <v>2972</v>
      </c>
      <c r="D563" s="44" t="s">
        <v>147</v>
      </c>
      <c r="E563" s="44" t="s">
        <v>51</v>
      </c>
      <c r="G563" s="44">
        <v>655</v>
      </c>
      <c r="H563" s="44" t="s">
        <v>2537</v>
      </c>
    </row>
    <row r="564" spans="1:8">
      <c r="A564" s="31">
        <f>COUNTIF('BOM Atual ZPCS12'!F:F,B564)+(1-(SUMIF(Invoice!$A:$A,$B564,Invoice!$B:$B)/100000000000))</f>
        <v>2</v>
      </c>
      <c r="B564" s="52" t="s">
        <v>783</v>
      </c>
      <c r="C564" s="44" t="s">
        <v>2973</v>
      </c>
      <c r="D564" s="44" t="s">
        <v>147</v>
      </c>
      <c r="E564" s="44" t="s">
        <v>51</v>
      </c>
      <c r="G564" s="44">
        <v>656</v>
      </c>
      <c r="H564" s="44" t="s">
        <v>2537</v>
      </c>
    </row>
    <row r="565" spans="1:8">
      <c r="A565" s="31">
        <f>COUNTIF('BOM Atual ZPCS12'!F:F,B565)+(1-(SUMIF(Invoice!$A:$A,$B565,Invoice!$B:$B)/100000000000))</f>
        <v>1.9999999000000002</v>
      </c>
      <c r="B565" s="52" t="s">
        <v>785</v>
      </c>
      <c r="C565" s="44" t="s">
        <v>2974</v>
      </c>
      <c r="D565" s="44" t="s">
        <v>147</v>
      </c>
      <c r="E565" s="44" t="s">
        <v>51</v>
      </c>
      <c r="G565" s="44">
        <v>656</v>
      </c>
      <c r="H565" s="44" t="s">
        <v>2537</v>
      </c>
    </row>
    <row r="566" spans="1:8">
      <c r="A566" s="31">
        <f>COUNTIF('BOM Atual ZPCS12'!F:F,B566)+(1-(SUMIF(Invoice!$A:$A,$B566,Invoice!$B:$B)/100000000000))</f>
        <v>1</v>
      </c>
      <c r="B566" s="52" t="s">
        <v>2975</v>
      </c>
      <c r="C566" s="44" t="s">
        <v>2973</v>
      </c>
      <c r="D566" s="44" t="s">
        <v>147</v>
      </c>
      <c r="E566" s="44" t="s">
        <v>51</v>
      </c>
      <c r="G566" s="44">
        <v>656</v>
      </c>
      <c r="H566" s="44" t="s">
        <v>2537</v>
      </c>
    </row>
    <row r="567" spans="1:8">
      <c r="A567" s="31">
        <f>COUNTIF('BOM Atual ZPCS12'!F:F,B567)+(1-(SUMIF(Invoice!$A:$A,$B567,Invoice!$B:$B)/100000000000))</f>
        <v>2</v>
      </c>
      <c r="B567" s="52" t="s">
        <v>787</v>
      </c>
      <c r="C567" s="44" t="s">
        <v>2976</v>
      </c>
      <c r="D567" s="44" t="s">
        <v>147</v>
      </c>
      <c r="E567" s="44" t="s">
        <v>51</v>
      </c>
      <c r="G567" s="44">
        <v>656</v>
      </c>
      <c r="H567" s="44" t="s">
        <v>2537</v>
      </c>
    </row>
    <row r="568" spans="1:8">
      <c r="A568" s="31">
        <f>COUNTIF('BOM Atual ZPCS12'!F:F,B568)+(1-(SUMIF(Invoice!$A:$A,$B568,Invoice!$B:$B)/100000000000))</f>
        <v>1.9999999000000002</v>
      </c>
      <c r="B568" s="52" t="s">
        <v>789</v>
      </c>
      <c r="C568" s="44" t="s">
        <v>2977</v>
      </c>
      <c r="D568" s="44" t="s">
        <v>147</v>
      </c>
      <c r="E568" s="44" t="s">
        <v>51</v>
      </c>
      <c r="G568" s="44">
        <v>657</v>
      </c>
      <c r="H568" s="44" t="s">
        <v>2537</v>
      </c>
    </row>
    <row r="569" spans="1:8">
      <c r="A569" s="31">
        <f>COUNTIF('BOM Atual ZPCS12'!F:F,B569)+(1-(SUMIF(Invoice!$A:$A,$B569,Invoice!$B:$B)/100000000000))</f>
        <v>2</v>
      </c>
      <c r="B569" s="52" t="s">
        <v>791</v>
      </c>
      <c r="C569" s="44" t="s">
        <v>2978</v>
      </c>
      <c r="D569" s="44" t="s">
        <v>147</v>
      </c>
      <c r="E569" s="44" t="s">
        <v>51</v>
      </c>
      <c r="G569" s="44">
        <v>657</v>
      </c>
      <c r="H569" s="44" t="s">
        <v>2537</v>
      </c>
    </row>
    <row r="570" spans="1:8">
      <c r="A570" s="31">
        <f>COUNTIF('BOM Atual ZPCS12'!F:F,B570)+(1-(SUMIF(Invoice!$A:$A,$B570,Invoice!$B:$B)/100000000000))</f>
        <v>1</v>
      </c>
      <c r="B570" s="52" t="s">
        <v>2979</v>
      </c>
      <c r="C570" s="44" t="s">
        <v>2977</v>
      </c>
      <c r="D570" s="44" t="s">
        <v>147</v>
      </c>
      <c r="E570" s="44" t="s">
        <v>51</v>
      </c>
      <c r="G570" s="44">
        <v>657</v>
      </c>
      <c r="H570" s="44" t="s">
        <v>2537</v>
      </c>
    </row>
    <row r="571" spans="1:8">
      <c r="A571" s="31">
        <f>COUNTIF('BOM Atual ZPCS12'!F:F,B571)+(1-(SUMIF(Invoice!$A:$A,$B571,Invoice!$B:$B)/100000000000))</f>
        <v>2</v>
      </c>
      <c r="B571" s="52" t="s">
        <v>793</v>
      </c>
      <c r="C571" s="44" t="s">
        <v>794</v>
      </c>
      <c r="D571" s="44" t="s">
        <v>147</v>
      </c>
      <c r="E571" s="44" t="s">
        <v>51</v>
      </c>
      <c r="G571" s="44">
        <v>657</v>
      </c>
      <c r="H571" s="44" t="s">
        <v>2537</v>
      </c>
    </row>
    <row r="572" spans="1:8">
      <c r="A572" s="31">
        <f>COUNTIF('BOM Atual ZPCS12'!F:F,B572)+(1-(SUMIF(Invoice!$A:$A,$B572,Invoice!$B:$B)/100000000000))</f>
        <v>1.9999997</v>
      </c>
      <c r="B572" s="52" t="s">
        <v>795</v>
      </c>
      <c r="C572" s="44" t="s">
        <v>2980</v>
      </c>
      <c r="D572" s="44" t="s">
        <v>147</v>
      </c>
      <c r="E572" s="44" t="s">
        <v>51</v>
      </c>
      <c r="G572" s="44">
        <v>658</v>
      </c>
      <c r="H572" s="44" t="s">
        <v>2537</v>
      </c>
    </row>
    <row r="573" spans="1:8">
      <c r="A573" s="31">
        <f>COUNTIF('BOM Atual ZPCS12'!F:F,B573)+(1-(SUMIF(Invoice!$A:$A,$B573,Invoice!$B:$B)/100000000000))</f>
        <v>2</v>
      </c>
      <c r="B573" s="52" t="s">
        <v>797</v>
      </c>
      <c r="C573" s="44" t="s">
        <v>2981</v>
      </c>
      <c r="D573" s="44" t="s">
        <v>147</v>
      </c>
      <c r="E573" s="44" t="s">
        <v>51</v>
      </c>
      <c r="G573" s="44">
        <v>658</v>
      </c>
      <c r="H573" s="44" t="s">
        <v>2537</v>
      </c>
    </row>
    <row r="574" spans="1:8">
      <c r="A574" s="31">
        <f>COUNTIF('BOM Atual ZPCS12'!F:F,B574)+(1-(SUMIF(Invoice!$A:$A,$B574,Invoice!$B:$B)/100000000000))</f>
        <v>1</v>
      </c>
      <c r="B574" s="52" t="s">
        <v>2982</v>
      </c>
      <c r="C574" s="44" t="s">
        <v>2980</v>
      </c>
      <c r="D574" s="44" t="s">
        <v>147</v>
      </c>
      <c r="E574" s="44" t="s">
        <v>51</v>
      </c>
      <c r="G574" s="44">
        <v>658</v>
      </c>
      <c r="H574" s="44" t="s">
        <v>2537</v>
      </c>
    </row>
    <row r="575" spans="1:8">
      <c r="A575" s="31">
        <f>COUNTIF('BOM Atual ZPCS12'!F:F,B575)+(1-(SUMIF(Invoice!$A:$A,$B575,Invoice!$B:$B)/100000000000))</f>
        <v>2</v>
      </c>
      <c r="B575" s="52" t="s">
        <v>799</v>
      </c>
      <c r="C575" s="44" t="s">
        <v>800</v>
      </c>
      <c r="D575" s="44" t="s">
        <v>147</v>
      </c>
      <c r="E575" s="44" t="s">
        <v>51</v>
      </c>
      <c r="G575" s="44">
        <v>658</v>
      </c>
      <c r="H575" s="44" t="s">
        <v>2537</v>
      </c>
    </row>
    <row r="576" spans="1:8">
      <c r="A576" s="31">
        <f>COUNTIF('BOM Atual ZPCS12'!F:F,B576)+(1-(SUMIF(Invoice!$A:$A,$B576,Invoice!$B:$B)/100000000000))</f>
        <v>2</v>
      </c>
      <c r="B576" s="52" t="s">
        <v>801</v>
      </c>
      <c r="C576" s="44" t="s">
        <v>2983</v>
      </c>
      <c r="D576" s="44" t="s">
        <v>147</v>
      </c>
      <c r="E576" s="44" t="s">
        <v>51</v>
      </c>
      <c r="G576" s="44">
        <v>659</v>
      </c>
      <c r="H576" s="44" t="s">
        <v>2537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803</v>
      </c>
      <c r="C577" s="44" t="s">
        <v>2984</v>
      </c>
      <c r="D577" s="44" t="s">
        <v>147</v>
      </c>
      <c r="E577" s="44" t="s">
        <v>51</v>
      </c>
      <c r="G577" s="44">
        <v>659</v>
      </c>
      <c r="H577" s="44" t="s">
        <v>2537</v>
      </c>
    </row>
    <row r="578" spans="1:8">
      <c r="A578" s="31">
        <f>COUNTIF('BOM Atual ZPCS12'!F:F,B578)+(1-(SUMIF(Invoice!$A:$A,$B578,Invoice!$B:$B)/100000000000))</f>
        <v>1</v>
      </c>
      <c r="B578" s="52" t="s">
        <v>2985</v>
      </c>
      <c r="C578" s="44" t="s">
        <v>2983</v>
      </c>
      <c r="D578" s="44" t="s">
        <v>147</v>
      </c>
      <c r="E578" s="44" t="s">
        <v>51</v>
      </c>
      <c r="G578" s="44">
        <v>659</v>
      </c>
      <c r="H578" s="44" t="s">
        <v>2537</v>
      </c>
    </row>
    <row r="579" spans="1:8">
      <c r="A579" s="31">
        <f>COUNTIF('BOM Atual ZPCS12'!F:F,B579)+(1-(SUMIF(Invoice!$A:$A,$B579,Invoice!$B:$B)/100000000000))</f>
        <v>2</v>
      </c>
      <c r="B579" s="52" t="s">
        <v>805</v>
      </c>
      <c r="C579" s="44" t="s">
        <v>806</v>
      </c>
      <c r="D579" s="44" t="s">
        <v>147</v>
      </c>
      <c r="E579" s="44" t="s">
        <v>51</v>
      </c>
      <c r="G579" s="44">
        <v>659</v>
      </c>
      <c r="H579" s="44" t="s">
        <v>2537</v>
      </c>
    </row>
    <row r="580" spans="1:8">
      <c r="A580" s="31">
        <f>COUNTIF('BOM Atual ZPCS12'!F:F,B580)+(1-(SUMIF(Invoice!$A:$A,$B580,Invoice!$B:$B)/100000000000))</f>
        <v>1</v>
      </c>
      <c r="B580" s="52" t="s">
        <v>2986</v>
      </c>
      <c r="C580" s="44" t="s">
        <v>2987</v>
      </c>
      <c r="D580" s="44" t="s">
        <v>147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2988</v>
      </c>
      <c r="C581" s="44" t="s">
        <v>2989</v>
      </c>
      <c r="D581" s="44" t="s">
        <v>147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2990</v>
      </c>
      <c r="C582" s="44" t="s">
        <v>2991</v>
      </c>
      <c r="D582" s="44" t="s">
        <v>147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1</v>
      </c>
      <c r="B583" s="52" t="s">
        <v>2992</v>
      </c>
      <c r="C583" s="44" t="s">
        <v>2993</v>
      </c>
      <c r="D583" s="44" t="s">
        <v>147</v>
      </c>
      <c r="E583" s="44" t="s">
        <v>51</v>
      </c>
      <c r="G583" s="44">
        <v>661</v>
      </c>
      <c r="H583" s="44" t="s">
        <v>2537</v>
      </c>
    </row>
    <row r="584" spans="1:8">
      <c r="A584" s="31">
        <f>COUNTIF('BOM Atual ZPCS12'!F:F,B584)+(1-(SUMIF(Invoice!$A:$A,$B584,Invoice!$B:$B)/100000000000))</f>
        <v>1</v>
      </c>
      <c r="B584" s="52" t="s">
        <v>2994</v>
      </c>
      <c r="C584" s="44" t="s">
        <v>2995</v>
      </c>
      <c r="D584" s="44" t="s">
        <v>147</v>
      </c>
      <c r="E584" s="44" t="s">
        <v>51</v>
      </c>
      <c r="G584" s="44">
        <v>661</v>
      </c>
      <c r="H584" s="44" t="s">
        <v>2537</v>
      </c>
    </row>
    <row r="585" spans="1:8">
      <c r="A585" s="31">
        <f>COUNTIF('BOM Atual ZPCS12'!F:F,B585)+(1-(SUMIF(Invoice!$A:$A,$B585,Invoice!$B:$B)/100000000000))</f>
        <v>1</v>
      </c>
      <c r="B585" s="52" t="s">
        <v>2996</v>
      </c>
      <c r="C585" s="44" t="s">
        <v>2993</v>
      </c>
      <c r="D585" s="44" t="s">
        <v>147</v>
      </c>
      <c r="E585" s="44" t="s">
        <v>51</v>
      </c>
      <c r="G585" s="44">
        <v>661</v>
      </c>
      <c r="H585" s="44" t="s">
        <v>2537</v>
      </c>
    </row>
    <row r="586" spans="1:8">
      <c r="A586" s="31">
        <f>COUNTIF('BOM Atual ZPCS12'!F:F,B586)+(1-(SUMIF(Invoice!$A:$A,$B586,Invoice!$B:$B)/100000000000))</f>
        <v>1</v>
      </c>
      <c r="B586" s="52" t="s">
        <v>2997</v>
      </c>
      <c r="C586" s="44" t="s">
        <v>2998</v>
      </c>
      <c r="D586" s="44" t="s">
        <v>147</v>
      </c>
      <c r="E586" s="44" t="s">
        <v>51</v>
      </c>
      <c r="G586" s="44">
        <v>661</v>
      </c>
      <c r="H586" s="44" t="s">
        <v>2537</v>
      </c>
    </row>
    <row r="587" spans="1:8">
      <c r="A587" s="31">
        <f>COUNTIF('BOM Atual ZPCS12'!F:F,B587)+(1-(SUMIF(Invoice!$A:$A,$B587,Invoice!$B:$B)/100000000000))</f>
        <v>2</v>
      </c>
      <c r="B587" s="52" t="s">
        <v>807</v>
      </c>
      <c r="C587" s="44" t="s">
        <v>808</v>
      </c>
      <c r="D587" s="44" t="s">
        <v>147</v>
      </c>
      <c r="E587" s="44" t="s">
        <v>51</v>
      </c>
      <c r="G587" s="44">
        <v>662</v>
      </c>
      <c r="H587" s="44" t="s">
        <v>2537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809</v>
      </c>
      <c r="C588" s="44" t="s">
        <v>810</v>
      </c>
      <c r="D588" s="44" t="s">
        <v>147</v>
      </c>
      <c r="E588" s="44" t="s">
        <v>51</v>
      </c>
      <c r="G588" s="44">
        <v>662</v>
      </c>
      <c r="H588" s="44" t="s">
        <v>2537</v>
      </c>
    </row>
    <row r="589" spans="1:8">
      <c r="A589" s="31">
        <f>COUNTIF('BOM Atual ZPCS12'!F:F,B589)+(1-(SUMIF(Invoice!$A:$A,$B589,Invoice!$B:$B)/100000000000))</f>
        <v>1</v>
      </c>
      <c r="B589" s="52" t="s">
        <v>2999</v>
      </c>
      <c r="C589" s="44" t="s">
        <v>3000</v>
      </c>
      <c r="D589" s="44" t="s">
        <v>147</v>
      </c>
      <c r="E589" s="44" t="s">
        <v>51</v>
      </c>
      <c r="G589" s="44">
        <v>662</v>
      </c>
      <c r="H589" s="44" t="s">
        <v>2537</v>
      </c>
    </row>
    <row r="590" spans="1:8">
      <c r="A590" s="31">
        <f>COUNTIF('BOM Atual ZPCS12'!F:F,B590)+(1-(SUMIF(Invoice!$A:$A,$B590,Invoice!$B:$B)/100000000000))</f>
        <v>2</v>
      </c>
      <c r="B590" s="52" t="s">
        <v>811</v>
      </c>
      <c r="C590" s="44" t="s">
        <v>812</v>
      </c>
      <c r="D590" s="44" t="s">
        <v>147</v>
      </c>
      <c r="E590" s="44" t="s">
        <v>51</v>
      </c>
      <c r="G590" s="44">
        <v>662</v>
      </c>
      <c r="H590" s="44" t="s">
        <v>2537</v>
      </c>
    </row>
    <row r="591" spans="1:8">
      <c r="A591" s="31">
        <f>COUNTIF('BOM Atual ZPCS12'!F:F,B591)+(1-(SUMIF(Invoice!$A:$A,$B591,Invoice!$B:$B)/100000000000))</f>
        <v>1</v>
      </c>
      <c r="B591" s="52" t="s">
        <v>3001</v>
      </c>
      <c r="C591" s="44" t="s">
        <v>3002</v>
      </c>
      <c r="D591" s="44" t="s">
        <v>147</v>
      </c>
      <c r="E591" s="44" t="s">
        <v>51</v>
      </c>
      <c r="G591" s="44">
        <v>663</v>
      </c>
      <c r="H591" s="44" t="s">
        <v>2537</v>
      </c>
    </row>
    <row r="592" spans="1:8">
      <c r="A592" s="31">
        <f>COUNTIF('BOM Atual ZPCS12'!F:F,B592)+(1-(SUMIF(Invoice!$A:$A,$B592,Invoice!$B:$B)/100000000000))</f>
        <v>1</v>
      </c>
      <c r="B592" s="52" t="s">
        <v>3003</v>
      </c>
      <c r="C592" s="44" t="s">
        <v>3004</v>
      </c>
      <c r="D592" s="44" t="s">
        <v>147</v>
      </c>
      <c r="E592" s="44" t="s">
        <v>51</v>
      </c>
      <c r="G592" s="44">
        <v>663</v>
      </c>
      <c r="H592" s="44" t="s">
        <v>2537</v>
      </c>
    </row>
    <row r="593" spans="1:8">
      <c r="A593" s="31">
        <f>COUNTIF('BOM Atual ZPCS12'!F:F,B593)+(1-(SUMIF(Invoice!$A:$A,$B593,Invoice!$B:$B)/100000000000))</f>
        <v>1</v>
      </c>
      <c r="B593" s="52" t="s">
        <v>3005</v>
      </c>
      <c r="C593" s="44" t="s">
        <v>3002</v>
      </c>
      <c r="D593" s="44" t="s">
        <v>147</v>
      </c>
      <c r="E593" s="44" t="s">
        <v>51</v>
      </c>
      <c r="G593" s="44">
        <v>663</v>
      </c>
      <c r="H593" s="44" t="s">
        <v>2537</v>
      </c>
    </row>
    <row r="594" spans="1:8">
      <c r="A594" s="31">
        <f>COUNTIF('BOM Atual ZPCS12'!F:F,B594)+(1-(SUMIF(Invoice!$A:$A,$B594,Invoice!$B:$B)/100000000000))</f>
        <v>1</v>
      </c>
      <c r="B594" s="52" t="s">
        <v>3006</v>
      </c>
      <c r="C594" s="44" t="s">
        <v>3007</v>
      </c>
      <c r="D594" s="44" t="s">
        <v>147</v>
      </c>
      <c r="E594" s="44" t="s">
        <v>51</v>
      </c>
      <c r="G594" s="44">
        <v>663</v>
      </c>
      <c r="H594" s="44" t="s">
        <v>2537</v>
      </c>
    </row>
    <row r="595" spans="1:8">
      <c r="A595" s="31">
        <f>COUNTIF('BOM Atual ZPCS12'!F:F,B595)+(1-(SUMIF(Invoice!$A:$A,$B595,Invoice!$B:$B)/100000000000))</f>
        <v>1.9999999000000002</v>
      </c>
      <c r="B595" s="52" t="s">
        <v>826</v>
      </c>
      <c r="C595" s="44" t="s">
        <v>3008</v>
      </c>
      <c r="D595" s="44" t="s">
        <v>147</v>
      </c>
      <c r="E595" s="44" t="s">
        <v>51</v>
      </c>
      <c r="G595" s="44">
        <v>664</v>
      </c>
      <c r="H595" s="44" t="s">
        <v>2537</v>
      </c>
    </row>
    <row r="596" spans="1:8">
      <c r="A596" s="31">
        <f>COUNTIF('BOM Atual ZPCS12'!F:F,B596)+(1-(SUMIF(Invoice!$A:$A,$B596,Invoice!$B:$B)/100000000000))</f>
        <v>2</v>
      </c>
      <c r="B596" s="52" t="s">
        <v>829</v>
      </c>
      <c r="C596" s="44" t="s">
        <v>3009</v>
      </c>
      <c r="D596" s="44" t="s">
        <v>147</v>
      </c>
      <c r="E596" s="44" t="s">
        <v>51</v>
      </c>
      <c r="G596" s="44">
        <v>664</v>
      </c>
      <c r="H596" s="44" t="s">
        <v>2537</v>
      </c>
    </row>
    <row r="597" spans="1:8">
      <c r="A597" s="31">
        <f>COUNTIF('BOM Atual ZPCS12'!F:F,B597)+(1-(SUMIF(Invoice!$A:$A,$B597,Invoice!$B:$B)/100000000000))</f>
        <v>1</v>
      </c>
      <c r="B597" s="52" t="s">
        <v>3010</v>
      </c>
      <c r="C597" s="44" t="s">
        <v>3008</v>
      </c>
      <c r="D597" s="44" t="s">
        <v>147</v>
      </c>
      <c r="E597" s="44" t="s">
        <v>51</v>
      </c>
      <c r="G597" s="44">
        <v>664</v>
      </c>
      <c r="H597" s="44" t="s">
        <v>2537</v>
      </c>
    </row>
    <row r="598" spans="1:8">
      <c r="A598" s="31">
        <f>COUNTIF('BOM Atual ZPCS12'!F:F,B598)+(1-(SUMIF(Invoice!$A:$A,$B598,Invoice!$B:$B)/100000000000))</f>
        <v>2</v>
      </c>
      <c r="B598" s="52" t="s">
        <v>831</v>
      </c>
      <c r="C598" s="44" t="s">
        <v>832</v>
      </c>
      <c r="D598" s="44" t="s">
        <v>147</v>
      </c>
      <c r="E598" s="44" t="s">
        <v>51</v>
      </c>
      <c r="G598" s="44">
        <v>664</v>
      </c>
      <c r="H598" s="44" t="s">
        <v>2537</v>
      </c>
    </row>
    <row r="599" spans="1:8">
      <c r="A599" s="31">
        <f>COUNTIF('BOM Atual ZPCS12'!F:F,B599)+(1-(SUMIF(Invoice!$A:$A,$B599,Invoice!$B:$B)/100000000000))</f>
        <v>2</v>
      </c>
      <c r="B599" s="52" t="s">
        <v>847</v>
      </c>
      <c r="C599" s="44" t="s">
        <v>848</v>
      </c>
      <c r="D599" s="44" t="s">
        <v>147</v>
      </c>
      <c r="E599" s="44" t="s">
        <v>51</v>
      </c>
      <c r="G599" s="44">
        <v>665</v>
      </c>
      <c r="H599" s="44" t="s">
        <v>2537</v>
      </c>
    </row>
    <row r="600" spans="1:8">
      <c r="A600" s="31">
        <f>COUNTIF('BOM Atual ZPCS12'!F:F,B600)+(1-(SUMIF(Invoice!$A:$A,$B600,Invoice!$B:$B)/100000000000))</f>
        <v>2</v>
      </c>
      <c r="B600" s="52" t="s">
        <v>850</v>
      </c>
      <c r="C600" s="44" t="s">
        <v>3011</v>
      </c>
      <c r="D600" s="44" t="s">
        <v>147</v>
      </c>
      <c r="E600" s="44" t="s">
        <v>51</v>
      </c>
      <c r="G600" s="44">
        <v>665</v>
      </c>
      <c r="H600" s="44" t="s">
        <v>2537</v>
      </c>
    </row>
    <row r="601" spans="1:8">
      <c r="A601" s="31">
        <f>COUNTIF('BOM Atual ZPCS12'!F:F,B601)+(1-(SUMIF(Invoice!$A:$A,$B601,Invoice!$B:$B)/100000000000))</f>
        <v>1</v>
      </c>
      <c r="B601" s="52" t="s">
        <v>3012</v>
      </c>
      <c r="C601" s="44" t="s">
        <v>3013</v>
      </c>
      <c r="D601" s="44" t="s">
        <v>147</v>
      </c>
      <c r="E601" s="44" t="s">
        <v>51</v>
      </c>
      <c r="G601" s="44">
        <v>665</v>
      </c>
      <c r="H601" s="44" t="s">
        <v>2537</v>
      </c>
    </row>
    <row r="602" spans="1:8">
      <c r="A602" s="31">
        <f>COUNTIF('BOM Atual ZPCS12'!F:F,B602)+(1-(SUMIF(Invoice!$A:$A,$B602,Invoice!$B:$B)/100000000000))</f>
        <v>1.9999999000000002</v>
      </c>
      <c r="B602" s="52" t="s">
        <v>852</v>
      </c>
      <c r="C602" s="44" t="s">
        <v>853</v>
      </c>
      <c r="D602" s="44" t="s">
        <v>147</v>
      </c>
      <c r="E602" s="44" t="s">
        <v>51</v>
      </c>
      <c r="G602" s="44">
        <v>665</v>
      </c>
      <c r="H602" s="44" t="s">
        <v>2537</v>
      </c>
    </row>
    <row r="603" spans="1:8">
      <c r="A603" s="31">
        <f>COUNTIF('BOM Atual ZPCS12'!F:F,B603)+(1-(SUMIF(Invoice!$A:$A,$B603,Invoice!$B:$B)/100000000000))</f>
        <v>1</v>
      </c>
      <c r="B603" s="52" t="s">
        <v>3014</v>
      </c>
      <c r="C603" s="44" t="s">
        <v>3015</v>
      </c>
      <c r="D603" s="44" t="s">
        <v>147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3016</v>
      </c>
      <c r="C604" s="44" t="s">
        <v>3017</v>
      </c>
      <c r="D604" s="44" t="s">
        <v>147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3018</v>
      </c>
      <c r="C605" s="44" t="s">
        <v>3019</v>
      </c>
      <c r="D605" s="44" t="s">
        <v>147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3020</v>
      </c>
      <c r="C606" s="44" t="s">
        <v>3021</v>
      </c>
      <c r="D606" s="44" t="s">
        <v>147</v>
      </c>
      <c r="E606" s="44" t="s">
        <v>51</v>
      </c>
      <c r="G606" s="44">
        <v>667</v>
      </c>
      <c r="H606" s="44" t="s">
        <v>2537</v>
      </c>
    </row>
    <row r="607" spans="1:8">
      <c r="A607" s="31">
        <f>COUNTIF('BOM Atual ZPCS12'!F:F,B607)+(1-(SUMIF(Invoice!$A:$A,$B607,Invoice!$B:$B)/100000000000))</f>
        <v>1</v>
      </c>
      <c r="B607" s="52" t="s">
        <v>3022</v>
      </c>
      <c r="C607" s="44" t="s">
        <v>3023</v>
      </c>
      <c r="D607" s="44" t="s">
        <v>147</v>
      </c>
      <c r="E607" s="44" t="s">
        <v>51</v>
      </c>
      <c r="G607" s="44">
        <v>667</v>
      </c>
      <c r="H607" s="44" t="s">
        <v>2537</v>
      </c>
    </row>
    <row r="608" spans="1:8">
      <c r="A608" s="31">
        <f>COUNTIF('BOM Atual ZPCS12'!F:F,B608)+(1-(SUMIF(Invoice!$A:$A,$B608,Invoice!$B:$B)/100000000000))</f>
        <v>1</v>
      </c>
      <c r="B608" s="52" t="s">
        <v>3024</v>
      </c>
      <c r="C608" s="44" t="s">
        <v>3021</v>
      </c>
      <c r="D608" s="44" t="s">
        <v>147</v>
      </c>
      <c r="E608" s="44" t="s">
        <v>51</v>
      </c>
      <c r="G608" s="44">
        <v>667</v>
      </c>
      <c r="H608" s="44" t="s">
        <v>2537</v>
      </c>
    </row>
    <row r="609" spans="1:8">
      <c r="A609" s="31">
        <f>COUNTIF('BOM Atual ZPCS12'!F:F,B609)+(1-(SUMIF(Invoice!$A:$A,$B609,Invoice!$B:$B)/100000000000))</f>
        <v>1</v>
      </c>
      <c r="B609" s="52" t="s">
        <v>3025</v>
      </c>
      <c r="C609" s="44" t="s">
        <v>3026</v>
      </c>
      <c r="D609" s="44" t="s">
        <v>147</v>
      </c>
      <c r="E609" s="44" t="s">
        <v>51</v>
      </c>
      <c r="G609" s="44">
        <v>667</v>
      </c>
      <c r="H609" s="44" t="s">
        <v>2537</v>
      </c>
    </row>
    <row r="610" spans="1:8">
      <c r="A610" s="31">
        <f>COUNTIF('BOM Atual ZPCS12'!F:F,B610)+(1-(SUMIF(Invoice!$A:$A,$B610,Invoice!$B:$B)/100000000000))</f>
        <v>1.9999999000000002</v>
      </c>
      <c r="B610" s="52" t="s">
        <v>866</v>
      </c>
      <c r="C610" s="44" t="s">
        <v>3027</v>
      </c>
      <c r="D610" s="44" t="s">
        <v>147</v>
      </c>
      <c r="E610" s="44" t="s">
        <v>51</v>
      </c>
      <c r="G610" s="44">
        <v>668</v>
      </c>
      <c r="H610" s="44" t="s">
        <v>2537</v>
      </c>
    </row>
    <row r="611" spans="1:8">
      <c r="A611" s="31">
        <f>COUNTIF('BOM Atual ZPCS12'!F:F,B611)+(1-(SUMIF(Invoice!$A:$A,$B611,Invoice!$B:$B)/100000000000))</f>
        <v>2</v>
      </c>
      <c r="B611" s="52" t="s">
        <v>869</v>
      </c>
      <c r="C611" s="44" t="s">
        <v>3028</v>
      </c>
      <c r="D611" s="44" t="s">
        <v>147</v>
      </c>
      <c r="E611" s="44" t="s">
        <v>51</v>
      </c>
      <c r="G611" s="44">
        <v>668</v>
      </c>
      <c r="H611" s="44" t="s">
        <v>2537</v>
      </c>
    </row>
    <row r="612" spans="1:8">
      <c r="A612" s="31">
        <f>COUNTIF('BOM Atual ZPCS12'!F:F,B612)+(1-(SUMIF(Invoice!$A:$A,$B612,Invoice!$B:$B)/100000000000))</f>
        <v>1</v>
      </c>
      <c r="B612" s="52" t="s">
        <v>3029</v>
      </c>
      <c r="C612" s="44" t="s">
        <v>3027</v>
      </c>
      <c r="D612" s="44" t="s">
        <v>147</v>
      </c>
      <c r="E612" s="44" t="s">
        <v>51</v>
      </c>
      <c r="G612" s="44">
        <v>668</v>
      </c>
      <c r="H612" s="44" t="s">
        <v>2537</v>
      </c>
    </row>
    <row r="613" spans="1:8">
      <c r="A613" s="31">
        <f>COUNTIF('BOM Atual ZPCS12'!F:F,B613)+(1-(SUMIF(Invoice!$A:$A,$B613,Invoice!$B:$B)/100000000000))</f>
        <v>2</v>
      </c>
      <c r="B613" s="52" t="s">
        <v>871</v>
      </c>
      <c r="C613" s="44" t="s">
        <v>872</v>
      </c>
      <c r="D613" s="44" t="s">
        <v>147</v>
      </c>
      <c r="E613" s="44" t="s">
        <v>51</v>
      </c>
      <c r="G613" s="44">
        <v>668</v>
      </c>
      <c r="H613" s="44" t="s">
        <v>2537</v>
      </c>
    </row>
    <row r="614" spans="1:8">
      <c r="A614" s="31">
        <f>COUNTIF('BOM Atual ZPCS12'!F:F,B614)+(1-(SUMIF(Invoice!$A:$A,$B614,Invoice!$B:$B)/100000000000))</f>
        <v>1</v>
      </c>
      <c r="B614" s="52" t="s">
        <v>3030</v>
      </c>
      <c r="C614" s="44" t="s">
        <v>3031</v>
      </c>
      <c r="D614" s="44" t="s">
        <v>147</v>
      </c>
      <c r="E614" s="44" t="s">
        <v>51</v>
      </c>
      <c r="G614" s="44">
        <v>669</v>
      </c>
      <c r="H614" s="44" t="s">
        <v>2537</v>
      </c>
    </row>
    <row r="615" spans="1:8">
      <c r="A615" s="31">
        <f>COUNTIF('BOM Atual ZPCS12'!F:F,B615)+(1-(SUMIF(Invoice!$A:$A,$B615,Invoice!$B:$B)/100000000000))</f>
        <v>1</v>
      </c>
      <c r="B615" s="52" t="s">
        <v>3032</v>
      </c>
      <c r="C615" s="44" t="s">
        <v>3033</v>
      </c>
      <c r="D615" s="44" t="s">
        <v>147</v>
      </c>
      <c r="E615" s="44" t="s">
        <v>51</v>
      </c>
      <c r="G615" s="44">
        <v>669</v>
      </c>
      <c r="H615" s="44" t="s">
        <v>2537</v>
      </c>
    </row>
    <row r="616" spans="1:8">
      <c r="A616" s="31">
        <f>COUNTIF('BOM Atual ZPCS12'!F:F,B616)+(1-(SUMIF(Invoice!$A:$A,$B616,Invoice!$B:$B)/100000000000))</f>
        <v>1</v>
      </c>
      <c r="B616" s="52" t="s">
        <v>3034</v>
      </c>
      <c r="C616" s="44" t="s">
        <v>3035</v>
      </c>
      <c r="D616" s="44" t="s">
        <v>147</v>
      </c>
      <c r="E616" s="44" t="s">
        <v>51</v>
      </c>
      <c r="G616" s="44">
        <v>669</v>
      </c>
      <c r="H616" s="44" t="s">
        <v>2537</v>
      </c>
    </row>
    <row r="617" spans="1:8">
      <c r="A617" s="31">
        <f>COUNTIF('BOM Atual ZPCS12'!F:F,B617)+(1-(SUMIF(Invoice!$A:$A,$B617,Invoice!$B:$B)/100000000000))</f>
        <v>1</v>
      </c>
      <c r="B617" s="52" t="s">
        <v>3036</v>
      </c>
      <c r="C617" s="44" t="s">
        <v>3037</v>
      </c>
      <c r="D617" s="44" t="s">
        <v>147</v>
      </c>
      <c r="E617" s="44" t="s">
        <v>51</v>
      </c>
      <c r="G617" s="44">
        <v>669</v>
      </c>
      <c r="H617" s="44" t="s">
        <v>2537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873</v>
      </c>
      <c r="C618" s="44" t="s">
        <v>874</v>
      </c>
      <c r="D618" s="44" t="s">
        <v>147</v>
      </c>
      <c r="E618" s="44" t="s">
        <v>51</v>
      </c>
      <c r="G618" s="44">
        <v>670</v>
      </c>
      <c r="H618" s="44" t="s">
        <v>2537</v>
      </c>
    </row>
    <row r="619" spans="1:8">
      <c r="A619" s="31">
        <f>COUNTIF('BOM Atual ZPCS12'!F:F,B619)+(1-(SUMIF(Invoice!$A:$A,$B619,Invoice!$B:$B)/100000000000))</f>
        <v>2</v>
      </c>
      <c r="B619" s="52" t="s">
        <v>876</v>
      </c>
      <c r="C619" s="44" t="s">
        <v>877</v>
      </c>
      <c r="D619" s="44" t="s">
        <v>147</v>
      </c>
      <c r="E619" s="44" t="s">
        <v>51</v>
      </c>
      <c r="G619" s="44">
        <v>670</v>
      </c>
      <c r="H619" s="44" t="s">
        <v>2537</v>
      </c>
    </row>
    <row r="620" spans="1:8">
      <c r="A620" s="31">
        <f>COUNTIF('BOM Atual ZPCS12'!F:F,B620)+(1-(SUMIF(Invoice!$A:$A,$B620,Invoice!$B:$B)/100000000000))</f>
        <v>1</v>
      </c>
      <c r="B620" s="52" t="s">
        <v>3038</v>
      </c>
      <c r="C620" s="44" t="s">
        <v>3039</v>
      </c>
      <c r="D620" s="44" t="s">
        <v>147</v>
      </c>
      <c r="E620" s="44" t="s">
        <v>51</v>
      </c>
      <c r="G620" s="44">
        <v>670</v>
      </c>
      <c r="H620" s="44" t="s">
        <v>2537</v>
      </c>
    </row>
    <row r="621" spans="1:8">
      <c r="A621" s="31">
        <f>COUNTIF('BOM Atual ZPCS12'!F:F,B621)+(1-(SUMIF(Invoice!$A:$A,$B621,Invoice!$B:$B)/100000000000))</f>
        <v>2</v>
      </c>
      <c r="B621" s="52" t="s">
        <v>878</v>
      </c>
      <c r="C621" s="44" t="s">
        <v>3040</v>
      </c>
      <c r="D621" s="44" t="s">
        <v>147</v>
      </c>
      <c r="E621" s="44" t="s">
        <v>51</v>
      </c>
      <c r="G621" s="44">
        <v>670</v>
      </c>
      <c r="H621" s="44" t="s">
        <v>2537</v>
      </c>
    </row>
    <row r="622" spans="1:8">
      <c r="A622" s="31">
        <f>COUNTIF('BOM Atual ZPCS12'!F:F,B622)+(1-(SUMIF(Invoice!$A:$A,$B622,Invoice!$B:$B)/100000000000))</f>
        <v>1.9999999000000002</v>
      </c>
      <c r="B622" s="52" t="s">
        <v>880</v>
      </c>
      <c r="C622" s="44" t="s">
        <v>881</v>
      </c>
      <c r="D622" s="44" t="s">
        <v>147</v>
      </c>
      <c r="E622" s="44" t="s">
        <v>51</v>
      </c>
      <c r="G622" s="44">
        <v>671</v>
      </c>
      <c r="H622" s="44" t="s">
        <v>2537</v>
      </c>
    </row>
    <row r="623" spans="1:8">
      <c r="A623" s="31">
        <f>COUNTIF('BOM Atual ZPCS12'!F:F,B623)+(1-(SUMIF(Invoice!$A:$A,$B623,Invoice!$B:$B)/100000000000))</f>
        <v>2</v>
      </c>
      <c r="B623" s="52" t="s">
        <v>883</v>
      </c>
      <c r="C623" s="44" t="s">
        <v>884</v>
      </c>
      <c r="D623" s="44" t="s">
        <v>147</v>
      </c>
      <c r="E623" s="44" t="s">
        <v>51</v>
      </c>
      <c r="G623" s="44">
        <v>671</v>
      </c>
      <c r="H623" s="44" t="s">
        <v>2537</v>
      </c>
    </row>
    <row r="624" spans="1:8">
      <c r="A624" s="31">
        <f>COUNTIF('BOM Atual ZPCS12'!F:F,B624)+(1-(SUMIF(Invoice!$A:$A,$B624,Invoice!$B:$B)/100000000000))</f>
        <v>1</v>
      </c>
      <c r="B624" s="52" t="s">
        <v>3041</v>
      </c>
      <c r="C624" s="44" t="s">
        <v>3042</v>
      </c>
      <c r="D624" s="44" t="s">
        <v>147</v>
      </c>
      <c r="E624" s="44" t="s">
        <v>51</v>
      </c>
      <c r="G624" s="44">
        <v>671</v>
      </c>
      <c r="H624" s="44" t="s">
        <v>2537</v>
      </c>
    </row>
    <row r="625" spans="1:8">
      <c r="A625" s="31">
        <f>COUNTIF('BOM Atual ZPCS12'!F:F,B625)+(1-(SUMIF(Invoice!$A:$A,$B625,Invoice!$B:$B)/100000000000))</f>
        <v>2</v>
      </c>
      <c r="B625" s="52" t="s">
        <v>885</v>
      </c>
      <c r="C625" s="44" t="s">
        <v>886</v>
      </c>
      <c r="D625" s="44" t="s">
        <v>147</v>
      </c>
      <c r="E625" s="44" t="s">
        <v>51</v>
      </c>
      <c r="G625" s="44">
        <v>671</v>
      </c>
      <c r="H625" s="44" t="s">
        <v>2537</v>
      </c>
    </row>
    <row r="626" spans="1:8">
      <c r="A626" s="31">
        <f>COUNTIF('BOM Atual ZPCS12'!F:F,B626)+(1-(SUMIF(Invoice!$A:$A,$B626,Invoice!$B:$B)/100000000000))</f>
        <v>1.9999997</v>
      </c>
      <c r="B626" s="52" t="s">
        <v>887</v>
      </c>
      <c r="C626" s="44" t="s">
        <v>888</v>
      </c>
      <c r="D626" s="44" t="s">
        <v>147</v>
      </c>
      <c r="E626" s="44" t="s">
        <v>51</v>
      </c>
      <c r="G626" s="44">
        <v>672</v>
      </c>
      <c r="H626" s="44" t="s">
        <v>2537</v>
      </c>
    </row>
    <row r="627" spans="1:8">
      <c r="A627" s="31">
        <f>COUNTIF('BOM Atual ZPCS12'!F:F,B627)+(1-(SUMIF(Invoice!$A:$A,$B627,Invoice!$B:$B)/100000000000))</f>
        <v>2</v>
      </c>
      <c r="B627" s="52" t="s">
        <v>890</v>
      </c>
      <c r="C627" s="44" t="s">
        <v>891</v>
      </c>
      <c r="D627" s="44" t="s">
        <v>147</v>
      </c>
      <c r="E627" s="44" t="s">
        <v>51</v>
      </c>
      <c r="G627" s="44">
        <v>672</v>
      </c>
      <c r="H627" s="44" t="s">
        <v>2537</v>
      </c>
    </row>
    <row r="628" spans="1:8">
      <c r="A628" s="31">
        <f>COUNTIF('BOM Atual ZPCS12'!F:F,B628)+(1-(SUMIF(Invoice!$A:$A,$B628,Invoice!$B:$B)/100000000000))</f>
        <v>1</v>
      </c>
      <c r="B628" s="52" t="s">
        <v>3043</v>
      </c>
      <c r="C628" s="44" t="s">
        <v>3044</v>
      </c>
      <c r="D628" s="44" t="s">
        <v>147</v>
      </c>
      <c r="E628" s="44" t="s">
        <v>51</v>
      </c>
      <c r="G628" s="44">
        <v>672</v>
      </c>
      <c r="H628" s="44" t="s">
        <v>2537</v>
      </c>
    </row>
    <row r="629" spans="1:8">
      <c r="A629" s="31">
        <f>COUNTIF('BOM Atual ZPCS12'!F:F,B629)+(1-(SUMIF(Invoice!$A:$A,$B629,Invoice!$B:$B)/100000000000))</f>
        <v>2</v>
      </c>
      <c r="B629" s="52" t="s">
        <v>892</v>
      </c>
      <c r="C629" s="44" t="s">
        <v>893</v>
      </c>
      <c r="D629" s="44" t="s">
        <v>147</v>
      </c>
      <c r="E629" s="44" t="s">
        <v>51</v>
      </c>
      <c r="G629" s="44">
        <v>672</v>
      </c>
      <c r="H629" s="44" t="s">
        <v>2537</v>
      </c>
    </row>
    <row r="630" spans="1:8">
      <c r="A630" s="31">
        <f>COUNTIF('BOM Atual ZPCS12'!F:F,B630)+(1-(SUMIF(Invoice!$A:$A,$B630,Invoice!$B:$B)/100000000000))</f>
        <v>1.9999999000000002</v>
      </c>
      <c r="B630" s="52" t="s">
        <v>901</v>
      </c>
      <c r="C630" s="44" t="s">
        <v>902</v>
      </c>
      <c r="D630" s="44" t="s">
        <v>147</v>
      </c>
      <c r="E630" s="44" t="s">
        <v>51</v>
      </c>
      <c r="G630" s="44">
        <v>673</v>
      </c>
      <c r="H630" s="44" t="s">
        <v>2537</v>
      </c>
    </row>
    <row r="631" spans="1:8">
      <c r="A631" s="31">
        <f>COUNTIF('BOM Atual ZPCS12'!F:F,B631)+(1-(SUMIF(Invoice!$A:$A,$B631,Invoice!$B:$B)/100000000000))</f>
        <v>2</v>
      </c>
      <c r="B631" s="52" t="s">
        <v>904</v>
      </c>
      <c r="C631" s="44" t="s">
        <v>905</v>
      </c>
      <c r="D631" s="44" t="s">
        <v>147</v>
      </c>
      <c r="E631" s="44" t="s">
        <v>51</v>
      </c>
      <c r="G631" s="44">
        <v>673</v>
      </c>
      <c r="H631" s="44" t="s">
        <v>2537</v>
      </c>
    </row>
    <row r="632" spans="1:8">
      <c r="A632" s="31">
        <f>COUNTIF('BOM Atual ZPCS12'!F:F,B632)+(1-(SUMIF(Invoice!$A:$A,$B632,Invoice!$B:$B)/100000000000))</f>
        <v>1</v>
      </c>
      <c r="B632" s="52" t="s">
        <v>3045</v>
      </c>
      <c r="C632" s="44" t="s">
        <v>3046</v>
      </c>
      <c r="D632" s="44" t="s">
        <v>147</v>
      </c>
      <c r="E632" s="44" t="s">
        <v>51</v>
      </c>
      <c r="G632" s="44">
        <v>673</v>
      </c>
      <c r="H632" s="44" t="s">
        <v>2537</v>
      </c>
    </row>
    <row r="633" spans="1:8">
      <c r="A633" s="31">
        <f>COUNTIF('BOM Atual ZPCS12'!F:F,B633)+(1-(SUMIF(Invoice!$A:$A,$B633,Invoice!$B:$B)/100000000000))</f>
        <v>2</v>
      </c>
      <c r="B633" s="52" t="s">
        <v>906</v>
      </c>
      <c r="C633" s="44" t="s">
        <v>907</v>
      </c>
      <c r="D633" s="44" t="s">
        <v>147</v>
      </c>
      <c r="E633" s="44" t="s">
        <v>51</v>
      </c>
      <c r="G633" s="44">
        <v>673</v>
      </c>
      <c r="H633" s="44" t="s">
        <v>2537</v>
      </c>
    </row>
    <row r="634" spans="1:8">
      <c r="A634" s="31">
        <f>COUNTIF('BOM Atual ZPCS12'!F:F,B634)+(1-(SUMIF(Invoice!$A:$A,$B634,Invoice!$B:$B)/100000000000))</f>
        <v>1</v>
      </c>
      <c r="B634" s="52" t="s">
        <v>3047</v>
      </c>
      <c r="C634" s="44" t="s">
        <v>3048</v>
      </c>
      <c r="D634" s="44" t="s">
        <v>147</v>
      </c>
      <c r="E634" s="44" t="s">
        <v>51</v>
      </c>
      <c r="G634" s="44">
        <v>674</v>
      </c>
      <c r="H634" s="44" t="s">
        <v>2537</v>
      </c>
    </row>
    <row r="635" spans="1:8">
      <c r="A635" s="31">
        <f>COUNTIF('BOM Atual ZPCS12'!F:F,B635)+(1-(SUMIF(Invoice!$A:$A,$B635,Invoice!$B:$B)/100000000000))</f>
        <v>1</v>
      </c>
      <c r="B635" s="52" t="s">
        <v>3049</v>
      </c>
      <c r="C635" s="44" t="s">
        <v>3048</v>
      </c>
      <c r="D635" s="44" t="s">
        <v>147</v>
      </c>
      <c r="E635" s="44" t="s">
        <v>51</v>
      </c>
      <c r="G635" s="44">
        <v>674</v>
      </c>
      <c r="H635" s="44" t="s">
        <v>2537</v>
      </c>
    </row>
    <row r="636" spans="1:8">
      <c r="A636" s="31">
        <f>COUNTIF('BOM Atual ZPCS12'!F:F,B636)+(1-(SUMIF(Invoice!$A:$A,$B636,Invoice!$B:$B)/100000000000))</f>
        <v>1</v>
      </c>
      <c r="B636" s="52" t="s">
        <v>3050</v>
      </c>
      <c r="C636" s="44" t="s">
        <v>3048</v>
      </c>
      <c r="D636" s="44" t="s">
        <v>147</v>
      </c>
      <c r="E636" s="44" t="s">
        <v>51</v>
      </c>
      <c r="G636" s="44">
        <v>674</v>
      </c>
      <c r="H636" s="44" t="s">
        <v>2537</v>
      </c>
    </row>
    <row r="637" spans="1:8">
      <c r="A637" s="31">
        <f>COUNTIF('BOM Atual ZPCS12'!F:F,B637)+(1-(SUMIF(Invoice!$A:$A,$B637,Invoice!$B:$B)/100000000000))</f>
        <v>1</v>
      </c>
      <c r="B637" s="52" t="s">
        <v>3051</v>
      </c>
      <c r="C637" s="44" t="s">
        <v>3052</v>
      </c>
      <c r="D637" s="44" t="s">
        <v>147</v>
      </c>
      <c r="E637" s="44" t="s">
        <v>51</v>
      </c>
      <c r="G637" s="44">
        <v>674</v>
      </c>
      <c r="H637" s="44" t="s">
        <v>2537</v>
      </c>
    </row>
    <row r="638" spans="1:8">
      <c r="A638" s="31">
        <f>COUNTIF('BOM Atual ZPCS12'!F:F,B638)+(1-(SUMIF(Invoice!$A:$A,$B638,Invoice!$B:$B)/100000000000))</f>
        <v>2</v>
      </c>
      <c r="B638" s="52" t="s">
        <v>917</v>
      </c>
      <c r="C638" s="44" t="s">
        <v>3053</v>
      </c>
      <c r="D638" s="44" t="s">
        <v>147</v>
      </c>
      <c r="E638" s="44" t="s">
        <v>51</v>
      </c>
      <c r="G638" s="44">
        <v>675</v>
      </c>
      <c r="H638" s="44" t="s">
        <v>2537</v>
      </c>
    </row>
    <row r="639" spans="1:8">
      <c r="A639" s="31">
        <f>COUNTIF('BOM Atual ZPCS12'!F:F,B639)+(1-(SUMIF(Invoice!$A:$A,$B639,Invoice!$B:$B)/100000000000))</f>
        <v>1.9999999000000002</v>
      </c>
      <c r="B639" s="52" t="s">
        <v>920</v>
      </c>
      <c r="C639" s="44" t="s">
        <v>3054</v>
      </c>
      <c r="D639" s="44" t="s">
        <v>147</v>
      </c>
      <c r="E639" s="44" t="s">
        <v>51</v>
      </c>
      <c r="G639" s="44">
        <v>675</v>
      </c>
      <c r="H639" s="44" t="s">
        <v>2537</v>
      </c>
    </row>
    <row r="640" spans="1:8">
      <c r="A640" s="31">
        <f>COUNTIF('BOM Atual ZPCS12'!F:F,B640)+(1-(SUMIF(Invoice!$A:$A,$B640,Invoice!$B:$B)/100000000000))</f>
        <v>1</v>
      </c>
      <c r="B640" s="52" t="s">
        <v>3055</v>
      </c>
      <c r="C640" s="44" t="s">
        <v>3054</v>
      </c>
      <c r="D640" s="44" t="s">
        <v>147</v>
      </c>
      <c r="E640" s="44" t="s">
        <v>51</v>
      </c>
      <c r="G640" s="44">
        <v>675</v>
      </c>
      <c r="H640" s="44" t="s">
        <v>2537</v>
      </c>
    </row>
    <row r="641" spans="1:8">
      <c r="A641" s="31">
        <f>COUNTIF('BOM Atual ZPCS12'!F:F,B641)+(1-(SUMIF(Invoice!$A:$A,$B641,Invoice!$B:$B)/100000000000))</f>
        <v>2</v>
      </c>
      <c r="B641" s="52" t="s">
        <v>922</v>
      </c>
      <c r="C641" s="44" t="s">
        <v>923</v>
      </c>
      <c r="D641" s="44" t="s">
        <v>147</v>
      </c>
      <c r="E641" s="44" t="s">
        <v>51</v>
      </c>
      <c r="G641" s="44">
        <v>675</v>
      </c>
      <c r="H641" s="44" t="s">
        <v>2537</v>
      </c>
    </row>
    <row r="642" spans="1:8">
      <c r="A642" s="31">
        <f>COUNTIF('BOM Atual ZPCS12'!F:F,B642)+(1-(SUMIF(Invoice!$A:$A,$B642,Invoice!$B:$B)/100000000000))</f>
        <v>1</v>
      </c>
      <c r="B642" s="52" t="s">
        <v>3056</v>
      </c>
      <c r="C642" s="44" t="s">
        <v>3057</v>
      </c>
      <c r="D642" s="44" t="s">
        <v>147</v>
      </c>
      <c r="E642" s="44" t="s">
        <v>51</v>
      </c>
      <c r="G642" s="44">
        <v>676</v>
      </c>
      <c r="H642" s="44" t="s">
        <v>2537</v>
      </c>
    </row>
    <row r="643" spans="1:8">
      <c r="A643" s="31">
        <f>COUNTIF('BOM Atual ZPCS12'!F:F,B643)+(1-(SUMIF(Invoice!$A:$A,$B643,Invoice!$B:$B)/100000000000))</f>
        <v>1</v>
      </c>
      <c r="B643" s="52" t="s">
        <v>3058</v>
      </c>
      <c r="C643" s="44" t="s">
        <v>3059</v>
      </c>
      <c r="D643" s="44" t="s">
        <v>147</v>
      </c>
      <c r="E643" s="44" t="s">
        <v>51</v>
      </c>
      <c r="G643" s="44">
        <v>676</v>
      </c>
      <c r="H643" s="44" t="s">
        <v>2537</v>
      </c>
    </row>
    <row r="644" spans="1:8">
      <c r="A644" s="31">
        <f>COUNTIF('BOM Atual ZPCS12'!F:F,B644)+(1-(SUMIF(Invoice!$A:$A,$B644,Invoice!$B:$B)/100000000000))</f>
        <v>1</v>
      </c>
      <c r="B644" s="52" t="s">
        <v>3060</v>
      </c>
      <c r="C644" s="44" t="s">
        <v>3057</v>
      </c>
      <c r="D644" s="44" t="s">
        <v>147</v>
      </c>
      <c r="E644" s="44" t="s">
        <v>51</v>
      </c>
      <c r="G644" s="44">
        <v>676</v>
      </c>
      <c r="H644" s="44" t="s">
        <v>2537</v>
      </c>
    </row>
    <row r="645" spans="1:8">
      <c r="A645" s="31">
        <f>COUNTIF('BOM Atual ZPCS12'!F:F,B645)+(1-(SUMIF(Invoice!$A:$A,$B645,Invoice!$B:$B)/100000000000))</f>
        <v>1</v>
      </c>
      <c r="B645" s="52" t="s">
        <v>3061</v>
      </c>
      <c r="C645" s="44" t="s">
        <v>3062</v>
      </c>
      <c r="D645" s="44" t="s">
        <v>147</v>
      </c>
      <c r="E645" s="44" t="s">
        <v>51</v>
      </c>
      <c r="G645" s="44">
        <v>676</v>
      </c>
      <c r="H645" s="44" t="s">
        <v>2537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938</v>
      </c>
      <c r="C646" s="44" t="s">
        <v>939</v>
      </c>
      <c r="D646" s="44" t="s">
        <v>147</v>
      </c>
      <c r="E646" s="44" t="s">
        <v>51</v>
      </c>
      <c r="G646" s="44">
        <v>677</v>
      </c>
      <c r="H646" s="44" t="s">
        <v>2537</v>
      </c>
    </row>
    <row r="647" spans="1:8">
      <c r="A647" s="31">
        <f>COUNTIF('BOM Atual ZPCS12'!F:F,B647)+(1-(SUMIF(Invoice!$A:$A,$B647,Invoice!$B:$B)/100000000000))</f>
        <v>2</v>
      </c>
      <c r="B647" s="52" t="s">
        <v>941</v>
      </c>
      <c r="C647" s="44" t="s">
        <v>942</v>
      </c>
      <c r="D647" s="44" t="s">
        <v>147</v>
      </c>
      <c r="E647" s="44" t="s">
        <v>51</v>
      </c>
      <c r="G647" s="44">
        <v>677</v>
      </c>
      <c r="H647" s="44" t="s">
        <v>2537</v>
      </c>
    </row>
    <row r="648" spans="1:8">
      <c r="A648" s="31">
        <f>COUNTIF('BOM Atual ZPCS12'!F:F,B648)+(1-(SUMIF(Invoice!$A:$A,$B648,Invoice!$B:$B)/100000000000))</f>
        <v>1</v>
      </c>
      <c r="B648" s="52" t="s">
        <v>3063</v>
      </c>
      <c r="C648" s="44" t="s">
        <v>3064</v>
      </c>
      <c r="D648" s="44" t="s">
        <v>147</v>
      </c>
      <c r="E648" s="44" t="s">
        <v>51</v>
      </c>
      <c r="G648" s="44">
        <v>677</v>
      </c>
      <c r="H648" s="44" t="s">
        <v>2537</v>
      </c>
    </row>
    <row r="649" spans="1:8">
      <c r="A649" s="31">
        <f>COUNTIF('BOM Atual ZPCS12'!F:F,B649)+(1-(SUMIF(Invoice!$A:$A,$B649,Invoice!$B:$B)/100000000000))</f>
        <v>2</v>
      </c>
      <c r="B649" s="52" t="s">
        <v>943</v>
      </c>
      <c r="C649" s="44" t="s">
        <v>944</v>
      </c>
      <c r="D649" s="44" t="s">
        <v>147</v>
      </c>
      <c r="E649" s="44" t="s">
        <v>51</v>
      </c>
      <c r="G649" s="44">
        <v>677</v>
      </c>
      <c r="H649" s="44" t="s">
        <v>2537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954</v>
      </c>
      <c r="C650" s="44" t="s">
        <v>3065</v>
      </c>
      <c r="D650" s="44" t="s">
        <v>147</v>
      </c>
      <c r="E650" s="44" t="s">
        <v>51</v>
      </c>
      <c r="G650" s="44">
        <v>678</v>
      </c>
      <c r="H650" s="44" t="s">
        <v>2537</v>
      </c>
    </row>
    <row r="651" spans="1:8">
      <c r="A651" s="31">
        <f>COUNTIF('BOM Atual ZPCS12'!F:F,B651)+(1-(SUMIF(Invoice!$A:$A,$B651,Invoice!$B:$B)/100000000000))</f>
        <v>2</v>
      </c>
      <c r="B651" s="52" t="s">
        <v>957</v>
      </c>
      <c r="C651" s="44" t="s">
        <v>3065</v>
      </c>
      <c r="D651" s="44" t="s">
        <v>147</v>
      </c>
      <c r="E651" s="44" t="s">
        <v>51</v>
      </c>
      <c r="G651" s="44">
        <v>678</v>
      </c>
      <c r="H651" s="44" t="s">
        <v>2537</v>
      </c>
    </row>
    <row r="652" spans="1:8">
      <c r="A652" s="31">
        <f>COUNTIF('BOM Atual ZPCS12'!F:F,B652)+(1-(SUMIF(Invoice!$A:$A,$B652,Invoice!$B:$B)/100000000000))</f>
        <v>1</v>
      </c>
      <c r="B652" s="52" t="s">
        <v>3066</v>
      </c>
      <c r="C652" s="44" t="s">
        <v>3067</v>
      </c>
      <c r="D652" s="44" t="s">
        <v>147</v>
      </c>
      <c r="E652" s="44" t="s">
        <v>51</v>
      </c>
      <c r="G652" s="44">
        <v>678</v>
      </c>
      <c r="H652" s="44" t="s">
        <v>2537</v>
      </c>
    </row>
    <row r="653" spans="1:8">
      <c r="A653" s="31">
        <f>COUNTIF('BOM Atual ZPCS12'!F:F,B653)+(1-(SUMIF(Invoice!$A:$A,$B653,Invoice!$B:$B)/100000000000))</f>
        <v>2</v>
      </c>
      <c r="B653" s="52" t="s">
        <v>958</v>
      </c>
      <c r="C653" s="44" t="s">
        <v>959</v>
      </c>
      <c r="D653" s="44" t="s">
        <v>147</v>
      </c>
      <c r="E653" s="44" t="s">
        <v>51</v>
      </c>
      <c r="G653" s="44">
        <v>678</v>
      </c>
      <c r="H653" s="44" t="s">
        <v>2537</v>
      </c>
    </row>
    <row r="654" spans="1:8">
      <c r="A654" s="31">
        <f>COUNTIF('BOM Atual ZPCS12'!F:F,B654)+(1-(SUMIF(Invoice!$A:$A,$B654,Invoice!$B:$B)/100000000000))</f>
        <v>1</v>
      </c>
      <c r="B654" s="52" t="s">
        <v>3068</v>
      </c>
      <c r="C654" s="44" t="s">
        <v>3069</v>
      </c>
      <c r="D654" s="44" t="s">
        <v>147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3070</v>
      </c>
      <c r="C655" s="44" t="s">
        <v>3071</v>
      </c>
      <c r="D655" s="44" t="s">
        <v>147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3072</v>
      </c>
      <c r="C656" s="44" t="s">
        <v>3073</v>
      </c>
      <c r="D656" s="44" t="s">
        <v>147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</v>
      </c>
      <c r="B657" s="52" t="s">
        <v>3074</v>
      </c>
      <c r="C657" s="44" t="s">
        <v>3075</v>
      </c>
      <c r="D657" s="44" t="s">
        <v>147</v>
      </c>
      <c r="E657" s="44" t="s">
        <v>51</v>
      </c>
      <c r="G657" s="44">
        <v>680</v>
      </c>
      <c r="H657" s="44" t="s">
        <v>2537</v>
      </c>
    </row>
    <row r="658" spans="1:8">
      <c r="A658" s="31">
        <f>COUNTIF('BOM Atual ZPCS12'!F:F,B658)+(1-(SUMIF(Invoice!$A:$A,$B658,Invoice!$B:$B)/100000000000))</f>
        <v>1</v>
      </c>
      <c r="B658" s="52" t="s">
        <v>3076</v>
      </c>
      <c r="C658" s="44" t="s">
        <v>3077</v>
      </c>
      <c r="D658" s="44" t="s">
        <v>147</v>
      </c>
      <c r="E658" s="44" t="s">
        <v>51</v>
      </c>
      <c r="G658" s="44">
        <v>680</v>
      </c>
      <c r="H658" s="44" t="s">
        <v>2537</v>
      </c>
    </row>
    <row r="659" spans="1:8">
      <c r="A659" s="31">
        <f>COUNTIF('BOM Atual ZPCS12'!F:F,B659)+(1-(SUMIF(Invoice!$A:$A,$B659,Invoice!$B:$B)/100000000000))</f>
        <v>1</v>
      </c>
      <c r="B659" s="52" t="s">
        <v>3078</v>
      </c>
      <c r="C659" s="44" t="s">
        <v>3079</v>
      </c>
      <c r="D659" s="44" t="s">
        <v>147</v>
      </c>
      <c r="E659" s="44" t="s">
        <v>51</v>
      </c>
      <c r="G659" s="44">
        <v>680</v>
      </c>
      <c r="H659" s="44" t="s">
        <v>2537</v>
      </c>
    </row>
    <row r="660" spans="1:8">
      <c r="A660" s="31">
        <f>COUNTIF('BOM Atual ZPCS12'!F:F,B660)+(1-(SUMIF(Invoice!$A:$A,$B660,Invoice!$B:$B)/100000000000))</f>
        <v>1</v>
      </c>
      <c r="B660" s="52" t="s">
        <v>3080</v>
      </c>
      <c r="C660" s="44" t="s">
        <v>3081</v>
      </c>
      <c r="D660" s="44" t="s">
        <v>147</v>
      </c>
      <c r="E660" s="44" t="s">
        <v>51</v>
      </c>
      <c r="G660" s="44">
        <v>680</v>
      </c>
      <c r="H660" s="44" t="s">
        <v>2537</v>
      </c>
    </row>
    <row r="661" spans="1:8">
      <c r="A661" s="31">
        <f>COUNTIF('BOM Atual ZPCS12'!F:F,B661)+(1-(SUMIF(Invoice!$A:$A,$B661,Invoice!$B:$B)/100000000000))</f>
        <v>1</v>
      </c>
      <c r="B661" s="52" t="s">
        <v>3082</v>
      </c>
      <c r="C661" s="44" t="s">
        <v>3083</v>
      </c>
      <c r="D661" s="44" t="s">
        <v>147</v>
      </c>
      <c r="E661" s="44" t="s">
        <v>51</v>
      </c>
      <c r="G661" s="44">
        <v>681</v>
      </c>
      <c r="H661" s="44" t="s">
        <v>2537</v>
      </c>
    </row>
    <row r="662" spans="1:8">
      <c r="A662" s="31">
        <f>COUNTIF('BOM Atual ZPCS12'!F:F,B662)+(1-(SUMIF(Invoice!$A:$A,$B662,Invoice!$B:$B)/100000000000))</f>
        <v>1</v>
      </c>
      <c r="B662" s="52" t="s">
        <v>3084</v>
      </c>
      <c r="C662" s="44" t="s">
        <v>3085</v>
      </c>
      <c r="D662" s="44" t="s">
        <v>147</v>
      </c>
      <c r="E662" s="44" t="s">
        <v>51</v>
      </c>
      <c r="G662" s="44">
        <v>681</v>
      </c>
      <c r="H662" s="44" t="s">
        <v>2537</v>
      </c>
    </row>
    <row r="663" spans="1:8">
      <c r="A663" s="31">
        <f>COUNTIF('BOM Atual ZPCS12'!F:F,B663)+(1-(SUMIF(Invoice!$A:$A,$B663,Invoice!$B:$B)/100000000000))</f>
        <v>1</v>
      </c>
      <c r="B663" s="52" t="s">
        <v>3086</v>
      </c>
      <c r="C663" s="44" t="s">
        <v>3087</v>
      </c>
      <c r="D663" s="44" t="s">
        <v>147</v>
      </c>
      <c r="E663" s="44" t="s">
        <v>51</v>
      </c>
      <c r="G663" s="44">
        <v>681</v>
      </c>
      <c r="H663" s="44" t="s">
        <v>2537</v>
      </c>
    </row>
    <row r="664" spans="1:8">
      <c r="A664" s="31">
        <f>COUNTIF('BOM Atual ZPCS12'!F:F,B664)+(1-(SUMIF(Invoice!$A:$A,$B664,Invoice!$B:$B)/100000000000))</f>
        <v>1</v>
      </c>
      <c r="B664" s="52" t="s">
        <v>3088</v>
      </c>
      <c r="C664" s="44" t="s">
        <v>3089</v>
      </c>
      <c r="D664" s="44" t="s">
        <v>147</v>
      </c>
      <c r="E664" s="44" t="s">
        <v>51</v>
      </c>
      <c r="G664" s="44">
        <v>681</v>
      </c>
      <c r="H664" s="44" t="s">
        <v>2537</v>
      </c>
    </row>
    <row r="665" spans="1:8">
      <c r="A665" s="31">
        <f>COUNTIF('BOM Atual ZPCS12'!F:F,B665)+(1-(SUMIF(Invoice!$A:$A,$B665,Invoice!$B:$B)/100000000000))</f>
        <v>1.9999998589799999</v>
      </c>
      <c r="B665" s="52" t="s">
        <v>967</v>
      </c>
      <c r="C665" s="44" t="s">
        <v>3090</v>
      </c>
      <c r="D665" s="44" t="s">
        <v>147</v>
      </c>
      <c r="E665" s="44" t="s">
        <v>51</v>
      </c>
      <c r="G665" s="44">
        <v>682</v>
      </c>
      <c r="H665" s="44" t="s">
        <v>2537</v>
      </c>
    </row>
    <row r="666" spans="1:8">
      <c r="A666" s="31">
        <f>COUNTIF('BOM Atual ZPCS12'!F:F,B666)+(1-(SUMIF(Invoice!$A:$A,$B666,Invoice!$B:$B)/100000000000))</f>
        <v>2</v>
      </c>
      <c r="B666" s="52" t="s">
        <v>970</v>
      </c>
      <c r="C666" s="44" t="s">
        <v>3091</v>
      </c>
      <c r="D666" s="44" t="s">
        <v>147</v>
      </c>
      <c r="E666" s="44" t="s">
        <v>51</v>
      </c>
      <c r="G666" s="44">
        <v>682</v>
      </c>
      <c r="H666" s="44" t="s">
        <v>2537</v>
      </c>
    </row>
    <row r="667" spans="1:8">
      <c r="A667" s="31">
        <f>COUNTIF('BOM Atual ZPCS12'!F:F,B667)+(1-(SUMIF(Invoice!$A:$A,$B667,Invoice!$B:$B)/100000000000))</f>
        <v>1</v>
      </c>
      <c r="B667" s="52" t="s">
        <v>3092</v>
      </c>
      <c r="C667" s="44" t="s">
        <v>3090</v>
      </c>
      <c r="D667" s="44" t="s">
        <v>147</v>
      </c>
      <c r="E667" s="44" t="s">
        <v>51</v>
      </c>
      <c r="G667" s="44">
        <v>682</v>
      </c>
      <c r="H667" s="44" t="s">
        <v>2537</v>
      </c>
    </row>
    <row r="668" spans="1:8">
      <c r="A668" s="31">
        <f>COUNTIF('BOM Atual ZPCS12'!F:F,B668)+(1-(SUMIF(Invoice!$A:$A,$B668,Invoice!$B:$B)/100000000000))</f>
        <v>2</v>
      </c>
      <c r="B668" s="52" t="s">
        <v>972</v>
      </c>
      <c r="C668" s="44" t="s">
        <v>973</v>
      </c>
      <c r="D668" s="44" t="s">
        <v>147</v>
      </c>
      <c r="E668" s="44" t="s">
        <v>51</v>
      </c>
      <c r="G668" s="44">
        <v>682</v>
      </c>
      <c r="H668" s="44" t="s">
        <v>2537</v>
      </c>
    </row>
    <row r="669" spans="1:8">
      <c r="A669" s="31">
        <f>COUNTIF('BOM Atual ZPCS12'!F:F,B669)+(1-(SUMIF(Invoice!$A:$A,$B669,Invoice!$B:$B)/100000000000))</f>
        <v>1</v>
      </c>
      <c r="B669" s="52" t="s">
        <v>3093</v>
      </c>
      <c r="C669" s="44" t="s">
        <v>3094</v>
      </c>
      <c r="D669" s="44" t="s">
        <v>147</v>
      </c>
      <c r="E669" s="44" t="s">
        <v>51</v>
      </c>
      <c r="G669" s="44">
        <v>683</v>
      </c>
      <c r="H669" s="44" t="s">
        <v>2537</v>
      </c>
    </row>
    <row r="670" spans="1:8">
      <c r="A670" s="31">
        <f>COUNTIF('BOM Atual ZPCS12'!F:F,B670)+(1-(SUMIF(Invoice!$A:$A,$B670,Invoice!$B:$B)/100000000000))</f>
        <v>1</v>
      </c>
      <c r="B670" s="52" t="s">
        <v>3095</v>
      </c>
      <c r="C670" s="44" t="s">
        <v>3096</v>
      </c>
      <c r="D670" s="44" t="s">
        <v>147</v>
      </c>
      <c r="E670" s="44" t="s">
        <v>51</v>
      </c>
      <c r="G670" s="44">
        <v>683</v>
      </c>
      <c r="H670" s="44" t="s">
        <v>2537</v>
      </c>
    </row>
    <row r="671" spans="1:8">
      <c r="A671" s="31">
        <f>COUNTIF('BOM Atual ZPCS12'!F:F,B671)+(1-(SUMIF(Invoice!$A:$A,$B671,Invoice!$B:$B)/100000000000))</f>
        <v>1</v>
      </c>
      <c r="B671" s="52" t="s">
        <v>3097</v>
      </c>
      <c r="C671" s="44" t="s">
        <v>3094</v>
      </c>
      <c r="D671" s="44" t="s">
        <v>147</v>
      </c>
      <c r="E671" s="44" t="s">
        <v>51</v>
      </c>
      <c r="G671" s="44">
        <v>683</v>
      </c>
      <c r="H671" s="44" t="s">
        <v>2537</v>
      </c>
    </row>
    <row r="672" spans="1:8">
      <c r="A672" s="31">
        <f>COUNTIF('BOM Atual ZPCS12'!F:F,B672)+(1-(SUMIF(Invoice!$A:$A,$B672,Invoice!$B:$B)/100000000000))</f>
        <v>1</v>
      </c>
      <c r="B672" s="52" t="s">
        <v>3098</v>
      </c>
      <c r="C672" s="44" t="s">
        <v>3099</v>
      </c>
      <c r="D672" s="44" t="s">
        <v>147</v>
      </c>
      <c r="E672" s="44" t="s">
        <v>51</v>
      </c>
      <c r="G672" s="44">
        <v>683</v>
      </c>
      <c r="H672" s="44" t="s">
        <v>2537</v>
      </c>
    </row>
    <row r="673" spans="1:8">
      <c r="A673" s="31">
        <f>COUNTIF('BOM Atual ZPCS12'!F:F,B673)+(1-(SUMIF(Invoice!$A:$A,$B673,Invoice!$B:$B)/100000000000))</f>
        <v>1</v>
      </c>
      <c r="B673" s="52" t="s">
        <v>3100</v>
      </c>
      <c r="C673" s="44" t="s">
        <v>3101</v>
      </c>
      <c r="D673" s="44" t="s">
        <v>147</v>
      </c>
      <c r="E673" s="44" t="s">
        <v>51</v>
      </c>
      <c r="G673" s="44">
        <v>684</v>
      </c>
      <c r="H673" s="44" t="s">
        <v>2537</v>
      </c>
    </row>
    <row r="674" spans="1:8">
      <c r="A674" s="31">
        <f>COUNTIF('BOM Atual ZPCS12'!F:F,B674)+(1-(SUMIF(Invoice!$A:$A,$B674,Invoice!$B:$B)/100000000000))</f>
        <v>1</v>
      </c>
      <c r="B674" s="52" t="s">
        <v>3102</v>
      </c>
      <c r="C674" s="44" t="s">
        <v>3103</v>
      </c>
      <c r="D674" s="44" t="s">
        <v>147</v>
      </c>
      <c r="E674" s="44" t="s">
        <v>51</v>
      </c>
      <c r="G674" s="44">
        <v>684</v>
      </c>
      <c r="H674" s="44" t="s">
        <v>2537</v>
      </c>
    </row>
    <row r="675" spans="1:8">
      <c r="A675" s="31">
        <f>COUNTIF('BOM Atual ZPCS12'!F:F,B675)+(1-(SUMIF(Invoice!$A:$A,$B675,Invoice!$B:$B)/100000000000))</f>
        <v>1</v>
      </c>
      <c r="B675" s="52" t="s">
        <v>3104</v>
      </c>
      <c r="C675" s="44" t="s">
        <v>3105</v>
      </c>
      <c r="D675" s="44" t="s">
        <v>147</v>
      </c>
      <c r="E675" s="44" t="s">
        <v>51</v>
      </c>
      <c r="G675" s="44">
        <v>684</v>
      </c>
      <c r="H675" s="44" t="s">
        <v>2537</v>
      </c>
    </row>
    <row r="676" spans="1:8">
      <c r="A676" s="31">
        <f>COUNTIF('BOM Atual ZPCS12'!F:F,B676)+(1-(SUMIF(Invoice!$A:$A,$B676,Invoice!$B:$B)/100000000000))</f>
        <v>1</v>
      </c>
      <c r="B676" s="52" t="s">
        <v>3106</v>
      </c>
      <c r="C676" s="44" t="s">
        <v>3107</v>
      </c>
      <c r="D676" s="44" t="s">
        <v>147</v>
      </c>
      <c r="E676" s="44" t="s">
        <v>51</v>
      </c>
      <c r="G676" s="44">
        <v>684</v>
      </c>
      <c r="H676" s="44" t="s">
        <v>2537</v>
      </c>
    </row>
    <row r="677" spans="1:8">
      <c r="A677" s="31">
        <f>COUNTIF('BOM Atual ZPCS12'!F:F,B677)+(1-(SUMIF(Invoice!$A:$A,$B677,Invoice!$B:$B)/100000000000))</f>
        <v>1.9999996</v>
      </c>
      <c r="B677" s="52" t="s">
        <v>1016</v>
      </c>
      <c r="C677" s="44" t="s">
        <v>3108</v>
      </c>
      <c r="D677" s="44" t="s">
        <v>147</v>
      </c>
      <c r="E677" s="44" t="s">
        <v>51</v>
      </c>
      <c r="G677" s="44">
        <v>685</v>
      </c>
      <c r="H677" s="44" t="s">
        <v>2537</v>
      </c>
    </row>
    <row r="678" spans="1:8">
      <c r="A678" s="31">
        <f>COUNTIF('BOM Atual ZPCS12'!F:F,B678)+(1-(SUMIF(Invoice!$A:$A,$B678,Invoice!$B:$B)/100000000000))</f>
        <v>2</v>
      </c>
      <c r="B678" s="52" t="s">
        <v>1019</v>
      </c>
      <c r="C678" s="44" t="s">
        <v>3109</v>
      </c>
      <c r="D678" s="44" t="s">
        <v>147</v>
      </c>
      <c r="E678" s="44" t="s">
        <v>51</v>
      </c>
      <c r="G678" s="44">
        <v>685</v>
      </c>
      <c r="H678" s="44" t="s">
        <v>2537</v>
      </c>
    </row>
    <row r="679" spans="1:8">
      <c r="A679" s="31">
        <f>COUNTIF('BOM Atual ZPCS12'!F:F,B679)+(1-(SUMIF(Invoice!$A:$A,$B679,Invoice!$B:$B)/100000000000))</f>
        <v>1</v>
      </c>
      <c r="B679" s="52" t="s">
        <v>3110</v>
      </c>
      <c r="C679" s="44" t="s">
        <v>3111</v>
      </c>
      <c r="D679" s="44" t="s">
        <v>147</v>
      </c>
      <c r="E679" s="44" t="s">
        <v>51</v>
      </c>
      <c r="G679" s="44">
        <v>685</v>
      </c>
      <c r="H679" s="44" t="s">
        <v>2537</v>
      </c>
    </row>
    <row r="680" spans="1:8">
      <c r="A680" s="31">
        <f>COUNTIF('BOM Atual ZPCS12'!F:F,B680)+(1-(SUMIF(Invoice!$A:$A,$B680,Invoice!$B:$B)/100000000000))</f>
        <v>2</v>
      </c>
      <c r="B680" s="52" t="s">
        <v>1021</v>
      </c>
      <c r="C680" s="44" t="s">
        <v>1022</v>
      </c>
      <c r="D680" s="44" t="s">
        <v>147</v>
      </c>
      <c r="E680" s="44" t="s">
        <v>51</v>
      </c>
      <c r="G680" s="44">
        <v>685</v>
      </c>
      <c r="H680" s="44" t="s">
        <v>2537</v>
      </c>
    </row>
    <row r="681" spans="1:8">
      <c r="A681" s="31">
        <f>COUNTIF('BOM Atual ZPCS12'!F:F,B681)+(1-(SUMIF(Invoice!$A:$A,$B681,Invoice!$B:$B)/100000000000))</f>
        <v>1</v>
      </c>
      <c r="B681" s="52" t="s">
        <v>3112</v>
      </c>
      <c r="C681" s="44" t="s">
        <v>3113</v>
      </c>
      <c r="D681" s="44" t="s">
        <v>147</v>
      </c>
      <c r="E681" s="44" t="s">
        <v>51</v>
      </c>
      <c r="G681" s="44">
        <v>686</v>
      </c>
      <c r="H681" s="44" t="s">
        <v>2537</v>
      </c>
    </row>
    <row r="682" spans="1:8">
      <c r="A682" s="31">
        <f>COUNTIF('BOM Atual ZPCS12'!F:F,B682)+(1-(SUMIF(Invoice!$A:$A,$B682,Invoice!$B:$B)/100000000000))</f>
        <v>1</v>
      </c>
      <c r="B682" s="52" t="s">
        <v>3114</v>
      </c>
      <c r="C682" s="44" t="s">
        <v>3115</v>
      </c>
      <c r="D682" s="44" t="s">
        <v>147</v>
      </c>
      <c r="E682" s="44" t="s">
        <v>51</v>
      </c>
      <c r="G682" s="44">
        <v>686</v>
      </c>
      <c r="H682" s="44" t="s">
        <v>2537</v>
      </c>
    </row>
    <row r="683" spans="1:8">
      <c r="A683" s="31">
        <f>COUNTIF('BOM Atual ZPCS12'!F:F,B683)+(1-(SUMIF(Invoice!$A:$A,$B683,Invoice!$B:$B)/100000000000))</f>
        <v>1</v>
      </c>
      <c r="B683" s="52" t="s">
        <v>3116</v>
      </c>
      <c r="C683" s="44" t="s">
        <v>3113</v>
      </c>
      <c r="D683" s="44" t="s">
        <v>147</v>
      </c>
      <c r="E683" s="44" t="s">
        <v>51</v>
      </c>
      <c r="G683" s="44">
        <v>686</v>
      </c>
      <c r="H683" s="44" t="s">
        <v>2537</v>
      </c>
    </row>
    <row r="684" spans="1:8">
      <c r="A684" s="31">
        <f>COUNTIF('BOM Atual ZPCS12'!F:F,B684)+(1-(SUMIF(Invoice!$A:$A,$B684,Invoice!$B:$B)/100000000000))</f>
        <v>1</v>
      </c>
      <c r="B684" s="52" t="s">
        <v>3117</v>
      </c>
      <c r="C684" s="44" t="s">
        <v>3118</v>
      </c>
      <c r="D684" s="44" t="s">
        <v>147</v>
      </c>
      <c r="E684" s="44" t="s">
        <v>51</v>
      </c>
      <c r="G684" s="44">
        <v>686</v>
      </c>
      <c r="H684" s="44" t="s">
        <v>2537</v>
      </c>
    </row>
    <row r="685" spans="1:8">
      <c r="A685" s="31">
        <f>COUNTIF('BOM Atual ZPCS12'!F:F,B685)+(1-(SUMIF(Invoice!$A:$A,$B685,Invoice!$B:$B)/100000000000))</f>
        <v>1</v>
      </c>
      <c r="B685" s="52" t="s">
        <v>3119</v>
      </c>
      <c r="C685" s="44" t="s">
        <v>3120</v>
      </c>
      <c r="D685" s="44" t="s">
        <v>147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3121</v>
      </c>
      <c r="C686" s="44" t="s">
        <v>3122</v>
      </c>
      <c r="D686" s="44" t="s">
        <v>147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3123</v>
      </c>
      <c r="C687" s="44" t="s">
        <v>3124</v>
      </c>
      <c r="D687" s="44" t="s">
        <v>147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3125</v>
      </c>
      <c r="C688" s="44" t="s">
        <v>3126</v>
      </c>
      <c r="D688" s="44" t="s">
        <v>147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3127</v>
      </c>
      <c r="C689" s="44" t="s">
        <v>3128</v>
      </c>
      <c r="D689" s="44" t="s">
        <v>147</v>
      </c>
      <c r="E689" s="44" t="s">
        <v>51</v>
      </c>
      <c r="G689" s="44">
        <v>688</v>
      </c>
      <c r="H689" s="44" t="s">
        <v>2537</v>
      </c>
    </row>
    <row r="690" spans="1:8">
      <c r="A690" s="31">
        <f>COUNTIF('BOM Atual ZPCS12'!F:F,B690)+(1-(SUMIF(Invoice!$A:$A,$B690,Invoice!$B:$B)/100000000000))</f>
        <v>1</v>
      </c>
      <c r="B690" s="52" t="s">
        <v>3129</v>
      </c>
      <c r="C690" s="44" t="s">
        <v>3130</v>
      </c>
      <c r="D690" s="44" t="s">
        <v>147</v>
      </c>
      <c r="E690" s="44" t="s">
        <v>51</v>
      </c>
      <c r="G690" s="44">
        <v>688</v>
      </c>
      <c r="H690" s="44" t="s">
        <v>2537</v>
      </c>
    </row>
    <row r="691" spans="1:8">
      <c r="A691" s="31">
        <f>COUNTIF('BOM Atual ZPCS12'!F:F,B691)+(1-(SUMIF(Invoice!$A:$A,$B691,Invoice!$B:$B)/100000000000))</f>
        <v>1</v>
      </c>
      <c r="B691" s="52" t="s">
        <v>3131</v>
      </c>
      <c r="C691" s="44" t="s">
        <v>3128</v>
      </c>
      <c r="D691" s="44" t="s">
        <v>147</v>
      </c>
      <c r="E691" s="44" t="s">
        <v>51</v>
      </c>
      <c r="G691" s="44">
        <v>688</v>
      </c>
      <c r="H691" s="44" t="s">
        <v>2537</v>
      </c>
    </row>
    <row r="692" spans="1:8">
      <c r="A692" s="31">
        <f>COUNTIF('BOM Atual ZPCS12'!F:F,B692)+(1-(SUMIF(Invoice!$A:$A,$B692,Invoice!$B:$B)/100000000000))</f>
        <v>1</v>
      </c>
      <c r="B692" s="52" t="s">
        <v>3132</v>
      </c>
      <c r="C692" s="44" t="s">
        <v>3133</v>
      </c>
      <c r="D692" s="44" t="s">
        <v>147</v>
      </c>
      <c r="E692" s="44" t="s">
        <v>51</v>
      </c>
      <c r="G692" s="44">
        <v>688</v>
      </c>
      <c r="H692" s="44" t="s">
        <v>2537</v>
      </c>
    </row>
    <row r="693" spans="1:8">
      <c r="A693" s="31">
        <f>COUNTIF('BOM Atual ZPCS12'!F:F,B693)+(1-(SUMIF(Invoice!$A:$A,$B693,Invoice!$B:$B)/100000000000))</f>
        <v>2</v>
      </c>
      <c r="B693" s="52" t="s">
        <v>1023</v>
      </c>
      <c r="C693" s="44" t="s">
        <v>3134</v>
      </c>
      <c r="D693" s="44" t="s">
        <v>147</v>
      </c>
      <c r="E693" s="44" t="s">
        <v>51</v>
      </c>
      <c r="G693" s="44">
        <v>689</v>
      </c>
      <c r="H693" s="44" t="s">
        <v>2537</v>
      </c>
    </row>
    <row r="694" spans="1:8">
      <c r="A694" s="31">
        <f>COUNTIF('BOM Atual ZPCS12'!F:F,B694)+(1-(SUMIF(Invoice!$A:$A,$B694,Invoice!$B:$B)/100000000000))</f>
        <v>2</v>
      </c>
      <c r="B694" s="52" t="s">
        <v>1026</v>
      </c>
      <c r="C694" s="44" t="s">
        <v>3135</v>
      </c>
      <c r="D694" s="44" t="s">
        <v>147</v>
      </c>
      <c r="E694" s="44" t="s">
        <v>51</v>
      </c>
      <c r="G694" s="44">
        <v>689</v>
      </c>
      <c r="H694" s="44" t="s">
        <v>2537</v>
      </c>
    </row>
    <row r="695" spans="1:8">
      <c r="A695" s="31">
        <f>COUNTIF('BOM Atual ZPCS12'!F:F,B695)+(1-(SUMIF(Invoice!$A:$A,$B695,Invoice!$B:$B)/100000000000))</f>
        <v>1</v>
      </c>
      <c r="B695" s="52" t="s">
        <v>3136</v>
      </c>
      <c r="C695" s="44" t="s">
        <v>3134</v>
      </c>
      <c r="D695" s="44" t="s">
        <v>147</v>
      </c>
      <c r="E695" s="44" t="s">
        <v>51</v>
      </c>
      <c r="G695" s="44">
        <v>689</v>
      </c>
      <c r="H695" s="44" t="s">
        <v>2537</v>
      </c>
    </row>
    <row r="696" spans="1:8">
      <c r="A696" s="31">
        <f>COUNTIF('BOM Atual ZPCS12'!F:F,B696)+(1-(SUMIF(Invoice!$A:$A,$B696,Invoice!$B:$B)/100000000000))</f>
        <v>1.9999997999999999</v>
      </c>
      <c r="B696" s="52" t="s">
        <v>1028</v>
      </c>
      <c r="C696" s="44" t="s">
        <v>1029</v>
      </c>
      <c r="D696" s="44" t="s">
        <v>147</v>
      </c>
      <c r="E696" s="44" t="s">
        <v>51</v>
      </c>
      <c r="G696" s="44">
        <v>689</v>
      </c>
      <c r="H696" s="44" t="s">
        <v>2537</v>
      </c>
    </row>
    <row r="697" spans="1:8">
      <c r="A697" s="31">
        <f>COUNTIF('BOM Atual ZPCS12'!F:F,B697)+(1-(SUMIF(Invoice!$A:$A,$B697,Invoice!$B:$B)/100000000000))</f>
        <v>1</v>
      </c>
      <c r="B697" s="52" t="s">
        <v>3137</v>
      </c>
      <c r="C697" s="44" t="s">
        <v>3138</v>
      </c>
      <c r="D697" s="44" t="s">
        <v>147</v>
      </c>
      <c r="E697" s="44" t="s">
        <v>51</v>
      </c>
      <c r="G697" s="44">
        <v>690</v>
      </c>
      <c r="H697" s="44" t="s">
        <v>2537</v>
      </c>
    </row>
    <row r="698" spans="1:8">
      <c r="A698" s="31">
        <f>COUNTIF('BOM Atual ZPCS12'!F:F,B698)+(1-(SUMIF(Invoice!$A:$A,$B698,Invoice!$B:$B)/100000000000))</f>
        <v>1</v>
      </c>
      <c r="B698" s="52" t="s">
        <v>3139</v>
      </c>
      <c r="C698" s="44" t="s">
        <v>3140</v>
      </c>
      <c r="D698" s="44" t="s">
        <v>147</v>
      </c>
      <c r="E698" s="44" t="s">
        <v>51</v>
      </c>
      <c r="G698" s="44">
        <v>690</v>
      </c>
      <c r="H698" s="44" t="s">
        <v>2537</v>
      </c>
    </row>
    <row r="699" spans="1:8">
      <c r="A699" s="31">
        <f>COUNTIF('BOM Atual ZPCS12'!F:F,B699)+(1-(SUMIF(Invoice!$A:$A,$B699,Invoice!$B:$B)/100000000000))</f>
        <v>1</v>
      </c>
      <c r="B699" s="52" t="s">
        <v>3141</v>
      </c>
      <c r="C699" s="44" t="s">
        <v>3138</v>
      </c>
      <c r="D699" s="44" t="s">
        <v>147</v>
      </c>
      <c r="E699" s="44" t="s">
        <v>51</v>
      </c>
      <c r="G699" s="44">
        <v>690</v>
      </c>
      <c r="H699" s="44" t="s">
        <v>2537</v>
      </c>
    </row>
    <row r="700" spans="1:8">
      <c r="A700" s="31">
        <f>COUNTIF('BOM Atual ZPCS12'!F:F,B700)+(1-(SUMIF(Invoice!$A:$A,$B700,Invoice!$B:$B)/100000000000))</f>
        <v>1</v>
      </c>
      <c r="B700" s="52" t="s">
        <v>3142</v>
      </c>
      <c r="C700" s="44" t="s">
        <v>3143</v>
      </c>
      <c r="D700" s="44" t="s">
        <v>147</v>
      </c>
      <c r="E700" s="44" t="s">
        <v>51</v>
      </c>
      <c r="G700" s="44">
        <v>690</v>
      </c>
      <c r="H700" s="44" t="s">
        <v>2537</v>
      </c>
    </row>
    <row r="701" spans="1:8">
      <c r="A701" s="31">
        <f>COUNTIF('BOM Atual ZPCS12'!F:F,B701)+(1-(SUMIF(Invoice!$A:$A,$B701,Invoice!$B:$B)/100000000000))</f>
        <v>1</v>
      </c>
      <c r="B701" s="52" t="s">
        <v>3144</v>
      </c>
      <c r="C701" s="44" t="s">
        <v>3145</v>
      </c>
      <c r="D701" s="44" t="s">
        <v>147</v>
      </c>
      <c r="E701" s="44" t="s">
        <v>51</v>
      </c>
      <c r="G701" s="44">
        <v>691</v>
      </c>
      <c r="H701" s="44" t="s">
        <v>2537</v>
      </c>
    </row>
    <row r="702" spans="1:8">
      <c r="A702" s="31">
        <f>COUNTIF('BOM Atual ZPCS12'!F:F,B702)+(1-(SUMIF(Invoice!$A:$A,$B702,Invoice!$B:$B)/100000000000))</f>
        <v>1</v>
      </c>
      <c r="B702" s="52" t="s">
        <v>3146</v>
      </c>
      <c r="C702" s="44" t="s">
        <v>3147</v>
      </c>
      <c r="D702" s="44" t="s">
        <v>147</v>
      </c>
      <c r="E702" s="44" t="s">
        <v>51</v>
      </c>
      <c r="G702" s="44">
        <v>691</v>
      </c>
      <c r="H702" s="44" t="s">
        <v>2537</v>
      </c>
    </row>
    <row r="703" spans="1:8">
      <c r="A703" s="31">
        <f>COUNTIF('BOM Atual ZPCS12'!F:F,B703)+(1-(SUMIF(Invoice!$A:$A,$B703,Invoice!$B:$B)/100000000000))</f>
        <v>1</v>
      </c>
      <c r="B703" s="52" t="s">
        <v>3148</v>
      </c>
      <c r="C703" s="44" t="s">
        <v>3149</v>
      </c>
      <c r="D703" s="44" t="s">
        <v>147</v>
      </c>
      <c r="E703" s="44" t="s">
        <v>51</v>
      </c>
      <c r="G703" s="44">
        <v>691</v>
      </c>
      <c r="H703" s="44" t="s">
        <v>2537</v>
      </c>
    </row>
    <row r="704" spans="1:8">
      <c r="A704" s="31">
        <f>COUNTIF('BOM Atual ZPCS12'!F:F,B704)+(1-(SUMIF(Invoice!$A:$A,$B704,Invoice!$B:$B)/100000000000))</f>
        <v>1</v>
      </c>
      <c r="B704" s="52" t="s">
        <v>3150</v>
      </c>
      <c r="C704" s="44" t="s">
        <v>3151</v>
      </c>
      <c r="D704" s="44" t="s">
        <v>147</v>
      </c>
      <c r="E704" s="44" t="s">
        <v>51</v>
      </c>
      <c r="G704" s="44">
        <v>691</v>
      </c>
      <c r="H704" s="44" t="s">
        <v>2537</v>
      </c>
    </row>
    <row r="705" spans="1:8">
      <c r="A705" s="31">
        <f>COUNTIF('BOM Atual ZPCS12'!F:F,B705)+(1-(SUMIF(Invoice!$A:$A,$B705,Invoice!$B:$B)/100000000000))</f>
        <v>2</v>
      </c>
      <c r="B705" s="52" t="s">
        <v>1030</v>
      </c>
      <c r="C705" s="44" t="s">
        <v>3152</v>
      </c>
      <c r="D705" s="44" t="s">
        <v>147</v>
      </c>
      <c r="E705" s="44" t="s">
        <v>51</v>
      </c>
      <c r="G705" s="44">
        <v>692</v>
      </c>
      <c r="H705" s="44" t="s">
        <v>2537</v>
      </c>
    </row>
    <row r="706" spans="1:8">
      <c r="A706" s="31">
        <f>COUNTIF('BOM Atual ZPCS12'!F:F,B706)+(1-(SUMIF(Invoice!$A:$A,$B706,Invoice!$B:$B)/100000000000))</f>
        <v>1.9999999000000002</v>
      </c>
      <c r="B706" s="52" t="s">
        <v>1033</v>
      </c>
      <c r="C706" s="44" t="s">
        <v>3153</v>
      </c>
      <c r="D706" s="44" t="s">
        <v>147</v>
      </c>
      <c r="E706" s="44" t="s">
        <v>51</v>
      </c>
      <c r="G706" s="44">
        <v>692</v>
      </c>
      <c r="H706" s="44" t="s">
        <v>2537</v>
      </c>
    </row>
    <row r="707" spans="1:8">
      <c r="A707" s="31">
        <f>COUNTIF('BOM Atual ZPCS12'!F:F,B707)+(1-(SUMIF(Invoice!$A:$A,$B707,Invoice!$B:$B)/100000000000))</f>
        <v>1</v>
      </c>
      <c r="B707" s="52" t="s">
        <v>3154</v>
      </c>
      <c r="C707" s="44" t="s">
        <v>3155</v>
      </c>
      <c r="D707" s="44" t="s">
        <v>147</v>
      </c>
      <c r="E707" s="44" t="s">
        <v>51</v>
      </c>
      <c r="G707" s="44">
        <v>692</v>
      </c>
      <c r="H707" s="44" t="s">
        <v>2537</v>
      </c>
    </row>
    <row r="708" spans="1:8">
      <c r="A708" s="31">
        <f>COUNTIF('BOM Atual ZPCS12'!F:F,B708)+(1-(SUMIF(Invoice!$A:$A,$B708,Invoice!$B:$B)/100000000000))</f>
        <v>2</v>
      </c>
      <c r="B708" s="52" t="s">
        <v>1035</v>
      </c>
      <c r="C708" s="44" t="s">
        <v>1036</v>
      </c>
      <c r="D708" s="44" t="s">
        <v>147</v>
      </c>
      <c r="E708" s="44" t="s">
        <v>51</v>
      </c>
      <c r="G708" s="44">
        <v>692</v>
      </c>
      <c r="H708" s="44" t="s">
        <v>2537</v>
      </c>
    </row>
    <row r="709" spans="1:8">
      <c r="A709" s="31">
        <f>COUNTIF('BOM Atual ZPCS12'!F:F,B709)+(1-(SUMIF(Invoice!$A:$A,$B709,Invoice!$B:$B)/100000000000))</f>
        <v>1</v>
      </c>
      <c r="B709" s="52" t="s">
        <v>3156</v>
      </c>
      <c r="C709" s="44" t="s">
        <v>3157</v>
      </c>
      <c r="D709" s="44" t="s">
        <v>147</v>
      </c>
      <c r="E709" s="44" t="s">
        <v>51</v>
      </c>
      <c r="G709" s="44">
        <v>693</v>
      </c>
      <c r="H709" s="44" t="s">
        <v>2537</v>
      </c>
    </row>
    <row r="710" spans="1:8">
      <c r="A710" s="31">
        <f>COUNTIF('BOM Atual ZPCS12'!F:F,B710)+(1-(SUMIF(Invoice!$A:$A,$B710,Invoice!$B:$B)/100000000000))</f>
        <v>1</v>
      </c>
      <c r="B710" s="52" t="s">
        <v>3158</v>
      </c>
      <c r="C710" s="44" t="s">
        <v>3159</v>
      </c>
      <c r="D710" s="44" t="s">
        <v>147</v>
      </c>
      <c r="E710" s="44" t="s">
        <v>51</v>
      </c>
      <c r="G710" s="44">
        <v>693</v>
      </c>
      <c r="H710" s="44" t="s">
        <v>2537</v>
      </c>
    </row>
    <row r="711" spans="1:8">
      <c r="A711" s="31">
        <f>COUNTIF('BOM Atual ZPCS12'!F:F,B711)+(1-(SUMIF(Invoice!$A:$A,$B711,Invoice!$B:$B)/100000000000))</f>
        <v>1</v>
      </c>
      <c r="B711" s="52" t="s">
        <v>3160</v>
      </c>
      <c r="C711" s="44" t="s">
        <v>3157</v>
      </c>
      <c r="D711" s="44" t="s">
        <v>147</v>
      </c>
      <c r="E711" s="44" t="s">
        <v>51</v>
      </c>
      <c r="G711" s="44">
        <v>693</v>
      </c>
      <c r="H711" s="44" t="s">
        <v>2537</v>
      </c>
    </row>
    <row r="712" spans="1:8">
      <c r="A712" s="31">
        <f>COUNTIF('BOM Atual ZPCS12'!F:F,B712)+(1-(SUMIF(Invoice!$A:$A,$B712,Invoice!$B:$B)/100000000000))</f>
        <v>1</v>
      </c>
      <c r="B712" s="52" t="s">
        <v>3161</v>
      </c>
      <c r="C712" s="44" t="s">
        <v>3162</v>
      </c>
      <c r="D712" s="44" t="s">
        <v>147</v>
      </c>
      <c r="E712" s="44" t="s">
        <v>51</v>
      </c>
      <c r="G712" s="44">
        <v>693</v>
      </c>
      <c r="H712" s="44" t="s">
        <v>2537</v>
      </c>
    </row>
    <row r="713" spans="1:8">
      <c r="A713" s="31">
        <f>COUNTIF('BOM Atual ZPCS12'!F:F,B713)+(1-(SUMIF(Invoice!$A:$A,$B713,Invoice!$B:$B)/100000000000))</f>
        <v>1</v>
      </c>
      <c r="B713" s="52" t="s">
        <v>3163</v>
      </c>
      <c r="C713" s="44" t="s">
        <v>3164</v>
      </c>
      <c r="D713" s="44" t="s">
        <v>147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3165</v>
      </c>
      <c r="C714" s="44" t="s">
        <v>3166</v>
      </c>
      <c r="D714" s="44" t="s">
        <v>147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3167</v>
      </c>
      <c r="C715" s="44" t="s">
        <v>3168</v>
      </c>
      <c r="D715" s="44" t="s">
        <v>147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3169</v>
      </c>
      <c r="C716" s="44" t="s">
        <v>3170</v>
      </c>
      <c r="D716" s="44" t="s">
        <v>147</v>
      </c>
      <c r="E716" s="44" t="s">
        <v>51</v>
      </c>
      <c r="G716" s="44">
        <v>695</v>
      </c>
      <c r="H716" s="44" t="s">
        <v>2537</v>
      </c>
    </row>
    <row r="717" spans="1:8">
      <c r="A717" s="31">
        <f>COUNTIF('BOM Atual ZPCS12'!F:F,B717)+(1-(SUMIF(Invoice!$A:$A,$B717,Invoice!$B:$B)/100000000000))</f>
        <v>1</v>
      </c>
      <c r="B717" s="52" t="s">
        <v>3171</v>
      </c>
      <c r="C717" s="44" t="s">
        <v>3172</v>
      </c>
      <c r="D717" s="44" t="s">
        <v>147</v>
      </c>
      <c r="E717" s="44" t="s">
        <v>51</v>
      </c>
      <c r="G717" s="44">
        <v>695</v>
      </c>
      <c r="H717" s="44" t="s">
        <v>2537</v>
      </c>
    </row>
    <row r="718" spans="1:8">
      <c r="A718" s="31">
        <f>COUNTIF('BOM Atual ZPCS12'!F:F,B718)+(1-(SUMIF(Invoice!$A:$A,$B718,Invoice!$B:$B)/100000000000))</f>
        <v>1</v>
      </c>
      <c r="B718" s="52" t="s">
        <v>3173</v>
      </c>
      <c r="C718" s="44" t="s">
        <v>3170</v>
      </c>
      <c r="D718" s="44" t="s">
        <v>147</v>
      </c>
      <c r="E718" s="44" t="s">
        <v>51</v>
      </c>
      <c r="G718" s="44">
        <v>695</v>
      </c>
      <c r="H718" s="44" t="s">
        <v>2537</v>
      </c>
    </row>
    <row r="719" spans="1:8">
      <c r="A719" s="31">
        <f>COUNTIF('BOM Atual ZPCS12'!F:F,B719)+(1-(SUMIF(Invoice!$A:$A,$B719,Invoice!$B:$B)/100000000000))</f>
        <v>1</v>
      </c>
      <c r="B719" s="52" t="s">
        <v>3174</v>
      </c>
      <c r="C719" s="44" t="s">
        <v>3175</v>
      </c>
      <c r="D719" s="44" t="s">
        <v>147</v>
      </c>
      <c r="E719" s="44" t="s">
        <v>51</v>
      </c>
      <c r="G719" s="44">
        <v>695</v>
      </c>
      <c r="H719" s="44" t="s">
        <v>2537</v>
      </c>
    </row>
    <row r="720" spans="1:8">
      <c r="A720" s="31">
        <f>COUNTIF('BOM Atual ZPCS12'!F:F,B720)+(1-(SUMIF(Invoice!$A:$A,$B720,Invoice!$B:$B)/100000000000))</f>
        <v>1</v>
      </c>
      <c r="B720" s="52" t="s">
        <v>3176</v>
      </c>
      <c r="C720" s="44" t="s">
        <v>3177</v>
      </c>
      <c r="D720" s="44" t="s">
        <v>147</v>
      </c>
      <c r="E720" s="44" t="s">
        <v>51</v>
      </c>
      <c r="G720" s="44">
        <v>696</v>
      </c>
      <c r="H720" s="44" t="s">
        <v>2537</v>
      </c>
    </row>
    <row r="721" spans="1:8">
      <c r="A721" s="31">
        <f>COUNTIF('BOM Atual ZPCS12'!F:F,B721)+(1-(SUMIF(Invoice!$A:$A,$B721,Invoice!$B:$B)/100000000000))</f>
        <v>1</v>
      </c>
      <c r="B721" s="52" t="s">
        <v>3178</v>
      </c>
      <c r="C721" s="44" t="s">
        <v>3179</v>
      </c>
      <c r="D721" s="44" t="s">
        <v>147</v>
      </c>
      <c r="E721" s="44" t="s">
        <v>51</v>
      </c>
      <c r="G721" s="44">
        <v>696</v>
      </c>
      <c r="H721" s="44" t="s">
        <v>2537</v>
      </c>
    </row>
    <row r="722" spans="1:8">
      <c r="A722" s="31">
        <f>COUNTIF('BOM Atual ZPCS12'!F:F,B722)+(1-(SUMIF(Invoice!$A:$A,$B722,Invoice!$B:$B)/100000000000))</f>
        <v>1</v>
      </c>
      <c r="B722" s="52" t="s">
        <v>3180</v>
      </c>
      <c r="C722" s="44" t="s">
        <v>3177</v>
      </c>
      <c r="D722" s="44" t="s">
        <v>147</v>
      </c>
      <c r="E722" s="44" t="s">
        <v>51</v>
      </c>
      <c r="G722" s="44">
        <v>696</v>
      </c>
      <c r="H722" s="44" t="s">
        <v>2537</v>
      </c>
    </row>
    <row r="723" spans="1:8">
      <c r="A723" s="31">
        <f>COUNTIF('BOM Atual ZPCS12'!F:F,B723)+(1-(SUMIF(Invoice!$A:$A,$B723,Invoice!$B:$B)/100000000000))</f>
        <v>1</v>
      </c>
      <c r="B723" s="52" t="s">
        <v>3181</v>
      </c>
      <c r="C723" s="44" t="s">
        <v>3182</v>
      </c>
      <c r="D723" s="44" t="s">
        <v>147</v>
      </c>
      <c r="E723" s="44" t="s">
        <v>51</v>
      </c>
      <c r="G723" s="44">
        <v>696</v>
      </c>
      <c r="H723" s="44" t="s">
        <v>2537</v>
      </c>
    </row>
    <row r="724" spans="1:8">
      <c r="A724" s="31">
        <f>COUNTIF('BOM Atual ZPCS12'!F:F,B724)+(1-(SUMIF(Invoice!$A:$A,$B724,Invoice!$B:$B)/100000000000))</f>
        <v>1</v>
      </c>
      <c r="B724" s="52" t="s">
        <v>3183</v>
      </c>
      <c r="C724" s="44" t="s">
        <v>3184</v>
      </c>
      <c r="D724" s="44" t="s">
        <v>147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3185</v>
      </c>
      <c r="C725" s="44" t="s">
        <v>3184</v>
      </c>
      <c r="D725" s="44" t="s">
        <v>147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3186</v>
      </c>
      <c r="C726" s="44" t="s">
        <v>3187</v>
      </c>
      <c r="D726" s="44" t="s">
        <v>147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1.9999999000000002</v>
      </c>
      <c r="B727" s="52" t="s">
        <v>1058</v>
      </c>
      <c r="C727" s="44" t="s">
        <v>3188</v>
      </c>
      <c r="D727" s="44" t="s">
        <v>147</v>
      </c>
      <c r="E727" s="44" t="s">
        <v>51</v>
      </c>
      <c r="G727" s="44">
        <v>698</v>
      </c>
      <c r="H727" s="44" t="s">
        <v>2537</v>
      </c>
    </row>
    <row r="728" spans="1:8">
      <c r="A728" s="31">
        <f>COUNTIF('BOM Atual ZPCS12'!F:F,B728)+(1-(SUMIF(Invoice!$A:$A,$B728,Invoice!$B:$B)/100000000000))</f>
        <v>2</v>
      </c>
      <c r="B728" s="52" t="s">
        <v>1061</v>
      </c>
      <c r="C728" s="44" t="s">
        <v>3189</v>
      </c>
      <c r="D728" s="44" t="s">
        <v>147</v>
      </c>
      <c r="E728" s="44" t="s">
        <v>51</v>
      </c>
      <c r="G728" s="44">
        <v>698</v>
      </c>
      <c r="H728" s="44" t="s">
        <v>2537</v>
      </c>
    </row>
    <row r="729" spans="1:8">
      <c r="A729" s="31">
        <f>COUNTIF('BOM Atual ZPCS12'!F:F,B729)+(1-(SUMIF(Invoice!$A:$A,$B729,Invoice!$B:$B)/100000000000))</f>
        <v>1</v>
      </c>
      <c r="B729" s="52" t="s">
        <v>3190</v>
      </c>
      <c r="C729" s="44" t="s">
        <v>3191</v>
      </c>
      <c r="D729" s="44" t="s">
        <v>147</v>
      </c>
      <c r="E729" s="44" t="s">
        <v>51</v>
      </c>
      <c r="G729" s="44">
        <v>698</v>
      </c>
      <c r="H729" s="44" t="s">
        <v>2537</v>
      </c>
    </row>
    <row r="730" spans="1:8">
      <c r="A730" s="31">
        <f>COUNTIF('BOM Atual ZPCS12'!F:F,B730)+(1-(SUMIF(Invoice!$A:$A,$B730,Invoice!$B:$B)/100000000000))</f>
        <v>2</v>
      </c>
      <c r="B730" s="52" t="s">
        <v>1063</v>
      </c>
      <c r="C730" s="44" t="s">
        <v>1064</v>
      </c>
      <c r="D730" s="44" t="s">
        <v>147</v>
      </c>
      <c r="E730" s="44" t="s">
        <v>51</v>
      </c>
      <c r="G730" s="44">
        <v>698</v>
      </c>
      <c r="H730" s="44" t="s">
        <v>2537</v>
      </c>
    </row>
    <row r="731" spans="1:8">
      <c r="A731" s="31">
        <f>COUNTIF('BOM Atual ZPCS12'!F:F,B731)+(1-(SUMIF(Invoice!$A:$A,$B731,Invoice!$B:$B)/100000000000))</f>
        <v>1</v>
      </c>
      <c r="B731" s="52" t="s">
        <v>3192</v>
      </c>
      <c r="C731" s="44" t="s">
        <v>3193</v>
      </c>
      <c r="D731" s="44" t="s">
        <v>147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3194</v>
      </c>
      <c r="C732" s="44" t="s">
        <v>3195</v>
      </c>
      <c r="D732" s="44" t="s">
        <v>147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3196</v>
      </c>
      <c r="C733" s="44" t="s">
        <v>3197</v>
      </c>
      <c r="D733" s="44" t="s">
        <v>147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3198</v>
      </c>
      <c r="C734" s="44" t="s">
        <v>3199</v>
      </c>
      <c r="D734" s="44" t="s">
        <v>147</v>
      </c>
      <c r="E734" s="44" t="s">
        <v>51</v>
      </c>
      <c r="G734" s="44">
        <v>700</v>
      </c>
      <c r="H734" s="44" t="s">
        <v>2537</v>
      </c>
    </row>
    <row r="735" spans="1:8">
      <c r="A735" s="31">
        <f>COUNTIF('BOM Atual ZPCS12'!F:F,B735)+(1-(SUMIF(Invoice!$A:$A,$B735,Invoice!$B:$B)/100000000000))</f>
        <v>1</v>
      </c>
      <c r="B735" s="52" t="s">
        <v>3200</v>
      </c>
      <c r="C735" s="44" t="s">
        <v>3201</v>
      </c>
      <c r="D735" s="44" t="s">
        <v>147</v>
      </c>
      <c r="E735" s="44" t="s">
        <v>51</v>
      </c>
      <c r="G735" s="44">
        <v>700</v>
      </c>
      <c r="H735" s="44" t="s">
        <v>2537</v>
      </c>
    </row>
    <row r="736" spans="1:8">
      <c r="A736" s="31">
        <f>COUNTIF('BOM Atual ZPCS12'!F:F,B736)+(1-(SUMIF(Invoice!$A:$A,$B736,Invoice!$B:$B)/100000000000))</f>
        <v>1</v>
      </c>
      <c r="B736" s="52" t="s">
        <v>3202</v>
      </c>
      <c r="C736" s="44" t="s">
        <v>3199</v>
      </c>
      <c r="D736" s="44" t="s">
        <v>147</v>
      </c>
      <c r="E736" s="44" t="s">
        <v>51</v>
      </c>
      <c r="G736" s="44">
        <v>700</v>
      </c>
      <c r="H736" s="44" t="s">
        <v>2537</v>
      </c>
    </row>
    <row r="737" spans="1:8">
      <c r="A737" s="31">
        <f>COUNTIF('BOM Atual ZPCS12'!F:F,B737)+(1-(SUMIF(Invoice!$A:$A,$B737,Invoice!$B:$B)/100000000000))</f>
        <v>1.9999999000000002</v>
      </c>
      <c r="B737" s="52" t="s">
        <v>1079</v>
      </c>
      <c r="C737" s="44" t="s">
        <v>3203</v>
      </c>
      <c r="D737" s="44" t="s">
        <v>147</v>
      </c>
      <c r="E737" s="44" t="s">
        <v>51</v>
      </c>
      <c r="G737" s="44">
        <v>701</v>
      </c>
      <c r="H737" s="44" t="s">
        <v>2537</v>
      </c>
    </row>
    <row r="738" spans="1:8">
      <c r="A738" s="31">
        <f>COUNTIF('BOM Atual ZPCS12'!F:F,B738)+(1-(SUMIF(Invoice!$A:$A,$B738,Invoice!$B:$B)/100000000000))</f>
        <v>2</v>
      </c>
      <c r="B738" s="52" t="s">
        <v>1082</v>
      </c>
      <c r="C738" s="44" t="s">
        <v>3204</v>
      </c>
      <c r="D738" s="44" t="s">
        <v>147</v>
      </c>
      <c r="E738" s="44" t="s">
        <v>51</v>
      </c>
      <c r="G738" s="44">
        <v>701</v>
      </c>
      <c r="H738" s="44" t="s">
        <v>2537</v>
      </c>
    </row>
    <row r="739" spans="1:8">
      <c r="A739" s="31">
        <f>COUNTIF('BOM Atual ZPCS12'!F:F,B739)+(1-(SUMIF(Invoice!$A:$A,$B739,Invoice!$B:$B)/100000000000))</f>
        <v>1</v>
      </c>
      <c r="B739" s="52" t="s">
        <v>3205</v>
      </c>
      <c r="C739" s="44" t="s">
        <v>3206</v>
      </c>
      <c r="D739" s="44" t="s">
        <v>147</v>
      </c>
      <c r="E739" s="44" t="s">
        <v>51</v>
      </c>
      <c r="G739" s="44">
        <v>701</v>
      </c>
      <c r="H739" s="44" t="s">
        <v>2537</v>
      </c>
    </row>
    <row r="740" spans="1:8">
      <c r="A740" s="31">
        <f>COUNTIF('BOM Atual ZPCS12'!F:F,B740)+(1-(SUMIF(Invoice!$A:$A,$B740,Invoice!$B:$B)/100000000000))</f>
        <v>2</v>
      </c>
      <c r="B740" s="52" t="s">
        <v>1084</v>
      </c>
      <c r="C740" s="44" t="s">
        <v>1085</v>
      </c>
      <c r="D740" s="44" t="s">
        <v>147</v>
      </c>
      <c r="E740" s="44" t="s">
        <v>51</v>
      </c>
      <c r="G740" s="44">
        <v>701</v>
      </c>
      <c r="H740" s="44" t="s">
        <v>2537</v>
      </c>
    </row>
    <row r="741" spans="1:8">
      <c r="A741" s="31">
        <f>COUNTIF('BOM Atual ZPCS12'!F:F,B741)+(1-(SUMIF(Invoice!$A:$A,$B741,Invoice!$B:$B)/100000000000))</f>
        <v>1</v>
      </c>
      <c r="B741" s="52" t="s">
        <v>3207</v>
      </c>
      <c r="C741" s="44" t="s">
        <v>3208</v>
      </c>
      <c r="D741" s="44" t="s">
        <v>147</v>
      </c>
      <c r="E741" s="44" t="s">
        <v>51</v>
      </c>
      <c r="G741" s="44">
        <v>702</v>
      </c>
      <c r="H741" s="44" t="s">
        <v>2537</v>
      </c>
    </row>
    <row r="742" spans="1:8">
      <c r="A742" s="31">
        <f>COUNTIF('BOM Atual ZPCS12'!F:F,B742)+(1-(SUMIF(Invoice!$A:$A,$B742,Invoice!$B:$B)/100000000000))</f>
        <v>1</v>
      </c>
      <c r="B742" s="52" t="s">
        <v>3209</v>
      </c>
      <c r="C742" s="44" t="s">
        <v>3210</v>
      </c>
      <c r="D742" s="44" t="s">
        <v>147</v>
      </c>
      <c r="E742" s="44" t="s">
        <v>51</v>
      </c>
      <c r="G742" s="44">
        <v>702</v>
      </c>
      <c r="H742" s="44" t="s">
        <v>2537</v>
      </c>
    </row>
    <row r="743" spans="1:8">
      <c r="A743" s="31">
        <f>COUNTIF('BOM Atual ZPCS12'!F:F,B743)+(1-(SUMIF(Invoice!$A:$A,$B743,Invoice!$B:$B)/100000000000))</f>
        <v>1</v>
      </c>
      <c r="B743" s="52" t="s">
        <v>3211</v>
      </c>
      <c r="C743" s="44" t="s">
        <v>3210</v>
      </c>
      <c r="D743" s="44" t="s">
        <v>147</v>
      </c>
      <c r="E743" s="44" t="s">
        <v>51</v>
      </c>
      <c r="G743" s="44">
        <v>702</v>
      </c>
      <c r="H743" s="44" t="s">
        <v>2537</v>
      </c>
    </row>
    <row r="744" spans="1:8">
      <c r="A744" s="31">
        <f>COUNTIF('BOM Atual ZPCS12'!F:F,B744)+(1-(SUMIF(Invoice!$A:$A,$B744,Invoice!$B:$B)/100000000000))</f>
        <v>1</v>
      </c>
      <c r="B744" s="52" t="s">
        <v>3212</v>
      </c>
      <c r="C744" s="44" t="s">
        <v>3213</v>
      </c>
      <c r="D744" s="44" t="s">
        <v>147</v>
      </c>
      <c r="E744" s="44" t="s">
        <v>51</v>
      </c>
      <c r="G744" s="44">
        <v>702</v>
      </c>
      <c r="H744" s="44" t="s">
        <v>2537</v>
      </c>
    </row>
    <row r="745" spans="1:8">
      <c r="A745" s="31">
        <f>COUNTIF('BOM Atual ZPCS12'!F:F,B745)+(1-(SUMIF(Invoice!$A:$A,$B745,Invoice!$B:$B)/100000000000))</f>
        <v>2</v>
      </c>
      <c r="B745" s="52" t="s">
        <v>1086</v>
      </c>
      <c r="C745" s="44" t="s">
        <v>3214</v>
      </c>
      <c r="D745" s="44" t="s">
        <v>147</v>
      </c>
      <c r="E745" s="44" t="s">
        <v>51</v>
      </c>
      <c r="G745" s="44">
        <v>703</v>
      </c>
      <c r="H745" s="44" t="s">
        <v>2537</v>
      </c>
    </row>
    <row r="746" spans="1:8">
      <c r="A746" s="31">
        <f>COUNTIF('BOM Atual ZPCS12'!F:F,B746)+(1-(SUMIF(Invoice!$A:$A,$B746,Invoice!$B:$B)/100000000000))</f>
        <v>1.9999983000000001</v>
      </c>
      <c r="B746" s="52" t="s">
        <v>1089</v>
      </c>
      <c r="C746" s="44" t="s">
        <v>3215</v>
      </c>
      <c r="D746" s="44" t="s">
        <v>147</v>
      </c>
      <c r="E746" s="44" t="s">
        <v>51</v>
      </c>
      <c r="G746" s="44">
        <v>703</v>
      </c>
      <c r="H746" s="44" t="s">
        <v>2537</v>
      </c>
    </row>
    <row r="747" spans="1:8">
      <c r="A747" s="31">
        <f>COUNTIF('BOM Atual ZPCS12'!F:F,B747)+(1-(SUMIF(Invoice!$A:$A,$B747,Invoice!$B:$B)/100000000000))</f>
        <v>1</v>
      </c>
      <c r="B747" s="52" t="s">
        <v>3216</v>
      </c>
      <c r="C747" s="44" t="s">
        <v>3217</v>
      </c>
      <c r="D747" s="44" t="s">
        <v>147</v>
      </c>
      <c r="E747" s="44" t="s">
        <v>51</v>
      </c>
      <c r="G747" s="44">
        <v>703</v>
      </c>
      <c r="H747" s="44" t="s">
        <v>2537</v>
      </c>
    </row>
    <row r="748" spans="1:8">
      <c r="A748" s="31">
        <f>COUNTIF('BOM Atual ZPCS12'!F:F,B748)+(1-(SUMIF(Invoice!$A:$A,$B748,Invoice!$B:$B)/100000000000))</f>
        <v>2</v>
      </c>
      <c r="B748" s="52" t="s">
        <v>1091</v>
      </c>
      <c r="C748" s="44" t="s">
        <v>1092</v>
      </c>
      <c r="D748" s="44" t="s">
        <v>147</v>
      </c>
      <c r="E748" s="44" t="s">
        <v>51</v>
      </c>
      <c r="G748" s="44">
        <v>703</v>
      </c>
      <c r="H748" s="44" t="s">
        <v>2537</v>
      </c>
    </row>
    <row r="749" spans="1:8">
      <c r="A749" s="31">
        <f>COUNTIF('BOM Atual ZPCS12'!F:F,B749)+(1-(SUMIF(Invoice!$A:$A,$B749,Invoice!$B:$B)/100000000000))</f>
        <v>1</v>
      </c>
      <c r="B749" s="52" t="s">
        <v>3218</v>
      </c>
      <c r="C749" s="44" t="s">
        <v>3219</v>
      </c>
      <c r="D749" s="44" t="s">
        <v>147</v>
      </c>
      <c r="E749" s="44" t="s">
        <v>51</v>
      </c>
      <c r="G749" s="44">
        <v>704</v>
      </c>
      <c r="H749" s="44" t="s">
        <v>2537</v>
      </c>
    </row>
    <row r="750" spans="1:8">
      <c r="A750" s="31">
        <f>COUNTIF('BOM Atual ZPCS12'!F:F,B750)+(1-(SUMIF(Invoice!$A:$A,$B750,Invoice!$B:$B)/100000000000))</f>
        <v>1</v>
      </c>
      <c r="B750" s="52" t="s">
        <v>3220</v>
      </c>
      <c r="C750" s="44" t="s">
        <v>3221</v>
      </c>
      <c r="D750" s="44" t="s">
        <v>147</v>
      </c>
      <c r="E750" s="44" t="s">
        <v>51</v>
      </c>
      <c r="G750" s="44">
        <v>704</v>
      </c>
      <c r="H750" s="44" t="s">
        <v>2537</v>
      </c>
    </row>
    <row r="751" spans="1:8">
      <c r="A751" s="31">
        <f>COUNTIF('BOM Atual ZPCS12'!F:F,B751)+(1-(SUMIF(Invoice!$A:$A,$B751,Invoice!$B:$B)/100000000000))</f>
        <v>1</v>
      </c>
      <c r="B751" s="52" t="s">
        <v>3222</v>
      </c>
      <c r="C751" s="44" t="s">
        <v>3223</v>
      </c>
      <c r="D751" s="44" t="s">
        <v>147</v>
      </c>
      <c r="E751" s="44" t="s">
        <v>51</v>
      </c>
      <c r="G751" s="44">
        <v>704</v>
      </c>
      <c r="H751" s="44" t="s">
        <v>2537</v>
      </c>
    </row>
    <row r="752" spans="1:8">
      <c r="A752" s="31">
        <f>COUNTIF('BOM Atual ZPCS12'!F:F,B752)+(1-(SUMIF(Invoice!$A:$A,$B752,Invoice!$B:$B)/100000000000))</f>
        <v>1</v>
      </c>
      <c r="B752" s="52" t="s">
        <v>3224</v>
      </c>
      <c r="C752" s="44" t="s">
        <v>3225</v>
      </c>
      <c r="D752" s="44" t="s">
        <v>147</v>
      </c>
      <c r="E752" s="44" t="s">
        <v>51</v>
      </c>
      <c r="G752" s="44">
        <v>704</v>
      </c>
      <c r="H752" s="44" t="s">
        <v>2537</v>
      </c>
    </row>
    <row r="753" spans="1:8">
      <c r="A753" s="31">
        <f>COUNTIF('BOM Atual ZPCS12'!F:F,B753)+(1-(SUMIF(Invoice!$A:$A,$B753,Invoice!$B:$B)/100000000000))</f>
        <v>1</v>
      </c>
      <c r="B753" s="52" t="s">
        <v>3226</v>
      </c>
      <c r="C753" s="44" t="s">
        <v>3227</v>
      </c>
      <c r="D753" s="44" t="s">
        <v>147</v>
      </c>
      <c r="E753" s="44" t="s">
        <v>51</v>
      </c>
      <c r="G753" s="44">
        <v>705</v>
      </c>
      <c r="H753" s="44" t="s">
        <v>2537</v>
      </c>
    </row>
    <row r="754" spans="1:8">
      <c r="A754" s="31">
        <f>COUNTIF('BOM Atual ZPCS12'!F:F,B754)+(1-(SUMIF(Invoice!$A:$A,$B754,Invoice!$B:$B)/100000000000))</f>
        <v>1</v>
      </c>
      <c r="B754" s="52" t="s">
        <v>3228</v>
      </c>
      <c r="C754" s="44" t="s">
        <v>3229</v>
      </c>
      <c r="D754" s="44" t="s">
        <v>147</v>
      </c>
      <c r="E754" s="44" t="s">
        <v>51</v>
      </c>
      <c r="G754" s="44">
        <v>705</v>
      </c>
      <c r="H754" s="44" t="s">
        <v>2537</v>
      </c>
    </row>
    <row r="755" spans="1:8">
      <c r="A755" s="31">
        <f>COUNTIF('BOM Atual ZPCS12'!F:F,B755)+(1-(SUMIF(Invoice!$A:$A,$B755,Invoice!$B:$B)/100000000000))</f>
        <v>1</v>
      </c>
      <c r="B755" s="52" t="s">
        <v>3230</v>
      </c>
      <c r="C755" s="44" t="s">
        <v>3227</v>
      </c>
      <c r="D755" s="44" t="s">
        <v>147</v>
      </c>
      <c r="E755" s="44" t="s">
        <v>51</v>
      </c>
      <c r="G755" s="44">
        <v>705</v>
      </c>
      <c r="H755" s="44" t="s">
        <v>2537</v>
      </c>
    </row>
    <row r="756" spans="1:8">
      <c r="A756" s="31">
        <f>COUNTIF('BOM Atual ZPCS12'!F:F,B756)+(1-(SUMIF(Invoice!$A:$A,$B756,Invoice!$B:$B)/100000000000))</f>
        <v>1</v>
      </c>
      <c r="B756" s="52" t="s">
        <v>3231</v>
      </c>
      <c r="C756" s="44" t="s">
        <v>3232</v>
      </c>
      <c r="D756" s="44" t="s">
        <v>147</v>
      </c>
      <c r="E756" s="44" t="s">
        <v>51</v>
      </c>
      <c r="G756" s="44">
        <v>705</v>
      </c>
      <c r="H756" s="44" t="s">
        <v>2537</v>
      </c>
    </row>
    <row r="757" spans="1:8">
      <c r="A757" s="31">
        <f>COUNTIF('BOM Atual ZPCS12'!F:F,B757)+(1-(SUMIF(Invoice!$A:$A,$B757,Invoice!$B:$B)/100000000000))</f>
        <v>2</v>
      </c>
      <c r="B757" s="52" t="s">
        <v>1118</v>
      </c>
      <c r="C757" s="44" t="s">
        <v>3233</v>
      </c>
      <c r="D757" s="44" t="s">
        <v>147</v>
      </c>
      <c r="E757" s="44" t="s">
        <v>51</v>
      </c>
      <c r="G757" s="44">
        <v>706</v>
      </c>
      <c r="H757" s="44" t="s">
        <v>2537</v>
      </c>
    </row>
    <row r="758" spans="1:8">
      <c r="A758" s="31">
        <f>COUNTIF('BOM Atual ZPCS12'!F:F,B758)+(1-(SUMIF(Invoice!$A:$A,$B758,Invoice!$B:$B)/100000000000))</f>
        <v>1.9999997999999999</v>
      </c>
      <c r="B758" s="52" t="s">
        <v>1121</v>
      </c>
      <c r="C758" s="44" t="s">
        <v>3234</v>
      </c>
      <c r="D758" s="44" t="s">
        <v>147</v>
      </c>
      <c r="E758" s="44" t="s">
        <v>51</v>
      </c>
      <c r="G758" s="44">
        <v>706</v>
      </c>
      <c r="H758" s="44" t="s">
        <v>2537</v>
      </c>
    </row>
    <row r="759" spans="1:8">
      <c r="A759" s="31">
        <f>COUNTIF('BOM Atual ZPCS12'!F:F,B759)+(1-(SUMIF(Invoice!$A:$A,$B759,Invoice!$B:$B)/100000000000))</f>
        <v>1</v>
      </c>
      <c r="B759" s="52" t="s">
        <v>3235</v>
      </c>
      <c r="C759" s="44" t="s">
        <v>3233</v>
      </c>
      <c r="D759" s="44" t="s">
        <v>147</v>
      </c>
      <c r="E759" s="44" t="s">
        <v>51</v>
      </c>
      <c r="G759" s="44">
        <v>706</v>
      </c>
      <c r="H759" s="44" t="s">
        <v>2537</v>
      </c>
    </row>
    <row r="760" spans="1:8">
      <c r="A760" s="31">
        <f>COUNTIF('BOM Atual ZPCS12'!F:F,B760)+(1-(SUMIF(Invoice!$A:$A,$B760,Invoice!$B:$B)/100000000000))</f>
        <v>2</v>
      </c>
      <c r="B760" s="52" t="s">
        <v>1123</v>
      </c>
      <c r="C760" s="44" t="s">
        <v>1124</v>
      </c>
      <c r="D760" s="44" t="s">
        <v>147</v>
      </c>
      <c r="E760" s="44" t="s">
        <v>51</v>
      </c>
      <c r="G760" s="44">
        <v>706</v>
      </c>
      <c r="H760" s="44" t="s">
        <v>2537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1125</v>
      </c>
      <c r="C761" s="44" t="s">
        <v>3236</v>
      </c>
      <c r="D761" s="44" t="s">
        <v>147</v>
      </c>
      <c r="E761" s="44" t="s">
        <v>51</v>
      </c>
      <c r="G761" s="44">
        <v>707</v>
      </c>
      <c r="H761" s="44" t="s">
        <v>2537</v>
      </c>
    </row>
    <row r="762" spans="1:8">
      <c r="A762" s="31">
        <f>COUNTIF('BOM Atual ZPCS12'!F:F,B762)+(1-(SUMIF(Invoice!$A:$A,$B762,Invoice!$B:$B)/100000000000))</f>
        <v>2</v>
      </c>
      <c r="B762" s="52" t="s">
        <v>1128</v>
      </c>
      <c r="C762" s="44" t="s">
        <v>3237</v>
      </c>
      <c r="D762" s="44" t="s">
        <v>147</v>
      </c>
      <c r="E762" s="44" t="s">
        <v>51</v>
      </c>
      <c r="G762" s="44">
        <v>707</v>
      </c>
      <c r="H762" s="44" t="s">
        <v>2537</v>
      </c>
    </row>
    <row r="763" spans="1:8">
      <c r="A763" s="31">
        <f>COUNTIF('BOM Atual ZPCS12'!F:F,B763)+(1-(SUMIF(Invoice!$A:$A,$B763,Invoice!$B:$B)/100000000000))</f>
        <v>1</v>
      </c>
      <c r="B763" s="52" t="s">
        <v>3238</v>
      </c>
      <c r="C763" s="44" t="s">
        <v>3236</v>
      </c>
      <c r="D763" s="44" t="s">
        <v>147</v>
      </c>
      <c r="E763" s="44" t="s">
        <v>51</v>
      </c>
      <c r="G763" s="44">
        <v>707</v>
      </c>
      <c r="H763" s="44" t="s">
        <v>2537</v>
      </c>
    </row>
    <row r="764" spans="1:8">
      <c r="A764" s="31">
        <f>COUNTIF('BOM Atual ZPCS12'!F:F,B764)+(1-(SUMIF(Invoice!$A:$A,$B764,Invoice!$B:$B)/100000000000))</f>
        <v>2</v>
      </c>
      <c r="B764" s="52" t="s">
        <v>1130</v>
      </c>
      <c r="C764" s="44" t="s">
        <v>1131</v>
      </c>
      <c r="D764" s="44" t="s">
        <v>147</v>
      </c>
      <c r="E764" s="44" t="s">
        <v>51</v>
      </c>
      <c r="G764" s="44">
        <v>707</v>
      </c>
      <c r="H764" s="44" t="s">
        <v>2537</v>
      </c>
    </row>
    <row r="765" spans="1:8">
      <c r="A765" s="31">
        <f>COUNTIF('BOM Atual ZPCS12'!F:F,B765)+(1-(SUMIF(Invoice!$A:$A,$B765,Invoice!$B:$B)/100000000000))</f>
        <v>1.99999985</v>
      </c>
      <c r="B765" s="52" t="s">
        <v>1132</v>
      </c>
      <c r="C765" s="44" t="s">
        <v>3239</v>
      </c>
      <c r="D765" s="44" t="s">
        <v>147</v>
      </c>
      <c r="E765" s="44" t="s">
        <v>51</v>
      </c>
      <c r="G765" s="44">
        <v>708</v>
      </c>
      <c r="H765" s="44" t="s">
        <v>2537</v>
      </c>
    </row>
    <row r="766" spans="1:8">
      <c r="A766" s="31">
        <f>COUNTIF('BOM Atual ZPCS12'!F:F,B766)+(1-(SUMIF(Invoice!$A:$A,$B766,Invoice!$B:$B)/100000000000))</f>
        <v>2</v>
      </c>
      <c r="B766" s="52" t="s">
        <v>1135</v>
      </c>
      <c r="C766" s="44" t="s">
        <v>3240</v>
      </c>
      <c r="D766" s="44" t="s">
        <v>147</v>
      </c>
      <c r="E766" s="44" t="s">
        <v>51</v>
      </c>
      <c r="G766" s="44">
        <v>708</v>
      </c>
      <c r="H766" s="44" t="s">
        <v>2537</v>
      </c>
    </row>
    <row r="767" spans="1:8">
      <c r="A767" s="31">
        <f>COUNTIF('BOM Atual ZPCS12'!F:F,B767)+(1-(SUMIF(Invoice!$A:$A,$B767,Invoice!$B:$B)/100000000000))</f>
        <v>1</v>
      </c>
      <c r="B767" s="52" t="s">
        <v>3241</v>
      </c>
      <c r="C767" s="44" t="s">
        <v>3239</v>
      </c>
      <c r="D767" s="44" t="s">
        <v>147</v>
      </c>
      <c r="E767" s="44" t="s">
        <v>51</v>
      </c>
      <c r="G767" s="44">
        <v>708</v>
      </c>
      <c r="H767" s="44" t="s">
        <v>2537</v>
      </c>
    </row>
    <row r="768" spans="1:8">
      <c r="A768" s="31">
        <f>COUNTIF('BOM Atual ZPCS12'!F:F,B768)+(1-(SUMIF(Invoice!$A:$A,$B768,Invoice!$B:$B)/100000000000))</f>
        <v>2</v>
      </c>
      <c r="B768" s="52" t="s">
        <v>1137</v>
      </c>
      <c r="C768" s="44" t="s">
        <v>1138</v>
      </c>
      <c r="D768" s="44" t="s">
        <v>147</v>
      </c>
      <c r="E768" s="44" t="s">
        <v>51</v>
      </c>
      <c r="G768" s="44">
        <v>708</v>
      </c>
      <c r="H768" s="44" t="s">
        <v>2537</v>
      </c>
    </row>
    <row r="769" spans="1:8">
      <c r="A769" s="31">
        <f>COUNTIF('BOM Atual ZPCS12'!F:F,B769)+(1-(SUMIF(Invoice!$A:$A,$B769,Invoice!$B:$B)/100000000000))</f>
        <v>1.9999999000000002</v>
      </c>
      <c r="B769" s="52" t="s">
        <v>1139</v>
      </c>
      <c r="C769" s="44" t="s">
        <v>3242</v>
      </c>
      <c r="D769" s="44" t="s">
        <v>147</v>
      </c>
      <c r="E769" s="44" t="s">
        <v>51</v>
      </c>
      <c r="G769" s="44">
        <v>709</v>
      </c>
      <c r="H769" s="44" t="s">
        <v>2537</v>
      </c>
    </row>
    <row r="770" spans="1:8">
      <c r="A770" s="31">
        <f>COUNTIF('BOM Atual ZPCS12'!F:F,B770)+(1-(SUMIF(Invoice!$A:$A,$B770,Invoice!$B:$B)/100000000000))</f>
        <v>2</v>
      </c>
      <c r="B770" s="52" t="s">
        <v>1142</v>
      </c>
      <c r="C770" s="44" t="s">
        <v>1143</v>
      </c>
      <c r="D770" s="44" t="s">
        <v>147</v>
      </c>
      <c r="E770" s="44" t="s">
        <v>51</v>
      </c>
      <c r="G770" s="44">
        <v>709</v>
      </c>
      <c r="H770" s="44" t="s">
        <v>2537</v>
      </c>
    </row>
    <row r="771" spans="1:8">
      <c r="A771" s="31">
        <f>COUNTIF('BOM Atual ZPCS12'!F:F,B771)+(1-(SUMIF(Invoice!$A:$A,$B771,Invoice!$B:$B)/100000000000))</f>
        <v>1</v>
      </c>
      <c r="B771" s="52" t="s">
        <v>3243</v>
      </c>
      <c r="C771" s="44" t="s">
        <v>3242</v>
      </c>
      <c r="D771" s="44" t="s">
        <v>147</v>
      </c>
      <c r="E771" s="44" t="s">
        <v>51</v>
      </c>
      <c r="G771" s="44">
        <v>709</v>
      </c>
      <c r="H771" s="44" t="s">
        <v>2537</v>
      </c>
    </row>
    <row r="772" spans="1:8">
      <c r="A772" s="31">
        <f>COUNTIF('BOM Atual ZPCS12'!F:F,B772)+(1-(SUMIF(Invoice!$A:$A,$B772,Invoice!$B:$B)/100000000000))</f>
        <v>2</v>
      </c>
      <c r="B772" s="52" t="s">
        <v>1144</v>
      </c>
      <c r="C772" s="44" t="s">
        <v>1145</v>
      </c>
      <c r="D772" s="44" t="s">
        <v>147</v>
      </c>
      <c r="E772" s="44" t="s">
        <v>51</v>
      </c>
      <c r="G772" s="44">
        <v>709</v>
      </c>
      <c r="H772" s="44" t="s">
        <v>2537</v>
      </c>
    </row>
    <row r="773" spans="1:8">
      <c r="A773" s="31">
        <f>COUNTIF('BOM Atual ZPCS12'!F:F,B773)+(1-(SUMIF(Invoice!$A:$A,$B773,Invoice!$B:$B)/100000000000))</f>
        <v>1.99999985</v>
      </c>
      <c r="B773" s="52" t="s">
        <v>1146</v>
      </c>
      <c r="C773" s="44" t="s">
        <v>1147</v>
      </c>
      <c r="D773" s="44" t="s">
        <v>147</v>
      </c>
      <c r="E773" s="44" t="s">
        <v>51</v>
      </c>
      <c r="G773" s="44">
        <v>710</v>
      </c>
      <c r="H773" s="44" t="s">
        <v>2537</v>
      </c>
    </row>
    <row r="774" spans="1:8">
      <c r="A774" s="31">
        <f>COUNTIF('BOM Atual ZPCS12'!F:F,B774)+(1-(SUMIF(Invoice!$A:$A,$B774,Invoice!$B:$B)/100000000000))</f>
        <v>2</v>
      </c>
      <c r="B774" s="52" t="s">
        <v>1149</v>
      </c>
      <c r="C774" s="44" t="s">
        <v>1150</v>
      </c>
      <c r="D774" s="44" t="s">
        <v>147</v>
      </c>
      <c r="E774" s="44" t="s">
        <v>51</v>
      </c>
      <c r="G774" s="44">
        <v>710</v>
      </c>
      <c r="H774" s="44" t="s">
        <v>2537</v>
      </c>
    </row>
    <row r="775" spans="1:8">
      <c r="A775" s="31">
        <f>COUNTIF('BOM Atual ZPCS12'!F:F,B775)+(1-(SUMIF(Invoice!$A:$A,$B775,Invoice!$B:$B)/100000000000))</f>
        <v>1</v>
      </c>
      <c r="B775" s="52" t="s">
        <v>3244</v>
      </c>
      <c r="C775" s="44" t="s">
        <v>3245</v>
      </c>
      <c r="D775" s="44" t="s">
        <v>147</v>
      </c>
      <c r="E775" s="44" t="s">
        <v>51</v>
      </c>
      <c r="G775" s="44">
        <v>710</v>
      </c>
      <c r="H775" s="44" t="s">
        <v>2537</v>
      </c>
    </row>
    <row r="776" spans="1:8">
      <c r="A776" s="31">
        <f>COUNTIF('BOM Atual ZPCS12'!F:F,B776)+(1-(SUMIF(Invoice!$A:$A,$B776,Invoice!$B:$B)/100000000000))</f>
        <v>2</v>
      </c>
      <c r="B776" s="52" t="s">
        <v>1151</v>
      </c>
      <c r="C776" s="44" t="s">
        <v>1152</v>
      </c>
      <c r="D776" s="44" t="s">
        <v>147</v>
      </c>
      <c r="E776" s="44" t="s">
        <v>51</v>
      </c>
      <c r="G776" s="44">
        <v>710</v>
      </c>
      <c r="H776" s="44" t="s">
        <v>2537</v>
      </c>
    </row>
    <row r="777" spans="1:8">
      <c r="A777" s="31">
        <f>COUNTIF('BOM Atual ZPCS12'!F:F,B777)+(1-(SUMIF(Invoice!$A:$A,$B777,Invoice!$B:$B)/100000000000))</f>
        <v>1.9999999499999999</v>
      </c>
      <c r="B777" s="52" t="s">
        <v>1160</v>
      </c>
      <c r="C777" s="44" t="s">
        <v>1161</v>
      </c>
      <c r="D777" s="44" t="s">
        <v>147</v>
      </c>
      <c r="E777" s="44" t="s">
        <v>51</v>
      </c>
      <c r="G777" s="44">
        <v>711</v>
      </c>
      <c r="H777" s="44" t="s">
        <v>2537</v>
      </c>
    </row>
    <row r="778" spans="1:8">
      <c r="A778" s="31">
        <f>COUNTIF('BOM Atual ZPCS12'!F:F,B778)+(1-(SUMIF(Invoice!$A:$A,$B778,Invoice!$B:$B)/100000000000))</f>
        <v>2</v>
      </c>
      <c r="B778" s="52" t="s">
        <v>1163</v>
      </c>
      <c r="C778" s="44" t="s">
        <v>1164</v>
      </c>
      <c r="D778" s="44" t="s">
        <v>147</v>
      </c>
      <c r="E778" s="44" t="s">
        <v>51</v>
      </c>
      <c r="G778" s="44">
        <v>711</v>
      </c>
      <c r="H778" s="44" t="s">
        <v>2537</v>
      </c>
    </row>
    <row r="779" spans="1:8">
      <c r="A779" s="31">
        <f>COUNTIF('BOM Atual ZPCS12'!F:F,B779)+(1-(SUMIF(Invoice!$A:$A,$B779,Invoice!$B:$B)/100000000000))</f>
        <v>1</v>
      </c>
      <c r="B779" s="52" t="s">
        <v>3246</v>
      </c>
      <c r="C779" s="44" t="s">
        <v>3247</v>
      </c>
      <c r="D779" s="44" t="s">
        <v>147</v>
      </c>
      <c r="E779" s="44" t="s">
        <v>51</v>
      </c>
      <c r="G779" s="44">
        <v>711</v>
      </c>
      <c r="H779" s="44" t="s">
        <v>2537</v>
      </c>
    </row>
    <row r="780" spans="1:8">
      <c r="A780" s="31">
        <f>COUNTIF('BOM Atual ZPCS12'!F:F,B780)+(1-(SUMIF(Invoice!$A:$A,$B780,Invoice!$B:$B)/100000000000))</f>
        <v>2</v>
      </c>
      <c r="B780" s="52" t="s">
        <v>1165</v>
      </c>
      <c r="C780" s="44" t="s">
        <v>1166</v>
      </c>
      <c r="D780" s="44" t="s">
        <v>147</v>
      </c>
      <c r="E780" s="44" t="s">
        <v>51</v>
      </c>
      <c r="G780" s="44">
        <v>711</v>
      </c>
      <c r="H780" s="44" t="s">
        <v>2537</v>
      </c>
    </row>
    <row r="781" spans="1:8">
      <c r="A781" s="31">
        <f>COUNTIF('BOM Atual ZPCS12'!F:F,B781)+(1-(SUMIF(Invoice!$A:$A,$B781,Invoice!$B:$B)/100000000000))</f>
        <v>1</v>
      </c>
      <c r="B781" s="52" t="s">
        <v>3248</v>
      </c>
      <c r="C781" s="44" t="s">
        <v>3249</v>
      </c>
      <c r="D781" s="44" t="s">
        <v>147</v>
      </c>
      <c r="E781" s="44" t="s">
        <v>51</v>
      </c>
      <c r="G781" s="44">
        <v>712</v>
      </c>
      <c r="H781" s="44" t="s">
        <v>2537</v>
      </c>
    </row>
    <row r="782" spans="1:8">
      <c r="A782" s="31">
        <f>COUNTIF('BOM Atual ZPCS12'!F:F,B782)+(1-(SUMIF(Invoice!$A:$A,$B782,Invoice!$B:$B)/100000000000))</f>
        <v>1</v>
      </c>
      <c r="B782" s="52" t="s">
        <v>3250</v>
      </c>
      <c r="C782" s="44" t="s">
        <v>3251</v>
      </c>
      <c r="D782" s="44" t="s">
        <v>147</v>
      </c>
      <c r="E782" s="44" t="s">
        <v>51</v>
      </c>
      <c r="G782" s="44">
        <v>712</v>
      </c>
      <c r="H782" s="44" t="s">
        <v>2537</v>
      </c>
    </row>
    <row r="783" spans="1:8">
      <c r="A783" s="31">
        <f>COUNTIF('BOM Atual ZPCS12'!F:F,B783)+(1-(SUMIF(Invoice!$A:$A,$B783,Invoice!$B:$B)/100000000000))</f>
        <v>1</v>
      </c>
      <c r="B783" s="52" t="s">
        <v>3252</v>
      </c>
      <c r="C783" s="44" t="s">
        <v>3253</v>
      </c>
      <c r="D783" s="44" t="s">
        <v>147</v>
      </c>
      <c r="E783" s="44" t="s">
        <v>51</v>
      </c>
      <c r="G783" s="44">
        <v>712</v>
      </c>
      <c r="H783" s="44" t="s">
        <v>2537</v>
      </c>
    </row>
    <row r="784" spans="1:8">
      <c r="A784" s="31">
        <f>COUNTIF('BOM Atual ZPCS12'!F:F,B784)+(1-(SUMIF(Invoice!$A:$A,$B784,Invoice!$B:$B)/100000000000))</f>
        <v>1</v>
      </c>
      <c r="B784" s="52" t="s">
        <v>3254</v>
      </c>
      <c r="C784" s="44" t="s">
        <v>3255</v>
      </c>
      <c r="D784" s="44" t="s">
        <v>147</v>
      </c>
      <c r="E784" s="44" t="s">
        <v>51</v>
      </c>
      <c r="G784" s="44">
        <v>712</v>
      </c>
      <c r="H784" s="44" t="s">
        <v>2537</v>
      </c>
    </row>
    <row r="785" spans="1:8">
      <c r="A785" s="31">
        <f>COUNTIF('BOM Atual ZPCS12'!F:F,B785)+(1-(SUMIF(Invoice!$A:$A,$B785,Invoice!$B:$B)/100000000000))</f>
        <v>2</v>
      </c>
      <c r="B785" s="52" t="s">
        <v>1174</v>
      </c>
      <c r="C785" s="44" t="s">
        <v>3256</v>
      </c>
      <c r="D785" s="44" t="s">
        <v>147</v>
      </c>
      <c r="E785" s="44" t="s">
        <v>51</v>
      </c>
      <c r="G785" s="44">
        <v>713</v>
      </c>
      <c r="H785" s="44" t="s">
        <v>2537</v>
      </c>
    </row>
    <row r="786" spans="1:8">
      <c r="A786" s="31">
        <f>COUNTIF('BOM Atual ZPCS12'!F:F,B786)+(1-(SUMIF(Invoice!$A:$A,$B786,Invoice!$B:$B)/100000000000))</f>
        <v>1.9999997999999999</v>
      </c>
      <c r="B786" s="52" t="s">
        <v>1177</v>
      </c>
      <c r="C786" s="44" t="s">
        <v>1178</v>
      </c>
      <c r="D786" s="44" t="s">
        <v>147</v>
      </c>
      <c r="E786" s="44" t="s">
        <v>51</v>
      </c>
      <c r="G786" s="44">
        <v>713</v>
      </c>
      <c r="H786" s="44" t="s">
        <v>2537</v>
      </c>
    </row>
    <row r="787" spans="1:8">
      <c r="A787" s="31">
        <f>COUNTIF('BOM Atual ZPCS12'!F:F,B787)+(1-(SUMIF(Invoice!$A:$A,$B787,Invoice!$B:$B)/100000000000))</f>
        <v>1</v>
      </c>
      <c r="B787" s="52" t="s">
        <v>3257</v>
      </c>
      <c r="C787" s="44" t="s">
        <v>3256</v>
      </c>
      <c r="D787" s="44" t="s">
        <v>147</v>
      </c>
      <c r="E787" s="44" t="s">
        <v>51</v>
      </c>
      <c r="G787" s="44">
        <v>713</v>
      </c>
      <c r="H787" s="44" t="s">
        <v>2537</v>
      </c>
    </row>
    <row r="788" spans="1:8">
      <c r="A788" s="31">
        <f>COUNTIF('BOM Atual ZPCS12'!F:F,B788)+(1-(SUMIF(Invoice!$A:$A,$B788,Invoice!$B:$B)/100000000000))</f>
        <v>2</v>
      </c>
      <c r="B788" s="52" t="s">
        <v>1179</v>
      </c>
      <c r="C788" s="44" t="s">
        <v>1180</v>
      </c>
      <c r="D788" s="44" t="s">
        <v>147</v>
      </c>
      <c r="E788" s="44" t="s">
        <v>51</v>
      </c>
      <c r="G788" s="44">
        <v>713</v>
      </c>
      <c r="H788" s="44" t="s">
        <v>2537</v>
      </c>
    </row>
    <row r="789" spans="1:8">
      <c r="A789" s="31">
        <f>COUNTIF('BOM Atual ZPCS12'!F:F,B789)+(1-(SUMIF(Invoice!$A:$A,$B789,Invoice!$B:$B)/100000000000))</f>
        <v>2</v>
      </c>
      <c r="B789" s="52" t="s">
        <v>1181</v>
      </c>
      <c r="C789" s="44" t="s">
        <v>3258</v>
      </c>
      <c r="D789" s="44" t="s">
        <v>147</v>
      </c>
      <c r="E789" s="44" t="s">
        <v>51</v>
      </c>
      <c r="G789" s="44">
        <v>714</v>
      </c>
      <c r="H789" s="44" t="s">
        <v>2537</v>
      </c>
    </row>
    <row r="790" spans="1:8">
      <c r="A790" s="31">
        <f>COUNTIF('BOM Atual ZPCS12'!F:F,B790)+(1-(SUMIF(Invoice!$A:$A,$B790,Invoice!$B:$B)/100000000000))</f>
        <v>2</v>
      </c>
      <c r="B790" s="52" t="s">
        <v>1184</v>
      </c>
      <c r="C790" s="44" t="s">
        <v>3258</v>
      </c>
      <c r="D790" s="44" t="s">
        <v>147</v>
      </c>
      <c r="E790" s="44" t="s">
        <v>51</v>
      </c>
      <c r="G790" s="44">
        <v>714</v>
      </c>
      <c r="H790" s="44" t="s">
        <v>2537</v>
      </c>
    </row>
    <row r="791" spans="1:8">
      <c r="A791" s="31">
        <f>COUNTIF('BOM Atual ZPCS12'!F:F,B791)+(1-(SUMIF(Invoice!$A:$A,$B791,Invoice!$B:$B)/100000000000))</f>
        <v>1</v>
      </c>
      <c r="B791" s="52" t="s">
        <v>3259</v>
      </c>
      <c r="C791" s="44" t="s">
        <v>3260</v>
      </c>
      <c r="D791" s="44" t="s">
        <v>147</v>
      </c>
      <c r="E791" s="44" t="s">
        <v>51</v>
      </c>
      <c r="G791" s="44">
        <v>714</v>
      </c>
      <c r="H791" s="44" t="s">
        <v>2537</v>
      </c>
    </row>
    <row r="792" spans="1:8">
      <c r="A792" s="31">
        <f>COUNTIF('BOM Atual ZPCS12'!F:F,B792)+(1-(SUMIF(Invoice!$A:$A,$B792,Invoice!$B:$B)/100000000000))</f>
        <v>1.9999999499999999</v>
      </c>
      <c r="B792" s="52" t="s">
        <v>1185</v>
      </c>
      <c r="C792" s="44" t="s">
        <v>1186</v>
      </c>
      <c r="D792" s="44" t="s">
        <v>147</v>
      </c>
      <c r="E792" s="44" t="s">
        <v>51</v>
      </c>
      <c r="G792" s="44">
        <v>714</v>
      </c>
      <c r="H792" s="44" t="s">
        <v>2537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1194</v>
      </c>
      <c r="C793" s="44" t="s">
        <v>1195</v>
      </c>
      <c r="D793" s="44" t="s">
        <v>147</v>
      </c>
      <c r="E793" s="44" t="s">
        <v>51</v>
      </c>
      <c r="G793" s="44">
        <v>715</v>
      </c>
      <c r="H793" s="44" t="s">
        <v>2537</v>
      </c>
    </row>
    <row r="794" spans="1:8">
      <c r="A794" s="31">
        <f>COUNTIF('BOM Atual ZPCS12'!F:F,B794)+(1-(SUMIF(Invoice!$A:$A,$B794,Invoice!$B:$B)/100000000000))</f>
        <v>2</v>
      </c>
      <c r="B794" s="52" t="s">
        <v>1197</v>
      </c>
      <c r="C794" s="44" t="s">
        <v>1198</v>
      </c>
      <c r="D794" s="44" t="s">
        <v>147</v>
      </c>
      <c r="E794" s="44" t="s">
        <v>51</v>
      </c>
      <c r="G794" s="44">
        <v>715</v>
      </c>
      <c r="H794" s="44" t="s">
        <v>2537</v>
      </c>
    </row>
    <row r="795" spans="1:8">
      <c r="A795" s="31">
        <f>COUNTIF('BOM Atual ZPCS12'!F:F,B795)+(1-(SUMIF(Invoice!$A:$A,$B795,Invoice!$B:$B)/100000000000))</f>
        <v>1</v>
      </c>
      <c r="B795" s="52" t="s">
        <v>3261</v>
      </c>
      <c r="C795" s="44" t="s">
        <v>3262</v>
      </c>
      <c r="D795" s="44" t="s">
        <v>147</v>
      </c>
      <c r="E795" s="44" t="s">
        <v>51</v>
      </c>
      <c r="G795" s="44">
        <v>715</v>
      </c>
      <c r="H795" s="44" t="s">
        <v>2537</v>
      </c>
    </row>
    <row r="796" spans="1:8">
      <c r="A796" s="31">
        <f>COUNTIF('BOM Atual ZPCS12'!F:F,B796)+(1-(SUMIF(Invoice!$A:$A,$B796,Invoice!$B:$B)/100000000000))</f>
        <v>2</v>
      </c>
      <c r="B796" s="52" t="s">
        <v>1199</v>
      </c>
      <c r="C796" s="44" t="s">
        <v>1200</v>
      </c>
      <c r="D796" s="44" t="s">
        <v>147</v>
      </c>
      <c r="E796" s="44" t="s">
        <v>51</v>
      </c>
      <c r="G796" s="44">
        <v>715</v>
      </c>
      <c r="H796" s="44" t="s">
        <v>2537</v>
      </c>
    </row>
    <row r="797" spans="1:8">
      <c r="A797" s="31">
        <f>COUNTIF('BOM Atual ZPCS12'!F:F,B797)+(1-(SUMIF(Invoice!$A:$A,$B797,Invoice!$B:$B)/100000000000))</f>
        <v>1.9999999499999999</v>
      </c>
      <c r="B797" s="52" t="s">
        <v>1201</v>
      </c>
      <c r="C797" s="44" t="s">
        <v>3263</v>
      </c>
      <c r="D797" s="44" t="s">
        <v>147</v>
      </c>
      <c r="E797" s="44" t="s">
        <v>51</v>
      </c>
      <c r="G797" s="44">
        <v>716</v>
      </c>
      <c r="H797" s="44" t="s">
        <v>2537</v>
      </c>
    </row>
    <row r="798" spans="1:8">
      <c r="A798" s="31">
        <f>COUNTIF('BOM Atual ZPCS12'!F:F,B798)+(1-(SUMIF(Invoice!$A:$A,$B798,Invoice!$B:$B)/100000000000))</f>
        <v>2</v>
      </c>
      <c r="B798" s="52" t="s">
        <v>1204</v>
      </c>
      <c r="C798" s="44" t="s">
        <v>3263</v>
      </c>
      <c r="D798" s="44" t="s">
        <v>147</v>
      </c>
      <c r="E798" s="44" t="s">
        <v>51</v>
      </c>
      <c r="G798" s="44">
        <v>716</v>
      </c>
      <c r="H798" s="44" t="s">
        <v>2537</v>
      </c>
    </row>
    <row r="799" spans="1:8">
      <c r="A799" s="31">
        <f>COUNTIF('BOM Atual ZPCS12'!F:F,B799)+(1-(SUMIF(Invoice!$A:$A,$B799,Invoice!$B:$B)/100000000000))</f>
        <v>1</v>
      </c>
      <c r="B799" s="52" t="s">
        <v>3264</v>
      </c>
      <c r="C799" s="44" t="s">
        <v>3263</v>
      </c>
      <c r="D799" s="44" t="s">
        <v>147</v>
      </c>
      <c r="E799" s="44" t="s">
        <v>51</v>
      </c>
      <c r="G799" s="44">
        <v>716</v>
      </c>
      <c r="H799" s="44" t="s">
        <v>2537</v>
      </c>
    </row>
    <row r="800" spans="1:8">
      <c r="A800" s="31">
        <f>COUNTIF('BOM Atual ZPCS12'!F:F,B800)+(1-(SUMIF(Invoice!$A:$A,$B800,Invoice!$B:$B)/100000000000))</f>
        <v>2</v>
      </c>
      <c r="B800" s="52" t="s">
        <v>1205</v>
      </c>
      <c r="C800" s="44" t="s">
        <v>1206</v>
      </c>
      <c r="D800" s="44" t="s">
        <v>147</v>
      </c>
      <c r="E800" s="44" t="s">
        <v>51</v>
      </c>
      <c r="G800" s="44">
        <v>716</v>
      </c>
      <c r="H800" s="44" t="s">
        <v>2537</v>
      </c>
    </row>
    <row r="801" spans="1:8">
      <c r="A801" s="31">
        <f>COUNTIF('BOM Atual ZPCS12'!F:F,B801)+(1-(SUMIF(Invoice!$A:$A,$B801,Invoice!$B:$B)/100000000000))</f>
        <v>1.9999999000000002</v>
      </c>
      <c r="B801" s="52" t="s">
        <v>1228</v>
      </c>
      <c r="C801" s="44" t="s">
        <v>1229</v>
      </c>
      <c r="D801" s="44" t="s">
        <v>147</v>
      </c>
      <c r="E801" s="44" t="s">
        <v>51</v>
      </c>
      <c r="G801" s="44">
        <v>717</v>
      </c>
      <c r="H801" s="44" t="s">
        <v>2537</v>
      </c>
    </row>
    <row r="802" spans="1:8">
      <c r="A802" s="31">
        <f>COUNTIF('BOM Atual ZPCS12'!F:F,B802)+(1-(SUMIF(Invoice!$A:$A,$B802,Invoice!$B:$B)/100000000000))</f>
        <v>2</v>
      </c>
      <c r="B802" s="52" t="s">
        <v>1231</v>
      </c>
      <c r="C802" s="44" t="s">
        <v>1232</v>
      </c>
      <c r="D802" s="44" t="s">
        <v>147</v>
      </c>
      <c r="E802" s="44" t="s">
        <v>51</v>
      </c>
      <c r="G802" s="44">
        <v>717</v>
      </c>
      <c r="H802" s="44" t="s">
        <v>2537</v>
      </c>
    </row>
    <row r="803" spans="1:8">
      <c r="A803" s="31">
        <f>COUNTIF('BOM Atual ZPCS12'!F:F,B803)+(1-(SUMIF(Invoice!$A:$A,$B803,Invoice!$B:$B)/100000000000))</f>
        <v>1</v>
      </c>
      <c r="B803" s="52" t="s">
        <v>3265</v>
      </c>
      <c r="C803" s="44" t="s">
        <v>3266</v>
      </c>
      <c r="D803" s="44" t="s">
        <v>147</v>
      </c>
      <c r="E803" s="44" t="s">
        <v>51</v>
      </c>
      <c r="G803" s="44">
        <v>717</v>
      </c>
      <c r="H803" s="44" t="s">
        <v>2537</v>
      </c>
    </row>
    <row r="804" spans="1:8">
      <c r="A804" s="31">
        <f>COUNTIF('BOM Atual ZPCS12'!F:F,B804)+(1-(SUMIF(Invoice!$A:$A,$B804,Invoice!$B:$B)/100000000000))</f>
        <v>2</v>
      </c>
      <c r="B804" s="52" t="s">
        <v>1233</v>
      </c>
      <c r="C804" s="44" t="s">
        <v>1234</v>
      </c>
      <c r="D804" s="44" t="s">
        <v>147</v>
      </c>
      <c r="E804" s="44" t="s">
        <v>51</v>
      </c>
      <c r="G804" s="44">
        <v>717</v>
      </c>
      <c r="H804" s="44" t="s">
        <v>2537</v>
      </c>
    </row>
    <row r="805" spans="1:8">
      <c r="A805" s="31">
        <f>COUNTIF('BOM Atual ZPCS12'!F:F,B805)+(1-(SUMIF(Invoice!$A:$A,$B805,Invoice!$B:$B)/100000000000))</f>
        <v>1</v>
      </c>
      <c r="B805" s="52" t="s">
        <v>3267</v>
      </c>
      <c r="C805" s="44" t="s">
        <v>3268</v>
      </c>
      <c r="D805" s="44" t="s">
        <v>147</v>
      </c>
      <c r="E805" s="44" t="s">
        <v>51</v>
      </c>
      <c r="G805" s="44">
        <v>718</v>
      </c>
      <c r="H805" s="44" t="s">
        <v>2537</v>
      </c>
    </row>
    <row r="806" spans="1:8">
      <c r="A806" s="31">
        <f>COUNTIF('BOM Atual ZPCS12'!F:F,B806)+(1-(SUMIF(Invoice!$A:$A,$B806,Invoice!$B:$B)/100000000000))</f>
        <v>1</v>
      </c>
      <c r="B806" s="52" t="s">
        <v>3269</v>
      </c>
      <c r="C806" s="44" t="s">
        <v>3270</v>
      </c>
      <c r="D806" s="44" t="s">
        <v>147</v>
      </c>
      <c r="E806" s="44" t="s">
        <v>51</v>
      </c>
      <c r="G806" s="44">
        <v>718</v>
      </c>
      <c r="H806" s="44" t="s">
        <v>2537</v>
      </c>
    </row>
    <row r="807" spans="1:8">
      <c r="A807" s="31">
        <f>COUNTIF('BOM Atual ZPCS12'!F:F,B807)+(1-(SUMIF(Invoice!$A:$A,$B807,Invoice!$B:$B)/100000000000))</f>
        <v>1</v>
      </c>
      <c r="B807" s="52" t="s">
        <v>3271</v>
      </c>
      <c r="C807" s="44" t="s">
        <v>3272</v>
      </c>
      <c r="D807" s="44" t="s">
        <v>147</v>
      </c>
      <c r="E807" s="44" t="s">
        <v>51</v>
      </c>
      <c r="G807" s="44">
        <v>718</v>
      </c>
      <c r="H807" s="44" t="s">
        <v>2537</v>
      </c>
    </row>
    <row r="808" spans="1:8">
      <c r="A808" s="31">
        <f>COUNTIF('BOM Atual ZPCS12'!F:F,B808)+(1-(SUMIF(Invoice!$A:$A,$B808,Invoice!$B:$B)/100000000000))</f>
        <v>1</v>
      </c>
      <c r="B808" s="52" t="s">
        <v>3273</v>
      </c>
      <c r="C808" s="44" t="s">
        <v>3274</v>
      </c>
      <c r="D808" s="44" t="s">
        <v>147</v>
      </c>
      <c r="E808" s="44" t="s">
        <v>51</v>
      </c>
      <c r="G808" s="44">
        <v>718</v>
      </c>
      <c r="H808" s="44" t="s">
        <v>2537</v>
      </c>
    </row>
    <row r="809" spans="1:8">
      <c r="A809" s="31">
        <f>COUNTIF('BOM Atual ZPCS12'!F:F,B809)+(1-(SUMIF(Invoice!$A:$A,$B809,Invoice!$B:$B)/100000000000))</f>
        <v>1.9999999499999999</v>
      </c>
      <c r="B809" s="52" t="s">
        <v>1272</v>
      </c>
      <c r="C809" s="44" t="s">
        <v>1273</v>
      </c>
      <c r="D809" s="44" t="s">
        <v>147</v>
      </c>
      <c r="E809" s="44" t="s">
        <v>51</v>
      </c>
      <c r="G809" s="44">
        <v>719</v>
      </c>
      <c r="H809" s="44" t="s">
        <v>2537</v>
      </c>
    </row>
    <row r="810" spans="1:8">
      <c r="A810" s="31">
        <f>COUNTIF('BOM Atual ZPCS12'!F:F,B810)+(1-(SUMIF(Invoice!$A:$A,$B810,Invoice!$B:$B)/100000000000))</f>
        <v>2</v>
      </c>
      <c r="B810" s="52" t="s">
        <v>1275</v>
      </c>
      <c r="C810" s="44" t="s">
        <v>1276</v>
      </c>
      <c r="D810" s="44" t="s">
        <v>147</v>
      </c>
      <c r="E810" s="44" t="s">
        <v>51</v>
      </c>
      <c r="G810" s="44">
        <v>719</v>
      </c>
      <c r="H810" s="44" t="s">
        <v>2537</v>
      </c>
    </row>
    <row r="811" spans="1:8">
      <c r="A811" s="31">
        <f>COUNTIF('BOM Atual ZPCS12'!F:F,B811)+(1-(SUMIF(Invoice!$A:$A,$B811,Invoice!$B:$B)/100000000000))</f>
        <v>1</v>
      </c>
      <c r="B811" s="52" t="s">
        <v>3275</v>
      </c>
      <c r="C811" s="44" t="s">
        <v>3276</v>
      </c>
      <c r="D811" s="44" t="s">
        <v>147</v>
      </c>
      <c r="E811" s="44" t="s">
        <v>51</v>
      </c>
      <c r="G811" s="44">
        <v>719</v>
      </c>
      <c r="H811" s="44" t="s">
        <v>2537</v>
      </c>
    </row>
    <row r="812" spans="1:8">
      <c r="A812" s="31">
        <f>COUNTIF('BOM Atual ZPCS12'!F:F,B812)+(1-(SUMIF(Invoice!$A:$A,$B812,Invoice!$B:$B)/100000000000))</f>
        <v>2</v>
      </c>
      <c r="B812" s="52" t="s">
        <v>1277</v>
      </c>
      <c r="C812" s="44" t="s">
        <v>1278</v>
      </c>
      <c r="D812" s="44" t="s">
        <v>147</v>
      </c>
      <c r="E812" s="44" t="s">
        <v>51</v>
      </c>
      <c r="G812" s="44">
        <v>719</v>
      </c>
      <c r="H812" s="44" t="s">
        <v>2537</v>
      </c>
    </row>
    <row r="813" spans="1:8">
      <c r="A813" s="31">
        <f>COUNTIF('BOM Atual ZPCS12'!F:F,B813)+(1-(SUMIF(Invoice!$A:$A,$B813,Invoice!$B:$B)/100000000000))</f>
        <v>1.9999999499999999</v>
      </c>
      <c r="B813" s="52" t="s">
        <v>1286</v>
      </c>
      <c r="C813" s="44" t="s">
        <v>1287</v>
      </c>
      <c r="D813" s="44" t="s">
        <v>147</v>
      </c>
      <c r="E813" s="44" t="s">
        <v>51</v>
      </c>
      <c r="G813" s="44">
        <v>720</v>
      </c>
      <c r="H813" s="44" t="s">
        <v>2537</v>
      </c>
    </row>
    <row r="814" spans="1:8">
      <c r="A814" s="31">
        <f>COUNTIF('BOM Atual ZPCS12'!F:F,B814)+(1-(SUMIF(Invoice!$A:$A,$B814,Invoice!$B:$B)/100000000000))</f>
        <v>2</v>
      </c>
      <c r="B814" s="52" t="s">
        <v>1289</v>
      </c>
      <c r="C814" s="44" t="s">
        <v>1290</v>
      </c>
      <c r="D814" s="44" t="s">
        <v>147</v>
      </c>
      <c r="E814" s="44" t="s">
        <v>51</v>
      </c>
      <c r="G814" s="44">
        <v>720</v>
      </c>
      <c r="H814" s="44" t="s">
        <v>2537</v>
      </c>
    </row>
    <row r="815" spans="1:8">
      <c r="A815" s="31">
        <f>COUNTIF('BOM Atual ZPCS12'!F:F,B815)+(1-(SUMIF(Invoice!$A:$A,$B815,Invoice!$B:$B)/100000000000))</f>
        <v>1</v>
      </c>
      <c r="B815" s="52" t="s">
        <v>3277</v>
      </c>
      <c r="C815" s="44" t="s">
        <v>3278</v>
      </c>
      <c r="D815" s="44" t="s">
        <v>147</v>
      </c>
      <c r="E815" s="44" t="s">
        <v>51</v>
      </c>
      <c r="G815" s="44">
        <v>720</v>
      </c>
      <c r="H815" s="44" t="s">
        <v>2537</v>
      </c>
    </row>
    <row r="816" spans="1:8">
      <c r="A816" s="31">
        <f>COUNTIF('BOM Atual ZPCS12'!F:F,B816)+(1-(SUMIF(Invoice!$A:$A,$B816,Invoice!$B:$B)/100000000000))</f>
        <v>2</v>
      </c>
      <c r="B816" s="52" t="s">
        <v>1291</v>
      </c>
      <c r="C816" s="44" t="s">
        <v>1292</v>
      </c>
      <c r="D816" s="44" t="s">
        <v>147</v>
      </c>
      <c r="E816" s="44" t="s">
        <v>51</v>
      </c>
      <c r="G816" s="44">
        <v>720</v>
      </c>
      <c r="H816" s="44" t="s">
        <v>2537</v>
      </c>
    </row>
    <row r="817" spans="1:8">
      <c r="A817" s="31">
        <f>COUNTIF('BOM Atual ZPCS12'!F:F,B817)+(1-(SUMIF(Invoice!$A:$A,$B817,Invoice!$B:$B)/100000000000))</f>
        <v>1</v>
      </c>
      <c r="B817" s="52" t="s">
        <v>3279</v>
      </c>
      <c r="C817" s="44" t="s">
        <v>3280</v>
      </c>
      <c r="D817" s="44" t="s">
        <v>147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3281</v>
      </c>
      <c r="C818" s="44" t="s">
        <v>3282</v>
      </c>
      <c r="D818" s="44" t="s">
        <v>147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3283</v>
      </c>
      <c r="C819" s="44" t="s">
        <v>3284</v>
      </c>
      <c r="D819" s="44" t="s">
        <v>147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1</v>
      </c>
      <c r="B820" s="52" t="s">
        <v>3285</v>
      </c>
      <c r="C820" s="44" t="s">
        <v>3286</v>
      </c>
      <c r="D820" s="44" t="s">
        <v>147</v>
      </c>
      <c r="E820" s="44" t="s">
        <v>51</v>
      </c>
      <c r="G820" s="44">
        <v>722</v>
      </c>
      <c r="H820" s="44" t="s">
        <v>2537</v>
      </c>
    </row>
    <row r="821" spans="1:8">
      <c r="A821" s="31">
        <f>COUNTIF('BOM Atual ZPCS12'!F:F,B821)+(1-(SUMIF(Invoice!$A:$A,$B821,Invoice!$B:$B)/100000000000))</f>
        <v>1</v>
      </c>
      <c r="B821" s="52" t="s">
        <v>3287</v>
      </c>
      <c r="C821" s="44" t="s">
        <v>3288</v>
      </c>
      <c r="D821" s="44" t="s">
        <v>147</v>
      </c>
      <c r="E821" s="44" t="s">
        <v>51</v>
      </c>
      <c r="G821" s="44">
        <v>722</v>
      </c>
      <c r="H821" s="44" t="s">
        <v>2537</v>
      </c>
    </row>
    <row r="822" spans="1:8">
      <c r="A822" s="31">
        <f>COUNTIF('BOM Atual ZPCS12'!F:F,B822)+(1-(SUMIF(Invoice!$A:$A,$B822,Invoice!$B:$B)/100000000000))</f>
        <v>1</v>
      </c>
      <c r="B822" s="52" t="s">
        <v>3289</v>
      </c>
      <c r="C822" s="44" t="s">
        <v>3290</v>
      </c>
      <c r="D822" s="44" t="s">
        <v>147</v>
      </c>
      <c r="E822" s="44" t="s">
        <v>51</v>
      </c>
      <c r="G822" s="44">
        <v>722</v>
      </c>
      <c r="H822" s="44" t="s">
        <v>2537</v>
      </c>
    </row>
    <row r="823" spans="1:8">
      <c r="A823" s="31">
        <f>COUNTIF('BOM Atual ZPCS12'!F:F,B823)+(1-(SUMIF(Invoice!$A:$A,$B823,Invoice!$B:$B)/100000000000))</f>
        <v>1</v>
      </c>
      <c r="B823" s="52" t="s">
        <v>3291</v>
      </c>
      <c r="C823" s="44" t="s">
        <v>3292</v>
      </c>
      <c r="D823" s="44" t="s">
        <v>147</v>
      </c>
      <c r="E823" s="44" t="s">
        <v>51</v>
      </c>
      <c r="G823" s="44">
        <v>722</v>
      </c>
      <c r="H823" s="44" t="s">
        <v>2537</v>
      </c>
    </row>
    <row r="824" spans="1:8">
      <c r="A824" s="31">
        <f>COUNTIF('BOM Atual ZPCS12'!F:F,B824)+(1-(SUMIF(Invoice!$A:$A,$B824,Invoice!$B:$B)/100000000000))</f>
        <v>1.99999985</v>
      </c>
      <c r="B824" s="52" t="s">
        <v>1307</v>
      </c>
      <c r="C824" s="44" t="s">
        <v>3293</v>
      </c>
      <c r="D824" s="44" t="s">
        <v>147</v>
      </c>
      <c r="E824" s="44" t="s">
        <v>51</v>
      </c>
      <c r="G824" s="44">
        <v>723</v>
      </c>
      <c r="H824" s="44" t="s">
        <v>2537</v>
      </c>
    </row>
    <row r="825" spans="1:8">
      <c r="A825" s="31">
        <f>COUNTIF('BOM Atual ZPCS12'!F:F,B825)+(1-(SUMIF(Invoice!$A:$A,$B825,Invoice!$B:$B)/100000000000))</f>
        <v>2</v>
      </c>
      <c r="B825" s="52" t="s">
        <v>1310</v>
      </c>
      <c r="C825" s="44" t="s">
        <v>3294</v>
      </c>
      <c r="D825" s="44" t="s">
        <v>147</v>
      </c>
      <c r="E825" s="44" t="s">
        <v>51</v>
      </c>
      <c r="G825" s="44">
        <v>723</v>
      </c>
      <c r="H825" s="44" t="s">
        <v>2537</v>
      </c>
    </row>
    <row r="826" spans="1:8">
      <c r="A826" s="31">
        <f>COUNTIF('BOM Atual ZPCS12'!F:F,B826)+(1-(SUMIF(Invoice!$A:$A,$B826,Invoice!$B:$B)/100000000000))</f>
        <v>1</v>
      </c>
      <c r="B826" s="52" t="s">
        <v>3295</v>
      </c>
      <c r="C826" s="44" t="s">
        <v>3296</v>
      </c>
      <c r="D826" s="44" t="s">
        <v>147</v>
      </c>
      <c r="E826" s="44" t="s">
        <v>51</v>
      </c>
      <c r="G826" s="44">
        <v>723</v>
      </c>
      <c r="H826" s="44" t="s">
        <v>2537</v>
      </c>
    </row>
    <row r="827" spans="1:8">
      <c r="A827" s="31">
        <f>COUNTIF('BOM Atual ZPCS12'!F:F,B827)+(1-(SUMIF(Invoice!$A:$A,$B827,Invoice!$B:$B)/100000000000))</f>
        <v>2</v>
      </c>
      <c r="B827" s="52" t="s">
        <v>1312</v>
      </c>
      <c r="C827" s="44" t="s">
        <v>1313</v>
      </c>
      <c r="D827" s="44" t="s">
        <v>147</v>
      </c>
      <c r="E827" s="44" t="s">
        <v>51</v>
      </c>
      <c r="G827" s="44">
        <v>723</v>
      </c>
      <c r="H827" s="44" t="s">
        <v>2537</v>
      </c>
    </row>
    <row r="828" spans="1:8">
      <c r="A828" s="31">
        <f>COUNTIF('BOM Atual ZPCS12'!F:F,B828)+(1-(SUMIF(Invoice!$A:$A,$B828,Invoice!$B:$B)/100000000000))</f>
        <v>1.9999999000000002</v>
      </c>
      <c r="B828" s="52" t="s">
        <v>1314</v>
      </c>
      <c r="C828" s="44" t="s">
        <v>3297</v>
      </c>
      <c r="D828" s="44" t="s">
        <v>147</v>
      </c>
      <c r="E828" s="44" t="s">
        <v>51</v>
      </c>
      <c r="G828" s="44">
        <v>724</v>
      </c>
      <c r="H828" s="44" t="s">
        <v>2537</v>
      </c>
    </row>
    <row r="829" spans="1:8">
      <c r="A829" s="31">
        <f>COUNTIF('BOM Atual ZPCS12'!F:F,B829)+(1-(SUMIF(Invoice!$A:$A,$B829,Invoice!$B:$B)/100000000000))</f>
        <v>2</v>
      </c>
      <c r="B829" s="52" t="s">
        <v>1317</v>
      </c>
      <c r="C829" s="44" t="s">
        <v>3298</v>
      </c>
      <c r="D829" s="44" t="s">
        <v>147</v>
      </c>
      <c r="E829" s="44" t="s">
        <v>51</v>
      </c>
      <c r="G829" s="44">
        <v>724</v>
      </c>
      <c r="H829" s="44" t="s">
        <v>2537</v>
      </c>
    </row>
    <row r="830" spans="1:8">
      <c r="A830" s="31">
        <f>COUNTIF('BOM Atual ZPCS12'!F:F,B830)+(1-(SUMIF(Invoice!$A:$A,$B830,Invoice!$B:$B)/100000000000))</f>
        <v>1</v>
      </c>
      <c r="B830" s="52" t="s">
        <v>3299</v>
      </c>
      <c r="C830" s="44" t="s">
        <v>3297</v>
      </c>
      <c r="D830" s="44" t="s">
        <v>147</v>
      </c>
      <c r="E830" s="44" t="s">
        <v>51</v>
      </c>
      <c r="G830" s="44">
        <v>724</v>
      </c>
      <c r="H830" s="44" t="s">
        <v>2537</v>
      </c>
    </row>
    <row r="831" spans="1:8">
      <c r="A831" s="31">
        <f>COUNTIF('BOM Atual ZPCS12'!F:F,B831)+(1-(SUMIF(Invoice!$A:$A,$B831,Invoice!$B:$B)/100000000000))</f>
        <v>2</v>
      </c>
      <c r="B831" s="52" t="s">
        <v>1319</v>
      </c>
      <c r="C831" s="44" t="s">
        <v>1320</v>
      </c>
      <c r="D831" s="44" t="s">
        <v>147</v>
      </c>
      <c r="E831" s="44" t="s">
        <v>51</v>
      </c>
      <c r="G831" s="44">
        <v>724</v>
      </c>
      <c r="H831" s="44" t="s">
        <v>2537</v>
      </c>
    </row>
    <row r="832" spans="1:8">
      <c r="A832" s="31">
        <f>COUNTIF('BOM Atual ZPCS12'!F:F,B832)+(1-(SUMIF(Invoice!$A:$A,$B832,Invoice!$B:$B)/100000000000))</f>
        <v>1.9999999499999999</v>
      </c>
      <c r="B832" s="52" t="s">
        <v>1335</v>
      </c>
      <c r="C832" s="44" t="s">
        <v>1336</v>
      </c>
      <c r="D832" s="44" t="s">
        <v>147</v>
      </c>
      <c r="E832" s="44" t="s">
        <v>51</v>
      </c>
      <c r="G832" s="44">
        <v>725</v>
      </c>
      <c r="H832" s="44" t="s">
        <v>2537</v>
      </c>
    </row>
    <row r="833" spans="1:8">
      <c r="A833" s="31">
        <f>COUNTIF('BOM Atual ZPCS12'!F:F,B833)+(1-(SUMIF(Invoice!$A:$A,$B833,Invoice!$B:$B)/100000000000))</f>
        <v>2</v>
      </c>
      <c r="B833" s="52" t="s">
        <v>1338</v>
      </c>
      <c r="C833" s="44" t="s">
        <v>1339</v>
      </c>
      <c r="D833" s="44" t="s">
        <v>147</v>
      </c>
      <c r="E833" s="44" t="s">
        <v>51</v>
      </c>
      <c r="G833" s="44">
        <v>725</v>
      </c>
      <c r="H833" s="44" t="s">
        <v>2537</v>
      </c>
    </row>
    <row r="834" spans="1:8">
      <c r="A834" s="31">
        <f>COUNTIF('BOM Atual ZPCS12'!F:F,B834)+(1-(SUMIF(Invoice!$A:$A,$B834,Invoice!$B:$B)/100000000000))</f>
        <v>1</v>
      </c>
      <c r="B834" s="52" t="s">
        <v>3300</v>
      </c>
      <c r="C834" s="44" t="s">
        <v>3301</v>
      </c>
      <c r="D834" s="44" t="s">
        <v>147</v>
      </c>
      <c r="E834" s="44" t="s">
        <v>51</v>
      </c>
      <c r="G834" s="44">
        <v>725</v>
      </c>
      <c r="H834" s="44" t="s">
        <v>2537</v>
      </c>
    </row>
    <row r="835" spans="1:8">
      <c r="A835" s="31">
        <f>COUNTIF('BOM Atual ZPCS12'!F:F,B835)+(1-(SUMIF(Invoice!$A:$A,$B835,Invoice!$B:$B)/100000000000))</f>
        <v>2</v>
      </c>
      <c r="B835" s="52" t="s">
        <v>1340</v>
      </c>
      <c r="C835" s="44" t="s">
        <v>1341</v>
      </c>
      <c r="D835" s="44" t="s">
        <v>147</v>
      </c>
      <c r="E835" s="44" t="s">
        <v>51</v>
      </c>
      <c r="G835" s="44">
        <v>725</v>
      </c>
      <c r="H835" s="44" t="s">
        <v>2537</v>
      </c>
    </row>
    <row r="836" spans="1:8">
      <c r="A836" s="31">
        <f>COUNTIF('BOM Atual ZPCS12'!F:F,B836)+(1-(SUMIF(Invoice!$A:$A,$B836,Invoice!$B:$B)/100000000000))</f>
        <v>1</v>
      </c>
      <c r="B836" s="52" t="s">
        <v>3302</v>
      </c>
      <c r="C836" s="44" t="s">
        <v>3303</v>
      </c>
      <c r="D836" s="44" t="s">
        <v>147</v>
      </c>
      <c r="E836" s="44" t="s">
        <v>51</v>
      </c>
      <c r="G836" s="44">
        <v>726</v>
      </c>
      <c r="H836" s="44" t="s">
        <v>2537</v>
      </c>
    </row>
    <row r="837" spans="1:8">
      <c r="A837" s="31">
        <f>COUNTIF('BOM Atual ZPCS12'!F:F,B837)+(1-(SUMIF(Invoice!$A:$A,$B837,Invoice!$B:$B)/100000000000))</f>
        <v>1</v>
      </c>
      <c r="B837" s="52" t="s">
        <v>3304</v>
      </c>
      <c r="C837" s="44" t="s">
        <v>3305</v>
      </c>
      <c r="D837" s="44" t="s">
        <v>147</v>
      </c>
      <c r="E837" s="44" t="s">
        <v>51</v>
      </c>
      <c r="G837" s="44">
        <v>726</v>
      </c>
      <c r="H837" s="44" t="s">
        <v>2537</v>
      </c>
    </row>
    <row r="838" spans="1:8">
      <c r="A838" s="31">
        <f>COUNTIF('BOM Atual ZPCS12'!F:F,B838)+(1-(SUMIF(Invoice!$A:$A,$B838,Invoice!$B:$B)/100000000000))</f>
        <v>1</v>
      </c>
      <c r="B838" s="52" t="s">
        <v>3306</v>
      </c>
      <c r="C838" s="44" t="s">
        <v>3307</v>
      </c>
      <c r="D838" s="44" t="s">
        <v>147</v>
      </c>
      <c r="E838" s="44" t="s">
        <v>51</v>
      </c>
      <c r="G838" s="44">
        <v>726</v>
      </c>
      <c r="H838" s="44" t="s">
        <v>2537</v>
      </c>
    </row>
    <row r="839" spans="1:8">
      <c r="A839" s="31">
        <f>COUNTIF('BOM Atual ZPCS12'!F:F,B839)+(1-(SUMIF(Invoice!$A:$A,$B839,Invoice!$B:$B)/100000000000))</f>
        <v>1</v>
      </c>
      <c r="B839" s="52" t="s">
        <v>3308</v>
      </c>
      <c r="C839" s="44" t="s">
        <v>3309</v>
      </c>
      <c r="D839" s="44" t="s">
        <v>147</v>
      </c>
      <c r="E839" s="44" t="s">
        <v>51</v>
      </c>
      <c r="G839" s="44">
        <v>726</v>
      </c>
      <c r="H839" s="44" t="s">
        <v>2537</v>
      </c>
    </row>
    <row r="840" spans="1:8">
      <c r="A840" s="31">
        <f>COUNTIF('BOM Atual ZPCS12'!F:F,B840)+(1-(SUMIF(Invoice!$A:$A,$B840,Invoice!$B:$B)/100000000000))</f>
        <v>1.9999999499999999</v>
      </c>
      <c r="B840" s="52" t="s">
        <v>1356</v>
      </c>
      <c r="C840" s="44" t="s">
        <v>1357</v>
      </c>
      <c r="D840" s="44" t="s">
        <v>147</v>
      </c>
      <c r="E840" s="44" t="s">
        <v>51</v>
      </c>
      <c r="G840" s="44">
        <v>727</v>
      </c>
      <c r="H840" s="44" t="s">
        <v>2537</v>
      </c>
    </row>
    <row r="841" spans="1:8">
      <c r="A841" s="31">
        <f>COUNTIF('BOM Atual ZPCS12'!F:F,B841)+(1-(SUMIF(Invoice!$A:$A,$B841,Invoice!$B:$B)/100000000000))</f>
        <v>2</v>
      </c>
      <c r="B841" s="52" t="s">
        <v>1359</v>
      </c>
      <c r="C841" s="44" t="s">
        <v>1360</v>
      </c>
      <c r="D841" s="44" t="s">
        <v>147</v>
      </c>
      <c r="E841" s="44" t="s">
        <v>51</v>
      </c>
      <c r="G841" s="44">
        <v>727</v>
      </c>
      <c r="H841" s="44" t="s">
        <v>2537</v>
      </c>
    </row>
    <row r="842" spans="1:8">
      <c r="A842" s="31">
        <f>COUNTIF('BOM Atual ZPCS12'!F:F,B842)+(1-(SUMIF(Invoice!$A:$A,$B842,Invoice!$B:$B)/100000000000))</f>
        <v>1</v>
      </c>
      <c r="B842" s="52" t="s">
        <v>3310</v>
      </c>
      <c r="C842" s="44" t="s">
        <v>3311</v>
      </c>
      <c r="D842" s="44" t="s">
        <v>147</v>
      </c>
      <c r="E842" s="44" t="s">
        <v>51</v>
      </c>
      <c r="G842" s="44">
        <v>727</v>
      </c>
      <c r="H842" s="44" t="s">
        <v>2537</v>
      </c>
    </row>
    <row r="843" spans="1:8">
      <c r="A843" s="31">
        <f>COUNTIF('BOM Atual ZPCS12'!F:F,B843)+(1-(SUMIF(Invoice!$A:$A,$B843,Invoice!$B:$B)/100000000000))</f>
        <v>2</v>
      </c>
      <c r="B843" s="52" t="s">
        <v>1361</v>
      </c>
      <c r="C843" s="44" t="s">
        <v>1362</v>
      </c>
      <c r="D843" s="44" t="s">
        <v>147</v>
      </c>
      <c r="E843" s="44" t="s">
        <v>51</v>
      </c>
      <c r="G843" s="44">
        <v>727</v>
      </c>
      <c r="H843" s="44" t="s">
        <v>2537</v>
      </c>
    </row>
    <row r="844" spans="1:8">
      <c r="A844" s="31">
        <f>COUNTIF('BOM Atual ZPCS12'!F:F,B844)+(1-(SUMIF(Invoice!$A:$A,$B844,Invoice!$B:$B)/100000000000))</f>
        <v>2</v>
      </c>
      <c r="B844" s="52" t="s">
        <v>1363</v>
      </c>
      <c r="C844" s="44" t="s">
        <v>3312</v>
      </c>
      <c r="D844" s="44" t="s">
        <v>147</v>
      </c>
      <c r="E844" s="44" t="s">
        <v>51</v>
      </c>
      <c r="G844" s="44">
        <v>728</v>
      </c>
      <c r="H844" s="44" t="s">
        <v>2537</v>
      </c>
    </row>
    <row r="845" spans="1:8">
      <c r="A845" s="31">
        <f>COUNTIF('BOM Atual ZPCS12'!F:F,B845)+(1-(SUMIF(Invoice!$A:$A,$B845,Invoice!$B:$B)/100000000000))</f>
        <v>1.9999999499999999</v>
      </c>
      <c r="B845" s="52" t="s">
        <v>1366</v>
      </c>
      <c r="C845" s="44" t="s">
        <v>3313</v>
      </c>
      <c r="D845" s="44" t="s">
        <v>147</v>
      </c>
      <c r="E845" s="44" t="s">
        <v>51</v>
      </c>
      <c r="G845" s="44">
        <v>728</v>
      </c>
      <c r="H845" s="44" t="s">
        <v>2537</v>
      </c>
    </row>
    <row r="846" spans="1:8">
      <c r="A846" s="31">
        <f>COUNTIF('BOM Atual ZPCS12'!F:F,B846)+(1-(SUMIF(Invoice!$A:$A,$B846,Invoice!$B:$B)/100000000000))</f>
        <v>1</v>
      </c>
      <c r="B846" s="52" t="s">
        <v>3314</v>
      </c>
      <c r="C846" s="44" t="s">
        <v>3315</v>
      </c>
      <c r="D846" s="44" t="s">
        <v>147</v>
      </c>
      <c r="E846" s="44" t="s">
        <v>51</v>
      </c>
      <c r="G846" s="44">
        <v>728</v>
      </c>
      <c r="H846" s="44" t="s">
        <v>2537</v>
      </c>
    </row>
    <row r="847" spans="1:8">
      <c r="A847" s="31">
        <f>COUNTIF('BOM Atual ZPCS12'!F:F,B847)+(1-(SUMIF(Invoice!$A:$A,$B847,Invoice!$B:$B)/100000000000))</f>
        <v>2</v>
      </c>
      <c r="B847" s="52" t="s">
        <v>1368</v>
      </c>
      <c r="C847" s="44" t="s">
        <v>1369</v>
      </c>
      <c r="D847" s="44" t="s">
        <v>147</v>
      </c>
      <c r="E847" s="44" t="s">
        <v>51</v>
      </c>
      <c r="G847" s="44">
        <v>728</v>
      </c>
      <c r="H847" s="44" t="s">
        <v>2537</v>
      </c>
    </row>
    <row r="848" spans="1:8">
      <c r="A848" s="31">
        <f>COUNTIF('BOM Atual ZPCS12'!F:F,B848)+(1-(SUMIF(Invoice!$A:$A,$B848,Invoice!$B:$B)/100000000000))</f>
        <v>1</v>
      </c>
      <c r="B848" s="52" t="s">
        <v>3316</v>
      </c>
      <c r="C848" s="44" t="s">
        <v>3317</v>
      </c>
      <c r="D848" s="44" t="s">
        <v>147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3318</v>
      </c>
      <c r="C849" s="44" t="s">
        <v>3319</v>
      </c>
      <c r="D849" s="44" t="s">
        <v>147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3320</v>
      </c>
      <c r="C850" s="44" t="s">
        <v>3321</v>
      </c>
      <c r="D850" s="44" t="s">
        <v>147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1.9999999499999999</v>
      </c>
      <c r="B851" s="52" t="s">
        <v>1370</v>
      </c>
      <c r="C851" s="44" t="s">
        <v>1371</v>
      </c>
      <c r="D851" s="44" t="s">
        <v>147</v>
      </c>
      <c r="E851" s="44" t="s">
        <v>51</v>
      </c>
      <c r="G851" s="44">
        <v>730</v>
      </c>
      <c r="H851" s="44" t="s">
        <v>2537</v>
      </c>
    </row>
    <row r="852" spans="1:8">
      <c r="A852" s="31">
        <f>COUNTIF('BOM Atual ZPCS12'!F:F,B852)+(1-(SUMIF(Invoice!$A:$A,$B852,Invoice!$B:$B)/100000000000))</f>
        <v>2</v>
      </c>
      <c r="B852" s="52" t="s">
        <v>1373</v>
      </c>
      <c r="C852" s="44" t="s">
        <v>3322</v>
      </c>
      <c r="D852" s="44" t="s">
        <v>147</v>
      </c>
      <c r="E852" s="44" t="s">
        <v>51</v>
      </c>
      <c r="G852" s="44">
        <v>730</v>
      </c>
      <c r="H852" s="44" t="s">
        <v>2537</v>
      </c>
    </row>
    <row r="853" spans="1:8">
      <c r="A853" s="31">
        <f>COUNTIF('BOM Atual ZPCS12'!F:F,B853)+(1-(SUMIF(Invoice!$A:$A,$B853,Invoice!$B:$B)/100000000000))</f>
        <v>2</v>
      </c>
      <c r="B853" s="52" t="s">
        <v>1375</v>
      </c>
      <c r="C853" s="44" t="s">
        <v>3322</v>
      </c>
      <c r="D853" s="44" t="s">
        <v>147</v>
      </c>
      <c r="E853" s="44" t="s">
        <v>51</v>
      </c>
      <c r="G853" s="44">
        <v>730</v>
      </c>
      <c r="H853" s="44" t="s">
        <v>2537</v>
      </c>
    </row>
    <row r="854" spans="1:8">
      <c r="A854" s="31">
        <f>COUNTIF('BOM Atual ZPCS12'!F:F,B854)+(1-(SUMIF(Invoice!$A:$A,$B854,Invoice!$B:$B)/100000000000))</f>
        <v>1</v>
      </c>
      <c r="B854" s="52" t="s">
        <v>3323</v>
      </c>
      <c r="C854" s="44" t="s">
        <v>3324</v>
      </c>
      <c r="D854" s="44" t="s">
        <v>147</v>
      </c>
      <c r="E854" s="44" t="s">
        <v>51</v>
      </c>
      <c r="G854" s="44">
        <v>730</v>
      </c>
      <c r="H854" s="44" t="s">
        <v>2537</v>
      </c>
    </row>
    <row r="855" spans="1:8">
      <c r="A855" s="31">
        <f>COUNTIF('BOM Atual ZPCS12'!F:F,B855)+(1-(SUMIF(Invoice!$A:$A,$B855,Invoice!$B:$B)/100000000000))</f>
        <v>2</v>
      </c>
      <c r="B855" s="52" t="s">
        <v>1376</v>
      </c>
      <c r="C855" s="44" t="s">
        <v>1377</v>
      </c>
      <c r="D855" s="44" t="s">
        <v>147</v>
      </c>
      <c r="E855" s="44" t="s">
        <v>51</v>
      </c>
      <c r="G855" s="44">
        <v>731</v>
      </c>
      <c r="H855" s="44" t="s">
        <v>2537</v>
      </c>
    </row>
    <row r="856" spans="1:8">
      <c r="A856" s="31">
        <f>COUNTIF('BOM Atual ZPCS12'!F:F,B856)+(1-(SUMIF(Invoice!$A:$A,$B856,Invoice!$B:$B)/100000000000))</f>
        <v>1.9999999499999999</v>
      </c>
      <c r="B856" s="52" t="s">
        <v>1379</v>
      </c>
      <c r="C856" s="44" t="s">
        <v>3325</v>
      </c>
      <c r="D856" s="44" t="s">
        <v>147</v>
      </c>
      <c r="E856" s="44" t="s">
        <v>51</v>
      </c>
      <c r="G856" s="44">
        <v>731</v>
      </c>
      <c r="H856" s="44" t="s">
        <v>2537</v>
      </c>
    </row>
    <row r="857" spans="1:8">
      <c r="A857" s="31">
        <f>COUNTIF('BOM Atual ZPCS12'!F:F,B857)+(1-(SUMIF(Invoice!$A:$A,$B857,Invoice!$B:$B)/100000000000))</f>
        <v>2</v>
      </c>
      <c r="B857" s="52" t="s">
        <v>1381</v>
      </c>
      <c r="C857" s="44" t="s">
        <v>3326</v>
      </c>
      <c r="D857" s="44" t="s">
        <v>147</v>
      </c>
      <c r="E857" s="44" t="s">
        <v>51</v>
      </c>
      <c r="G857" s="44">
        <v>731</v>
      </c>
      <c r="H857" s="44" t="s">
        <v>2537</v>
      </c>
    </row>
    <row r="858" spans="1:8">
      <c r="A858" s="31">
        <f>COUNTIF('BOM Atual ZPCS12'!F:F,B858)+(1-(SUMIF(Invoice!$A:$A,$B858,Invoice!$B:$B)/100000000000))</f>
        <v>1</v>
      </c>
      <c r="B858" s="52" t="s">
        <v>3327</v>
      </c>
      <c r="C858" s="44" t="s">
        <v>3325</v>
      </c>
      <c r="D858" s="44" t="s">
        <v>147</v>
      </c>
      <c r="E858" s="44" t="s">
        <v>51</v>
      </c>
      <c r="G858" s="44">
        <v>731</v>
      </c>
      <c r="H858" s="44" t="s">
        <v>2537</v>
      </c>
    </row>
    <row r="859" spans="1:8">
      <c r="A859" s="31">
        <f>COUNTIF('BOM Atual ZPCS12'!F:F,B859)+(1-(SUMIF(Invoice!$A:$A,$B859,Invoice!$B:$B)/100000000000))</f>
        <v>1.9999999499999999</v>
      </c>
      <c r="B859" s="52" t="s">
        <v>1383</v>
      </c>
      <c r="C859" s="44" t="s">
        <v>1384</v>
      </c>
      <c r="D859" s="44" t="s">
        <v>147</v>
      </c>
      <c r="E859" s="44" t="s">
        <v>51</v>
      </c>
      <c r="G859" s="44">
        <v>732</v>
      </c>
      <c r="H859" s="44" t="s">
        <v>2537</v>
      </c>
    </row>
    <row r="860" spans="1:8">
      <c r="A860" s="31">
        <f>COUNTIF('BOM Atual ZPCS12'!F:F,B860)+(1-(SUMIF(Invoice!$A:$A,$B860,Invoice!$B:$B)/100000000000))</f>
        <v>2</v>
      </c>
      <c r="B860" s="52" t="s">
        <v>1386</v>
      </c>
      <c r="C860" s="44" t="s">
        <v>1387</v>
      </c>
      <c r="D860" s="44" t="s">
        <v>147</v>
      </c>
      <c r="E860" s="44" t="s">
        <v>51</v>
      </c>
      <c r="G860" s="44">
        <v>732</v>
      </c>
      <c r="H860" s="44" t="s">
        <v>2537</v>
      </c>
    </row>
    <row r="861" spans="1:8">
      <c r="A861" s="31">
        <f>COUNTIF('BOM Atual ZPCS12'!F:F,B861)+(1-(SUMIF(Invoice!$A:$A,$B861,Invoice!$B:$B)/100000000000))</f>
        <v>2</v>
      </c>
      <c r="B861" s="52" t="s">
        <v>1388</v>
      </c>
      <c r="C861" s="44" t="s">
        <v>1389</v>
      </c>
      <c r="D861" s="44" t="s">
        <v>147</v>
      </c>
      <c r="E861" s="44" t="s">
        <v>51</v>
      </c>
      <c r="G861" s="44">
        <v>732</v>
      </c>
      <c r="H861" s="44" t="s">
        <v>2537</v>
      </c>
    </row>
    <row r="862" spans="1:8">
      <c r="A862" s="31">
        <f>COUNTIF('BOM Atual ZPCS12'!F:F,B862)+(1-(SUMIF(Invoice!$A:$A,$B862,Invoice!$B:$B)/100000000000))</f>
        <v>1</v>
      </c>
      <c r="B862" s="52" t="s">
        <v>3328</v>
      </c>
      <c r="C862" s="44" t="s">
        <v>3329</v>
      </c>
      <c r="D862" s="44" t="s">
        <v>147</v>
      </c>
      <c r="E862" s="44" t="s">
        <v>51</v>
      </c>
      <c r="G862" s="44">
        <v>732</v>
      </c>
      <c r="H862" s="44" t="s">
        <v>2537</v>
      </c>
    </row>
    <row r="863" spans="1:8">
      <c r="A863" s="31">
        <f>COUNTIF('BOM Atual ZPCS12'!F:F,B863)+(1-(SUMIF(Invoice!$A:$A,$B863,Invoice!$B:$B)/100000000000))</f>
        <v>2</v>
      </c>
      <c r="B863" s="52" t="s">
        <v>1390</v>
      </c>
      <c r="C863" s="44" t="s">
        <v>1391</v>
      </c>
      <c r="D863" s="44" t="s">
        <v>147</v>
      </c>
      <c r="E863" s="44" t="s">
        <v>51</v>
      </c>
      <c r="G863" s="44">
        <v>733</v>
      </c>
      <c r="H863" s="44" t="s">
        <v>2537</v>
      </c>
    </row>
    <row r="864" spans="1:8">
      <c r="A864" s="31">
        <f>COUNTIF('BOM Atual ZPCS12'!F:F,B864)+(1-(SUMIF(Invoice!$A:$A,$B864,Invoice!$B:$B)/100000000000))</f>
        <v>1.9999999499999999</v>
      </c>
      <c r="B864" s="52" t="s">
        <v>1393</v>
      </c>
      <c r="C864" s="44" t="s">
        <v>3330</v>
      </c>
      <c r="D864" s="44" t="s">
        <v>147</v>
      </c>
      <c r="E864" s="44" t="s">
        <v>51</v>
      </c>
      <c r="G864" s="44">
        <v>733</v>
      </c>
      <c r="H864" s="44" t="s">
        <v>2537</v>
      </c>
    </row>
    <row r="865" spans="1:8">
      <c r="A865" s="31">
        <f>COUNTIF('BOM Atual ZPCS12'!F:F,B865)+(1-(SUMIF(Invoice!$A:$A,$B865,Invoice!$B:$B)/100000000000))</f>
        <v>2</v>
      </c>
      <c r="B865" s="52" t="s">
        <v>1395</v>
      </c>
      <c r="C865" s="44" t="s">
        <v>1396</v>
      </c>
      <c r="D865" s="44" t="s">
        <v>147</v>
      </c>
      <c r="E865" s="44" t="s">
        <v>51</v>
      </c>
      <c r="G865" s="44">
        <v>733</v>
      </c>
      <c r="H865" s="44" t="s">
        <v>2537</v>
      </c>
    </row>
    <row r="866" spans="1:8">
      <c r="A866" s="31">
        <f>COUNTIF('BOM Atual ZPCS12'!F:F,B866)+(1-(SUMIF(Invoice!$A:$A,$B866,Invoice!$B:$B)/100000000000))</f>
        <v>1</v>
      </c>
      <c r="B866" s="52" t="s">
        <v>3331</v>
      </c>
      <c r="C866" s="44" t="s">
        <v>3330</v>
      </c>
      <c r="D866" s="44" t="s">
        <v>147</v>
      </c>
      <c r="E866" s="44" t="s">
        <v>51</v>
      </c>
      <c r="G866" s="44">
        <v>733</v>
      </c>
      <c r="H866" s="44" t="s">
        <v>2537</v>
      </c>
    </row>
    <row r="867" spans="1:8">
      <c r="A867" s="31">
        <f>COUNTIF('BOM Atual ZPCS12'!F:F,B867)+(1-(SUMIF(Invoice!$A:$A,$B867,Invoice!$B:$B)/100000000000))</f>
        <v>1</v>
      </c>
      <c r="B867" s="52" t="s">
        <v>3332</v>
      </c>
      <c r="C867" s="44" t="s">
        <v>3333</v>
      </c>
      <c r="D867" s="44" t="s">
        <v>147</v>
      </c>
      <c r="E867" s="44" t="s">
        <v>51</v>
      </c>
      <c r="G867" s="44">
        <v>734</v>
      </c>
      <c r="H867" s="44" t="s">
        <v>2537</v>
      </c>
    </row>
    <row r="868" spans="1:8">
      <c r="A868" s="31">
        <f>COUNTIF('BOM Atual ZPCS12'!F:F,B868)+(1-(SUMIF(Invoice!$A:$A,$B868,Invoice!$B:$B)/100000000000))</f>
        <v>1</v>
      </c>
      <c r="B868" s="52" t="s">
        <v>3334</v>
      </c>
      <c r="C868" s="44" t="s">
        <v>3335</v>
      </c>
      <c r="D868" s="44" t="s">
        <v>147</v>
      </c>
      <c r="E868" s="44" t="s">
        <v>51</v>
      </c>
      <c r="G868" s="44">
        <v>734</v>
      </c>
      <c r="H868" s="44" t="s">
        <v>2537</v>
      </c>
    </row>
    <row r="869" spans="1:8">
      <c r="A869" s="31">
        <f>COUNTIF('BOM Atual ZPCS12'!F:F,B869)+(1-(SUMIF(Invoice!$A:$A,$B869,Invoice!$B:$B)/100000000000))</f>
        <v>1</v>
      </c>
      <c r="B869" s="52" t="s">
        <v>3336</v>
      </c>
      <c r="C869" s="44" t="s">
        <v>3335</v>
      </c>
      <c r="D869" s="44" t="s">
        <v>147</v>
      </c>
      <c r="E869" s="44" t="s">
        <v>51</v>
      </c>
      <c r="G869" s="44">
        <v>734</v>
      </c>
      <c r="H869" s="44" t="s">
        <v>2537</v>
      </c>
    </row>
    <row r="870" spans="1:8">
      <c r="A870" s="31">
        <f>COUNTIF('BOM Atual ZPCS12'!F:F,B870)+(1-(SUMIF(Invoice!$A:$A,$B870,Invoice!$B:$B)/100000000000))</f>
        <v>1</v>
      </c>
      <c r="B870" s="52" t="s">
        <v>3337</v>
      </c>
      <c r="C870" s="44" t="s">
        <v>3335</v>
      </c>
      <c r="D870" s="44" t="s">
        <v>147</v>
      </c>
      <c r="E870" s="44" t="s">
        <v>51</v>
      </c>
      <c r="G870" s="44">
        <v>734</v>
      </c>
      <c r="H870" s="44" t="s">
        <v>2537</v>
      </c>
    </row>
    <row r="871" spans="1:8">
      <c r="A871" s="31">
        <f>COUNTIF('BOM Atual ZPCS12'!F:F,B871)+(1-(SUMIF(Invoice!$A:$A,$B871,Invoice!$B:$B)/100000000000))</f>
        <v>1</v>
      </c>
      <c r="B871" s="52" t="s">
        <v>3338</v>
      </c>
      <c r="C871" s="44" t="s">
        <v>3339</v>
      </c>
      <c r="D871" s="44" t="s">
        <v>147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3340</v>
      </c>
      <c r="C872" s="44" t="s">
        <v>3341</v>
      </c>
      <c r="D872" s="44" t="s">
        <v>147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3342</v>
      </c>
      <c r="C873" s="44" t="s">
        <v>3343</v>
      </c>
      <c r="D873" s="44" t="s">
        <v>147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3344</v>
      </c>
      <c r="C874" s="44" t="s">
        <v>3341</v>
      </c>
      <c r="D874" s="44" t="s">
        <v>147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2</v>
      </c>
      <c r="B875" s="52" t="s">
        <v>1397</v>
      </c>
      <c r="C875" s="44" t="s">
        <v>1398</v>
      </c>
      <c r="D875" s="44" t="s">
        <v>147</v>
      </c>
      <c r="E875" s="44" t="s">
        <v>51</v>
      </c>
      <c r="G875" s="44">
        <v>736</v>
      </c>
      <c r="H875" s="44" t="s">
        <v>2537</v>
      </c>
    </row>
    <row r="876" spans="1:8">
      <c r="A876" s="31">
        <f>COUNTIF('BOM Atual ZPCS12'!F:F,B876)+(1-(SUMIF(Invoice!$A:$A,$B876,Invoice!$B:$B)/100000000000))</f>
        <v>2</v>
      </c>
      <c r="B876" s="52" t="s">
        <v>1400</v>
      </c>
      <c r="C876" s="44" t="s">
        <v>3345</v>
      </c>
      <c r="D876" s="44" t="s">
        <v>147</v>
      </c>
      <c r="E876" s="44" t="s">
        <v>51</v>
      </c>
      <c r="G876" s="44">
        <v>736</v>
      </c>
      <c r="H876" s="44" t="s">
        <v>2537</v>
      </c>
    </row>
    <row r="877" spans="1:8">
      <c r="A877" s="31">
        <f>COUNTIF('BOM Atual ZPCS12'!F:F,B877)+(1-(SUMIF(Invoice!$A:$A,$B877,Invoice!$B:$B)/100000000000))</f>
        <v>1.9999999499999999</v>
      </c>
      <c r="B877" s="52" t="s">
        <v>1402</v>
      </c>
      <c r="C877" s="44" t="s">
        <v>3345</v>
      </c>
      <c r="D877" s="44" t="s">
        <v>147</v>
      </c>
      <c r="E877" s="44" t="s">
        <v>51</v>
      </c>
      <c r="G877" s="44">
        <v>736</v>
      </c>
      <c r="H877" s="44" t="s">
        <v>2537</v>
      </c>
    </row>
    <row r="878" spans="1:8">
      <c r="A878" s="31">
        <f>COUNTIF('BOM Atual ZPCS12'!F:F,B878)+(1-(SUMIF(Invoice!$A:$A,$B878,Invoice!$B:$B)/100000000000))</f>
        <v>1</v>
      </c>
      <c r="B878" s="52" t="s">
        <v>3346</v>
      </c>
      <c r="C878" s="44" t="s">
        <v>3345</v>
      </c>
      <c r="D878" s="44" t="s">
        <v>147</v>
      </c>
      <c r="E878" s="44" t="s">
        <v>51</v>
      </c>
      <c r="G878" s="44">
        <v>736</v>
      </c>
      <c r="H878" s="44" t="s">
        <v>2537</v>
      </c>
    </row>
    <row r="879" spans="1:8">
      <c r="A879" s="31">
        <f>COUNTIF('BOM Atual ZPCS12'!F:F,B879)+(1-(SUMIF(Invoice!$A:$A,$B879,Invoice!$B:$B)/100000000000))</f>
        <v>1</v>
      </c>
      <c r="B879" s="52" t="s">
        <v>3347</v>
      </c>
      <c r="C879" s="44" t="s">
        <v>3348</v>
      </c>
      <c r="D879" s="44" t="s">
        <v>147</v>
      </c>
      <c r="E879" s="44" t="s">
        <v>51</v>
      </c>
      <c r="G879" s="44">
        <v>737</v>
      </c>
      <c r="H879" s="44" t="s">
        <v>2537</v>
      </c>
    </row>
    <row r="880" spans="1:8">
      <c r="A880" s="31">
        <f>COUNTIF('BOM Atual ZPCS12'!F:F,B880)+(1-(SUMIF(Invoice!$A:$A,$B880,Invoice!$B:$B)/100000000000))</f>
        <v>1</v>
      </c>
      <c r="B880" s="52" t="s">
        <v>3349</v>
      </c>
      <c r="C880" s="44" t="s">
        <v>3350</v>
      </c>
      <c r="D880" s="44" t="s">
        <v>147</v>
      </c>
      <c r="E880" s="44" t="s">
        <v>51</v>
      </c>
      <c r="G880" s="44">
        <v>737</v>
      </c>
      <c r="H880" s="44" t="s">
        <v>2537</v>
      </c>
    </row>
    <row r="881" spans="1:8">
      <c r="A881" s="31">
        <f>COUNTIF('BOM Atual ZPCS12'!F:F,B881)+(1-(SUMIF(Invoice!$A:$A,$B881,Invoice!$B:$B)/100000000000))</f>
        <v>1</v>
      </c>
      <c r="B881" s="52" t="s">
        <v>3351</v>
      </c>
      <c r="C881" s="44" t="s">
        <v>3352</v>
      </c>
      <c r="D881" s="44" t="s">
        <v>147</v>
      </c>
      <c r="E881" s="44" t="s">
        <v>51</v>
      </c>
      <c r="G881" s="44">
        <v>737</v>
      </c>
      <c r="H881" s="44" t="s">
        <v>2537</v>
      </c>
    </row>
    <row r="882" spans="1:8">
      <c r="A882" s="31">
        <f>COUNTIF('BOM Atual ZPCS12'!F:F,B882)+(1-(SUMIF(Invoice!$A:$A,$B882,Invoice!$B:$B)/100000000000))</f>
        <v>1</v>
      </c>
      <c r="B882" s="52" t="s">
        <v>3353</v>
      </c>
      <c r="C882" s="44" t="s">
        <v>3354</v>
      </c>
      <c r="D882" s="44" t="s">
        <v>147</v>
      </c>
      <c r="E882" s="44" t="s">
        <v>51</v>
      </c>
      <c r="G882" s="44">
        <v>737</v>
      </c>
      <c r="H882" s="44" t="s">
        <v>2537</v>
      </c>
    </row>
    <row r="883" spans="1:8">
      <c r="A883" s="31">
        <f>COUNTIF('BOM Atual ZPCS12'!F:F,B883)+(1-(SUMIF(Invoice!$A:$A,$B883,Invoice!$B:$B)/100000000000))</f>
        <v>1.9999993599999999</v>
      </c>
      <c r="B883" s="52" t="s">
        <v>1501</v>
      </c>
      <c r="C883" s="44" t="s">
        <v>1502</v>
      </c>
      <c r="D883" s="44" t="s">
        <v>147</v>
      </c>
      <c r="E883" s="44" t="s">
        <v>51</v>
      </c>
      <c r="G883" s="44">
        <v>738</v>
      </c>
      <c r="H883" s="44" t="s">
        <v>2537</v>
      </c>
    </row>
    <row r="884" spans="1:8">
      <c r="A884" s="31">
        <f>COUNTIF('BOM Atual ZPCS12'!F:F,B884)+(1-(SUMIF(Invoice!$A:$A,$B884,Invoice!$B:$B)/100000000000))</f>
        <v>2</v>
      </c>
      <c r="B884" s="52" t="s">
        <v>1504</v>
      </c>
      <c r="C884" s="44" t="s">
        <v>1505</v>
      </c>
      <c r="D884" s="44" t="s">
        <v>147</v>
      </c>
      <c r="E884" s="44" t="s">
        <v>51</v>
      </c>
      <c r="G884" s="44">
        <v>738</v>
      </c>
      <c r="H884" s="44" t="s">
        <v>2537</v>
      </c>
    </row>
    <row r="885" spans="1:8">
      <c r="A885" s="31">
        <f>COUNTIF('BOM Atual ZPCS12'!F:F,B885)+(1-(SUMIF(Invoice!$A:$A,$B885,Invoice!$B:$B)/100000000000))</f>
        <v>2</v>
      </c>
      <c r="B885" s="52" t="s">
        <v>1506</v>
      </c>
      <c r="C885" s="44" t="s">
        <v>1507</v>
      </c>
      <c r="D885" s="44" t="s">
        <v>147</v>
      </c>
      <c r="E885" s="44" t="s">
        <v>51</v>
      </c>
      <c r="G885" s="44">
        <v>738</v>
      </c>
      <c r="H885" s="44" t="s">
        <v>2537</v>
      </c>
    </row>
    <row r="886" spans="1:8">
      <c r="A886" s="31">
        <f>COUNTIF('BOM Atual ZPCS12'!F:F,B886)+(1-(SUMIF(Invoice!$A:$A,$B886,Invoice!$B:$B)/100000000000))</f>
        <v>1</v>
      </c>
      <c r="B886" s="52" t="s">
        <v>3355</v>
      </c>
      <c r="C886" s="44" t="s">
        <v>3356</v>
      </c>
      <c r="D886" s="44" t="s">
        <v>147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3357</v>
      </c>
      <c r="C887" s="44" t="s">
        <v>3358</v>
      </c>
      <c r="D887" s="44" t="s">
        <v>147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3359</v>
      </c>
      <c r="C888" s="44" t="s">
        <v>3360</v>
      </c>
      <c r="D888" s="44" t="s">
        <v>147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2</v>
      </c>
      <c r="B889" s="52" t="s">
        <v>1519</v>
      </c>
      <c r="C889" s="44" t="s">
        <v>1520</v>
      </c>
      <c r="D889" s="44" t="s">
        <v>147</v>
      </c>
      <c r="E889" s="44" t="s">
        <v>51</v>
      </c>
      <c r="G889" s="44">
        <v>740</v>
      </c>
      <c r="H889" s="44" t="s">
        <v>2537</v>
      </c>
    </row>
    <row r="890" spans="1:8">
      <c r="A890" s="31">
        <f>COUNTIF('BOM Atual ZPCS12'!F:F,B890)+(1-(SUMIF(Invoice!$A:$A,$B890,Invoice!$B:$B)/100000000000))</f>
        <v>1</v>
      </c>
      <c r="B890" s="52" t="s">
        <v>3361</v>
      </c>
      <c r="C890" s="44" t="s">
        <v>3362</v>
      </c>
      <c r="D890" s="44" t="s">
        <v>147</v>
      </c>
      <c r="E890" s="44" t="s">
        <v>51</v>
      </c>
      <c r="G890" s="44">
        <v>740</v>
      </c>
      <c r="H890" s="44" t="s">
        <v>2537</v>
      </c>
    </row>
    <row r="891" spans="1:8">
      <c r="A891" s="31">
        <f>COUNTIF('BOM Atual ZPCS12'!F:F,B891)+(1-(SUMIF(Invoice!$A:$A,$B891,Invoice!$B:$B)/100000000000))</f>
        <v>2</v>
      </c>
      <c r="B891" s="52" t="s">
        <v>1522</v>
      </c>
      <c r="C891" s="44" t="s">
        <v>3362</v>
      </c>
      <c r="D891" s="44" t="s">
        <v>147</v>
      </c>
      <c r="E891" s="44" t="s">
        <v>51</v>
      </c>
      <c r="G891" s="44">
        <v>740</v>
      </c>
      <c r="H891" s="44" t="s">
        <v>2537</v>
      </c>
    </row>
    <row r="892" spans="1:8">
      <c r="A892" s="31">
        <f>COUNTIF('BOM Atual ZPCS12'!F:F,B892)+(1-(SUMIF(Invoice!$A:$A,$B892,Invoice!$B:$B)/100000000000))</f>
        <v>2</v>
      </c>
      <c r="B892" s="52" t="s">
        <v>1524</v>
      </c>
      <c r="C892" s="44" t="s">
        <v>3362</v>
      </c>
      <c r="D892" s="44" t="s">
        <v>147</v>
      </c>
      <c r="E892" s="44" t="s">
        <v>51</v>
      </c>
      <c r="G892" s="44">
        <v>740</v>
      </c>
      <c r="H892" s="44" t="s">
        <v>2537</v>
      </c>
    </row>
    <row r="893" spans="1:8">
      <c r="A893" s="31">
        <f>COUNTIF('BOM Atual ZPCS12'!F:F,B893)+(1-(SUMIF(Invoice!$A:$A,$B893,Invoice!$B:$B)/100000000000))</f>
        <v>1</v>
      </c>
      <c r="B893" s="52" t="s">
        <v>3363</v>
      </c>
      <c r="C893" s="44" t="s">
        <v>3364</v>
      </c>
      <c r="D893" s="44" t="s">
        <v>147</v>
      </c>
      <c r="E893" s="44" t="s">
        <v>51</v>
      </c>
      <c r="G893" s="44">
        <v>740</v>
      </c>
      <c r="H893" s="44" t="s">
        <v>2537</v>
      </c>
    </row>
    <row r="894" spans="1:8">
      <c r="A894" s="31">
        <f>COUNTIF('BOM Atual ZPCS12'!F:F,B894)+(1-(SUMIF(Invoice!$A:$A,$B894,Invoice!$B:$B)/100000000000))</f>
        <v>1.9999999000000002</v>
      </c>
      <c r="B894" s="52" t="s">
        <v>1525</v>
      </c>
      <c r="C894" s="44" t="s">
        <v>3365</v>
      </c>
      <c r="D894" s="44" t="s">
        <v>147</v>
      </c>
      <c r="E894" s="44" t="s">
        <v>51</v>
      </c>
      <c r="G894" s="44">
        <v>740</v>
      </c>
      <c r="H894" s="44" t="s">
        <v>2537</v>
      </c>
    </row>
    <row r="895" spans="1:8">
      <c r="A895" s="31">
        <f>COUNTIF('BOM Atual ZPCS12'!F:F,B895)+(1-(SUMIF(Invoice!$A:$A,$B895,Invoice!$B:$B)/100000000000))</f>
        <v>1</v>
      </c>
      <c r="B895" s="52" t="s">
        <v>3366</v>
      </c>
      <c r="C895" s="44" t="s">
        <v>3367</v>
      </c>
      <c r="D895" s="44" t="s">
        <v>147</v>
      </c>
      <c r="E895" s="44" t="s">
        <v>51</v>
      </c>
      <c r="G895" s="44">
        <v>741</v>
      </c>
      <c r="H895" s="44" t="s">
        <v>2537</v>
      </c>
    </row>
    <row r="896" spans="1:8">
      <c r="A896" s="31">
        <f>COUNTIF('BOM Atual ZPCS12'!F:F,B896)+(1-(SUMIF(Invoice!$A:$A,$B896,Invoice!$B:$B)/100000000000))</f>
        <v>2</v>
      </c>
      <c r="B896" s="52" t="s">
        <v>1459</v>
      </c>
      <c r="C896" s="44" t="s">
        <v>3367</v>
      </c>
      <c r="D896" s="44" t="s">
        <v>147</v>
      </c>
      <c r="E896" s="44" t="s">
        <v>51</v>
      </c>
      <c r="G896" s="44">
        <v>741</v>
      </c>
      <c r="H896" s="44" t="s">
        <v>2537</v>
      </c>
    </row>
    <row r="897" spans="1:8">
      <c r="A897" s="31">
        <f>COUNTIF('BOM Atual ZPCS12'!F:F,B897)+(1-(SUMIF(Invoice!$A:$A,$B897,Invoice!$B:$B)/100000000000))</f>
        <v>1</v>
      </c>
      <c r="B897" s="52" t="s">
        <v>3368</v>
      </c>
      <c r="C897" s="44" t="s">
        <v>3369</v>
      </c>
      <c r="D897" s="44" t="s">
        <v>147</v>
      </c>
      <c r="E897" s="44" t="s">
        <v>51</v>
      </c>
      <c r="G897" s="44">
        <v>741</v>
      </c>
      <c r="H897" s="44" t="s">
        <v>2537</v>
      </c>
    </row>
    <row r="898" spans="1:8">
      <c r="A898" s="31">
        <f>COUNTIF('BOM Atual ZPCS12'!F:F,B898)+(1-(SUMIF(Invoice!$A:$A,$B898,Invoice!$B:$B)/100000000000))</f>
        <v>1.9999997999999999</v>
      </c>
      <c r="B898" s="52" t="s">
        <v>1462</v>
      </c>
      <c r="C898" s="44" t="s">
        <v>3370</v>
      </c>
      <c r="D898" s="44" t="s">
        <v>147</v>
      </c>
      <c r="E898" s="44" t="s">
        <v>51</v>
      </c>
      <c r="G898" s="44">
        <v>741</v>
      </c>
      <c r="H898" s="44" t="s">
        <v>2537</v>
      </c>
    </row>
    <row r="899" spans="1:8">
      <c r="A899" s="31">
        <f>COUNTIF('BOM Atual ZPCS12'!F:F,B899)+(1-(SUMIF(Invoice!$A:$A,$B899,Invoice!$B:$B)/100000000000))</f>
        <v>1</v>
      </c>
      <c r="B899" s="52" t="s">
        <v>3371</v>
      </c>
      <c r="C899" s="44" t="s">
        <v>3370</v>
      </c>
      <c r="D899" s="44" t="s">
        <v>147</v>
      </c>
      <c r="E899" s="44" t="s">
        <v>51</v>
      </c>
      <c r="G899" s="44">
        <v>741</v>
      </c>
      <c r="H899" s="44" t="s">
        <v>2537</v>
      </c>
    </row>
    <row r="900" spans="1:8">
      <c r="A900" s="31">
        <f>COUNTIF('BOM Atual ZPCS12'!F:F,B900)+(1-(SUMIF(Invoice!$A:$A,$B900,Invoice!$B:$B)/100000000000))</f>
        <v>1</v>
      </c>
      <c r="B900" s="52" t="s">
        <v>3372</v>
      </c>
      <c r="C900" s="44" t="s">
        <v>3373</v>
      </c>
      <c r="D900" s="44" t="s">
        <v>147</v>
      </c>
      <c r="E900" s="44" t="s">
        <v>51</v>
      </c>
      <c r="G900" s="44">
        <v>741</v>
      </c>
      <c r="H900" s="44" t="s">
        <v>2537</v>
      </c>
    </row>
    <row r="901" spans="1:8">
      <c r="A901" s="31">
        <f>COUNTIF('BOM Atual ZPCS12'!F:F,B901)+(1-(SUMIF(Invoice!$A:$A,$B901,Invoice!$B:$B)/100000000000))</f>
        <v>2</v>
      </c>
      <c r="B901" s="52" t="s">
        <v>1464</v>
      </c>
      <c r="C901" s="44" t="s">
        <v>3370</v>
      </c>
      <c r="D901" s="44" t="s">
        <v>147</v>
      </c>
      <c r="E901" s="44" t="s">
        <v>51</v>
      </c>
      <c r="G901" s="44">
        <v>741</v>
      </c>
      <c r="H901" s="44" t="s">
        <v>2537</v>
      </c>
    </row>
    <row r="902" spans="1:8">
      <c r="A902" s="31">
        <f>COUNTIF('BOM Atual ZPCS12'!F:F,B902)+(1-(SUMIF(Invoice!$A:$A,$B902,Invoice!$B:$B)/100000000000))</f>
        <v>1</v>
      </c>
      <c r="B902" s="52" t="s">
        <v>3374</v>
      </c>
      <c r="C902" s="44" t="s">
        <v>3375</v>
      </c>
      <c r="D902" s="44" t="s">
        <v>147</v>
      </c>
      <c r="E902" s="44" t="s">
        <v>51</v>
      </c>
      <c r="G902" s="44">
        <v>742</v>
      </c>
      <c r="H902" s="44" t="s">
        <v>2537</v>
      </c>
    </row>
    <row r="903" spans="1:8">
      <c r="A903" s="31">
        <f>COUNTIF('BOM Atual ZPCS12'!F:F,B903)+(1-(SUMIF(Invoice!$A:$A,$B903,Invoice!$B:$B)/100000000000))</f>
        <v>1</v>
      </c>
      <c r="B903" s="52" t="s">
        <v>3376</v>
      </c>
      <c r="C903" s="44" t="s">
        <v>3377</v>
      </c>
      <c r="D903" s="44" t="s">
        <v>147</v>
      </c>
      <c r="E903" s="44" t="s">
        <v>51</v>
      </c>
      <c r="G903" s="44">
        <v>742</v>
      </c>
      <c r="H903" s="44" t="s">
        <v>2537</v>
      </c>
    </row>
    <row r="904" spans="1:8">
      <c r="A904" s="31">
        <f>COUNTIF('BOM Atual ZPCS12'!F:F,B904)+(1-(SUMIF(Invoice!$A:$A,$B904,Invoice!$B:$B)/100000000000))</f>
        <v>1</v>
      </c>
      <c r="B904" s="52" t="s">
        <v>3378</v>
      </c>
      <c r="C904" s="44" t="s">
        <v>3379</v>
      </c>
      <c r="D904" s="44" t="s">
        <v>147</v>
      </c>
      <c r="E904" s="44" t="s">
        <v>51</v>
      </c>
      <c r="G904" s="44">
        <v>742</v>
      </c>
      <c r="H904" s="44" t="s">
        <v>2537</v>
      </c>
    </row>
    <row r="905" spans="1:8">
      <c r="A905" s="31">
        <f>COUNTIF('BOM Atual ZPCS12'!F:F,B905)+(1-(SUMIF(Invoice!$A:$A,$B905,Invoice!$B:$B)/100000000000))</f>
        <v>1</v>
      </c>
      <c r="B905" s="52" t="s">
        <v>3380</v>
      </c>
      <c r="C905" s="44" t="s">
        <v>3381</v>
      </c>
      <c r="D905" s="44" t="s">
        <v>147</v>
      </c>
      <c r="E905" s="44" t="s">
        <v>51</v>
      </c>
      <c r="G905" s="44">
        <v>742</v>
      </c>
      <c r="H905" s="44" t="s">
        <v>2537</v>
      </c>
    </row>
    <row r="906" spans="1:8">
      <c r="A906" s="31">
        <f>COUNTIF('BOM Atual ZPCS12'!F:F,B906)+(1-(SUMIF(Invoice!$A:$A,$B906,Invoice!$B:$B)/100000000000))</f>
        <v>1</v>
      </c>
      <c r="B906" s="52" t="s">
        <v>3382</v>
      </c>
      <c r="C906" s="44" t="s">
        <v>3383</v>
      </c>
      <c r="D906" s="44" t="s">
        <v>147</v>
      </c>
      <c r="E906" s="44" t="s">
        <v>51</v>
      </c>
      <c r="G906" s="44">
        <v>742</v>
      </c>
      <c r="H906" s="44" t="s">
        <v>2537</v>
      </c>
    </row>
    <row r="907" spans="1:8">
      <c r="A907" s="31">
        <f>COUNTIF('BOM Atual ZPCS12'!F:F,B907)+(1-(SUMIF(Invoice!$A:$A,$B907,Invoice!$B:$B)/100000000000))</f>
        <v>1</v>
      </c>
      <c r="B907" s="52" t="s">
        <v>3384</v>
      </c>
      <c r="C907" s="44" t="s">
        <v>3385</v>
      </c>
      <c r="D907" s="44" t="s">
        <v>147</v>
      </c>
      <c r="E907" s="44" t="s">
        <v>51</v>
      </c>
      <c r="G907" s="44">
        <v>742</v>
      </c>
      <c r="H907" s="44" t="s">
        <v>2537</v>
      </c>
    </row>
    <row r="908" spans="1:8">
      <c r="A908" s="31">
        <f>COUNTIF('BOM Atual ZPCS12'!F:F,B908)+(1-(SUMIF(Invoice!$A:$A,$B908,Invoice!$B:$B)/100000000000))</f>
        <v>1</v>
      </c>
      <c r="B908" s="52" t="s">
        <v>3386</v>
      </c>
      <c r="C908" s="44" t="s">
        <v>3387</v>
      </c>
      <c r="D908" s="44" t="s">
        <v>147</v>
      </c>
      <c r="E908" s="44" t="s">
        <v>51</v>
      </c>
      <c r="G908" s="44">
        <v>743</v>
      </c>
      <c r="H908" s="44" t="s">
        <v>2537</v>
      </c>
    </row>
    <row r="909" spans="1:8">
      <c r="A909" s="31">
        <f>COUNTIF('BOM Atual ZPCS12'!F:F,B909)+(1-(SUMIF(Invoice!$A:$A,$B909,Invoice!$B:$B)/100000000000))</f>
        <v>1</v>
      </c>
      <c r="B909" s="52" t="s">
        <v>3388</v>
      </c>
      <c r="C909" s="44" t="s">
        <v>3389</v>
      </c>
      <c r="D909" s="44" t="s">
        <v>147</v>
      </c>
      <c r="E909" s="44" t="s">
        <v>51</v>
      </c>
      <c r="G909" s="44">
        <v>743</v>
      </c>
      <c r="H909" s="44" t="s">
        <v>2537</v>
      </c>
    </row>
    <row r="910" spans="1:8">
      <c r="A910" s="31">
        <f>COUNTIF('BOM Atual ZPCS12'!F:F,B910)+(1-(SUMIF(Invoice!$A:$A,$B910,Invoice!$B:$B)/100000000000))</f>
        <v>1</v>
      </c>
      <c r="B910" s="52" t="s">
        <v>3390</v>
      </c>
      <c r="C910" s="44" t="s">
        <v>3389</v>
      </c>
      <c r="D910" s="44" t="s">
        <v>147</v>
      </c>
      <c r="E910" s="44" t="s">
        <v>51</v>
      </c>
      <c r="G910" s="44">
        <v>743</v>
      </c>
      <c r="H910" s="44" t="s">
        <v>2537</v>
      </c>
    </row>
    <row r="911" spans="1:8">
      <c r="A911" s="31">
        <f>COUNTIF('BOM Atual ZPCS12'!F:F,B911)+(1-(SUMIF(Invoice!$A:$A,$B911,Invoice!$B:$B)/100000000000))</f>
        <v>1</v>
      </c>
      <c r="B911" s="52" t="s">
        <v>3391</v>
      </c>
      <c r="C911" s="44" t="s">
        <v>3392</v>
      </c>
      <c r="D911" s="44" t="s">
        <v>147</v>
      </c>
      <c r="E911" s="44" t="s">
        <v>51</v>
      </c>
      <c r="G911" s="44">
        <v>743</v>
      </c>
      <c r="H911" s="44" t="s">
        <v>2537</v>
      </c>
    </row>
    <row r="912" spans="1:8">
      <c r="A912" s="31">
        <f>COUNTIF('BOM Atual ZPCS12'!F:F,B912)+(1-(SUMIF(Invoice!$A:$A,$B912,Invoice!$B:$B)/100000000000))</f>
        <v>1</v>
      </c>
      <c r="B912" s="52" t="s">
        <v>3393</v>
      </c>
      <c r="C912" s="44" t="s">
        <v>3389</v>
      </c>
      <c r="D912" s="44" t="s">
        <v>147</v>
      </c>
      <c r="E912" s="44" t="s">
        <v>51</v>
      </c>
      <c r="G912" s="44">
        <v>743</v>
      </c>
      <c r="H912" s="44" t="s">
        <v>2537</v>
      </c>
    </row>
    <row r="913" spans="1:8">
      <c r="A913" s="31">
        <f>COUNTIF('BOM Atual ZPCS12'!F:F,B913)+(1-(SUMIF(Invoice!$A:$A,$B913,Invoice!$B:$B)/100000000000))</f>
        <v>1</v>
      </c>
      <c r="B913" s="52" t="s">
        <v>3394</v>
      </c>
      <c r="C913" s="44" t="s">
        <v>3395</v>
      </c>
      <c r="D913" s="44" t="s">
        <v>147</v>
      </c>
      <c r="E913" s="44" t="s">
        <v>51</v>
      </c>
      <c r="G913" s="44">
        <v>744</v>
      </c>
      <c r="H913" s="44" t="s">
        <v>2537</v>
      </c>
    </row>
    <row r="914" spans="1:8">
      <c r="A914" s="31">
        <f>COUNTIF('BOM Atual ZPCS12'!F:F,B914)+(1-(SUMIF(Invoice!$A:$A,$B914,Invoice!$B:$B)/100000000000))</f>
        <v>1</v>
      </c>
      <c r="B914" s="52" t="s">
        <v>3396</v>
      </c>
      <c r="C914" s="44" t="s">
        <v>3397</v>
      </c>
      <c r="D914" s="44" t="s">
        <v>147</v>
      </c>
      <c r="E914" s="44" t="s">
        <v>51</v>
      </c>
      <c r="G914" s="44">
        <v>744</v>
      </c>
      <c r="H914" s="44" t="s">
        <v>2537</v>
      </c>
    </row>
    <row r="915" spans="1:8">
      <c r="A915" s="31">
        <f>COUNTIF('BOM Atual ZPCS12'!F:F,B915)+(1-(SUMIF(Invoice!$A:$A,$B915,Invoice!$B:$B)/100000000000))</f>
        <v>1</v>
      </c>
      <c r="B915" s="52" t="s">
        <v>3398</v>
      </c>
      <c r="C915" s="44" t="s">
        <v>3399</v>
      </c>
      <c r="D915" s="44" t="s">
        <v>147</v>
      </c>
      <c r="E915" s="44" t="s">
        <v>51</v>
      </c>
      <c r="G915" s="44">
        <v>744</v>
      </c>
      <c r="H915" s="44" t="s">
        <v>2537</v>
      </c>
    </row>
    <row r="916" spans="1:8">
      <c r="A916" s="31">
        <f>COUNTIF('BOM Atual ZPCS12'!F:F,B916)+(1-(SUMIF(Invoice!$A:$A,$B916,Invoice!$B:$B)/100000000000))</f>
        <v>1</v>
      </c>
      <c r="B916" s="52" t="s">
        <v>3400</v>
      </c>
      <c r="C916" s="44" t="s">
        <v>3401</v>
      </c>
      <c r="D916" s="44" t="s">
        <v>147</v>
      </c>
      <c r="E916" s="44" t="s">
        <v>51</v>
      </c>
      <c r="G916" s="44">
        <v>744</v>
      </c>
      <c r="H916" s="44" t="s">
        <v>2537</v>
      </c>
    </row>
    <row r="917" spans="1:8">
      <c r="A917" s="31">
        <f>COUNTIF('BOM Atual ZPCS12'!F:F,B917)+(1-(SUMIF(Invoice!$A:$A,$B917,Invoice!$B:$B)/100000000000))</f>
        <v>1</v>
      </c>
      <c r="B917" s="52" t="s">
        <v>3402</v>
      </c>
      <c r="C917" s="44" t="s">
        <v>3397</v>
      </c>
      <c r="D917" s="44" t="s">
        <v>147</v>
      </c>
      <c r="E917" s="44" t="s">
        <v>51</v>
      </c>
      <c r="G917" s="44">
        <v>744</v>
      </c>
      <c r="H917" s="44" t="s">
        <v>2537</v>
      </c>
    </row>
    <row r="918" spans="1:8">
      <c r="A918" s="31">
        <f>COUNTIF('BOM Atual ZPCS12'!F:F,B918)+(1-(SUMIF(Invoice!$A:$A,$B918,Invoice!$B:$B)/100000000000))</f>
        <v>1</v>
      </c>
      <c r="B918" s="52" t="s">
        <v>3403</v>
      </c>
      <c r="C918" s="44" t="s">
        <v>3404</v>
      </c>
      <c r="D918" s="44" t="s">
        <v>147</v>
      </c>
      <c r="E918" s="44" t="s">
        <v>51</v>
      </c>
      <c r="G918" s="44">
        <v>745</v>
      </c>
      <c r="H918" s="44" t="s">
        <v>2537</v>
      </c>
    </row>
    <row r="919" spans="1:8">
      <c r="A919" s="31">
        <f>COUNTIF('BOM Atual ZPCS12'!F:F,B919)+(1-(SUMIF(Invoice!$A:$A,$B919,Invoice!$B:$B)/100000000000))</f>
        <v>1</v>
      </c>
      <c r="B919" s="52" t="s">
        <v>3405</v>
      </c>
      <c r="C919" s="44" t="s">
        <v>3406</v>
      </c>
      <c r="D919" s="44" t="s">
        <v>147</v>
      </c>
      <c r="E919" s="44" t="s">
        <v>51</v>
      </c>
      <c r="G919" s="44">
        <v>745</v>
      </c>
      <c r="H919" s="44" t="s">
        <v>2537</v>
      </c>
    </row>
    <row r="920" spans="1:8">
      <c r="A920" s="31">
        <f>COUNTIF('BOM Atual ZPCS12'!F:F,B920)+(1-(SUMIF(Invoice!$A:$A,$B920,Invoice!$B:$B)/100000000000))</f>
        <v>1</v>
      </c>
      <c r="B920" s="52" t="s">
        <v>3407</v>
      </c>
      <c r="C920" s="44" t="s">
        <v>3408</v>
      </c>
      <c r="D920" s="44" t="s">
        <v>147</v>
      </c>
      <c r="E920" s="44" t="s">
        <v>51</v>
      </c>
      <c r="G920" s="44">
        <v>745</v>
      </c>
      <c r="H920" s="44" t="s">
        <v>2537</v>
      </c>
    </row>
    <row r="921" spans="1:8">
      <c r="A921" s="31">
        <f>COUNTIF('BOM Atual ZPCS12'!F:F,B921)+(1-(SUMIF(Invoice!$A:$A,$B921,Invoice!$B:$B)/100000000000))</f>
        <v>1</v>
      </c>
      <c r="B921" s="52" t="s">
        <v>3409</v>
      </c>
      <c r="C921" s="44" t="s">
        <v>3410</v>
      </c>
      <c r="D921" s="44" t="s">
        <v>147</v>
      </c>
      <c r="E921" s="44" t="s">
        <v>51</v>
      </c>
      <c r="G921" s="44">
        <v>745</v>
      </c>
      <c r="H921" s="44" t="s">
        <v>2537</v>
      </c>
    </row>
    <row r="922" spans="1:8">
      <c r="A922" s="31">
        <f>COUNTIF('BOM Atual ZPCS12'!F:F,B922)+(1-(SUMIF(Invoice!$A:$A,$B922,Invoice!$B:$B)/100000000000))</f>
        <v>1</v>
      </c>
      <c r="B922" s="52" t="s">
        <v>3411</v>
      </c>
      <c r="C922" s="44" t="s">
        <v>3412</v>
      </c>
      <c r="D922" s="44" t="s">
        <v>147</v>
      </c>
      <c r="E922" s="44" t="s">
        <v>51</v>
      </c>
      <c r="G922" s="44">
        <v>746</v>
      </c>
      <c r="H922" s="44" t="s">
        <v>2537</v>
      </c>
    </row>
    <row r="923" spans="1:8">
      <c r="A923" s="31">
        <f>COUNTIF('BOM Atual ZPCS12'!F:F,B923)+(1-(SUMIF(Invoice!$A:$A,$B923,Invoice!$B:$B)/100000000000))</f>
        <v>2</v>
      </c>
      <c r="B923" s="52" t="s">
        <v>1545</v>
      </c>
      <c r="C923" s="44" t="s">
        <v>3413</v>
      </c>
      <c r="D923" s="44" t="s">
        <v>147</v>
      </c>
      <c r="E923" s="44" t="s">
        <v>51</v>
      </c>
      <c r="G923" s="44">
        <v>746</v>
      </c>
      <c r="H923" s="44" t="s">
        <v>2537</v>
      </c>
    </row>
    <row r="924" spans="1:8">
      <c r="A924" s="31">
        <f>COUNTIF('BOM Atual ZPCS12'!F:F,B924)+(1-(SUMIF(Invoice!$A:$A,$B924,Invoice!$B:$B)/100000000000))</f>
        <v>2</v>
      </c>
      <c r="B924" s="52" t="s">
        <v>1548</v>
      </c>
      <c r="C924" s="44" t="s">
        <v>3413</v>
      </c>
      <c r="D924" s="44" t="s">
        <v>147</v>
      </c>
      <c r="E924" s="44" t="s">
        <v>51</v>
      </c>
      <c r="G924" s="44">
        <v>746</v>
      </c>
      <c r="H924" s="44" t="s">
        <v>2537</v>
      </c>
    </row>
    <row r="925" spans="1:8">
      <c r="A925" s="31">
        <f>COUNTIF('BOM Atual ZPCS12'!F:F,B925)+(1-(SUMIF(Invoice!$A:$A,$B925,Invoice!$B:$B)/100000000000))</f>
        <v>2</v>
      </c>
      <c r="B925" s="52" t="s">
        <v>1549</v>
      </c>
      <c r="C925" s="44" t="s">
        <v>3412</v>
      </c>
      <c r="D925" s="44" t="s">
        <v>147</v>
      </c>
      <c r="E925" s="44" t="s">
        <v>51</v>
      </c>
      <c r="G925" s="44">
        <v>746</v>
      </c>
      <c r="H925" s="44" t="s">
        <v>2537</v>
      </c>
    </row>
    <row r="926" spans="1:8">
      <c r="A926" s="31">
        <f>COUNTIF('BOM Atual ZPCS12'!F:F,B926)+(1-(SUMIF(Invoice!$A:$A,$B926,Invoice!$B:$B)/100000000000))</f>
        <v>2</v>
      </c>
      <c r="B926" s="52" t="s">
        <v>1551</v>
      </c>
      <c r="C926" s="44" t="s">
        <v>3412</v>
      </c>
      <c r="D926" s="44" t="s">
        <v>147</v>
      </c>
      <c r="E926" s="44" t="s">
        <v>51</v>
      </c>
      <c r="G926" s="44">
        <v>746</v>
      </c>
      <c r="H926" s="44" t="s">
        <v>2537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1552</v>
      </c>
      <c r="C927" s="44" t="s">
        <v>3412</v>
      </c>
      <c r="D927" s="44" t="s">
        <v>147</v>
      </c>
      <c r="E927" s="44" t="s">
        <v>51</v>
      </c>
      <c r="G927" s="44">
        <v>746</v>
      </c>
      <c r="H927" s="44" t="s">
        <v>2537</v>
      </c>
    </row>
    <row r="928" spans="1:8">
      <c r="A928" s="31">
        <f>COUNTIF('BOM Atual ZPCS12'!F:F,B928)+(1-(SUMIF(Invoice!$A:$A,$B928,Invoice!$B:$B)/100000000000))</f>
        <v>1</v>
      </c>
      <c r="B928" s="52" t="s">
        <v>3414</v>
      </c>
      <c r="C928" s="44" t="s">
        <v>3415</v>
      </c>
      <c r="D928" s="44" t="s">
        <v>147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3416</v>
      </c>
      <c r="C929" s="44" t="s">
        <v>3417</v>
      </c>
      <c r="D929" s="44" t="s">
        <v>147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3418</v>
      </c>
      <c r="C930" s="44" t="s">
        <v>3419</v>
      </c>
      <c r="D930" s="44" t="s">
        <v>147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3420</v>
      </c>
      <c r="C931" s="44" t="s">
        <v>3421</v>
      </c>
      <c r="D931" s="44" t="s">
        <v>147</v>
      </c>
      <c r="E931" s="44" t="s">
        <v>51</v>
      </c>
      <c r="G931" s="44">
        <v>748</v>
      </c>
      <c r="H931" s="44" t="s">
        <v>2537</v>
      </c>
    </row>
    <row r="932" spans="1:8">
      <c r="A932" s="31">
        <f>COUNTIF('BOM Atual ZPCS12'!F:F,B932)+(1-(SUMIF(Invoice!$A:$A,$B932,Invoice!$B:$B)/100000000000))</f>
        <v>1</v>
      </c>
      <c r="B932" s="52" t="s">
        <v>3422</v>
      </c>
      <c r="C932" s="44" t="s">
        <v>3423</v>
      </c>
      <c r="D932" s="44" t="s">
        <v>147</v>
      </c>
      <c r="E932" s="44" t="s">
        <v>51</v>
      </c>
      <c r="G932" s="44">
        <v>748</v>
      </c>
      <c r="H932" s="44" t="s">
        <v>2537</v>
      </c>
    </row>
    <row r="933" spans="1:8">
      <c r="A933" s="31">
        <f>COUNTIF('BOM Atual ZPCS12'!F:F,B933)+(1-(SUMIF(Invoice!$A:$A,$B933,Invoice!$B:$B)/100000000000))</f>
        <v>1</v>
      </c>
      <c r="B933" s="52" t="s">
        <v>3424</v>
      </c>
      <c r="C933" s="44" t="s">
        <v>3425</v>
      </c>
      <c r="D933" s="44" t="s">
        <v>147</v>
      </c>
      <c r="E933" s="44" t="s">
        <v>51</v>
      </c>
      <c r="G933" s="44">
        <v>748</v>
      </c>
      <c r="H933" s="44" t="s">
        <v>2537</v>
      </c>
    </row>
    <row r="934" spans="1:8">
      <c r="A934" s="31">
        <f>COUNTIF('BOM Atual ZPCS12'!F:F,B934)+(1-(SUMIF(Invoice!$A:$A,$B934,Invoice!$B:$B)/100000000000))</f>
        <v>1</v>
      </c>
      <c r="B934" s="52" t="s">
        <v>3426</v>
      </c>
      <c r="C934" s="44" t="s">
        <v>3427</v>
      </c>
      <c r="D934" s="44" t="s">
        <v>147</v>
      </c>
      <c r="E934" s="44" t="s">
        <v>51</v>
      </c>
      <c r="G934" s="44">
        <v>748</v>
      </c>
      <c r="H934" s="44" t="s">
        <v>2537</v>
      </c>
    </row>
    <row r="935" spans="1:8">
      <c r="A935" s="31">
        <f>COUNTIF('BOM Atual ZPCS12'!F:F,B935)+(1-(SUMIF(Invoice!$A:$A,$B935,Invoice!$B:$B)/100000000000))</f>
        <v>1</v>
      </c>
      <c r="B935" s="52" t="s">
        <v>3428</v>
      </c>
      <c r="C935" s="44" t="s">
        <v>3429</v>
      </c>
      <c r="D935" s="44" t="s">
        <v>147</v>
      </c>
      <c r="E935" s="44" t="s">
        <v>51</v>
      </c>
      <c r="G935" s="44">
        <v>748</v>
      </c>
      <c r="H935" s="44" t="s">
        <v>2537</v>
      </c>
    </row>
    <row r="936" spans="1:8">
      <c r="A936" s="31">
        <f>COUNTIF('BOM Atual ZPCS12'!F:F,B936)+(1-(SUMIF(Invoice!$A:$A,$B936,Invoice!$B:$B)/100000000000))</f>
        <v>1</v>
      </c>
      <c r="B936" s="52" t="s">
        <v>3430</v>
      </c>
      <c r="C936" s="44" t="s">
        <v>3431</v>
      </c>
      <c r="D936" s="44" t="s">
        <v>147</v>
      </c>
      <c r="E936" s="44" t="s">
        <v>51</v>
      </c>
      <c r="G936" s="44">
        <v>748</v>
      </c>
      <c r="H936" s="44" t="s">
        <v>2537</v>
      </c>
    </row>
    <row r="937" spans="1:8">
      <c r="A937" s="31">
        <f>COUNTIF('BOM Atual ZPCS12'!F:F,B937)+(1-(SUMIF(Invoice!$A:$A,$B937,Invoice!$B:$B)/100000000000))</f>
        <v>1</v>
      </c>
      <c r="B937" s="52" t="s">
        <v>3432</v>
      </c>
      <c r="C937" s="44" t="s">
        <v>3433</v>
      </c>
      <c r="D937" s="44" t="s">
        <v>147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3434</v>
      </c>
      <c r="C938" s="44" t="s">
        <v>3435</v>
      </c>
      <c r="D938" s="44" t="s">
        <v>147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3436</v>
      </c>
      <c r="C939" s="44" t="s">
        <v>3437</v>
      </c>
      <c r="D939" s="44" t="s">
        <v>147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2</v>
      </c>
      <c r="B940" s="52" t="s">
        <v>1570</v>
      </c>
      <c r="C940" s="44" t="s">
        <v>1571</v>
      </c>
      <c r="D940" s="44" t="s">
        <v>147</v>
      </c>
      <c r="E940" s="44" t="s">
        <v>51</v>
      </c>
      <c r="G940" s="44">
        <v>750</v>
      </c>
      <c r="H940" s="44" t="s">
        <v>2537</v>
      </c>
    </row>
    <row r="941" spans="1:8">
      <c r="A941" s="31">
        <f>COUNTIF('BOM Atual ZPCS12'!F:F,B941)+(1-(SUMIF(Invoice!$A:$A,$B941,Invoice!$B:$B)/100000000000))</f>
        <v>1</v>
      </c>
      <c r="B941" s="52" t="s">
        <v>3438</v>
      </c>
      <c r="C941" s="44" t="s">
        <v>3439</v>
      </c>
      <c r="D941" s="44" t="s">
        <v>147</v>
      </c>
      <c r="E941" s="44" t="s">
        <v>51</v>
      </c>
      <c r="G941" s="44">
        <v>750</v>
      </c>
      <c r="H941" s="44" t="s">
        <v>2537</v>
      </c>
    </row>
    <row r="942" spans="1:8">
      <c r="A942" s="31">
        <f>COUNTIF('BOM Atual ZPCS12'!F:F,B942)+(1-(SUMIF(Invoice!$A:$A,$B942,Invoice!$B:$B)/100000000000))</f>
        <v>2</v>
      </c>
      <c r="B942" s="52" t="s">
        <v>1573</v>
      </c>
      <c r="C942" s="44" t="s">
        <v>3440</v>
      </c>
      <c r="D942" s="44" t="s">
        <v>147</v>
      </c>
      <c r="E942" s="44" t="s">
        <v>51</v>
      </c>
      <c r="G942" s="44">
        <v>750</v>
      </c>
      <c r="H942" s="44" t="s">
        <v>2537</v>
      </c>
    </row>
    <row r="943" spans="1:8">
      <c r="A943" s="31">
        <f>COUNTIF('BOM Atual ZPCS12'!F:F,B943)+(1-(SUMIF(Invoice!$A:$A,$B943,Invoice!$B:$B)/100000000000))</f>
        <v>2</v>
      </c>
      <c r="B943" s="52" t="s">
        <v>1575</v>
      </c>
      <c r="C943" s="44" t="s">
        <v>3441</v>
      </c>
      <c r="D943" s="44" t="s">
        <v>147</v>
      </c>
      <c r="E943" s="44" t="s">
        <v>51</v>
      </c>
      <c r="G943" s="44">
        <v>750</v>
      </c>
      <c r="H943" s="44" t="s">
        <v>2537</v>
      </c>
    </row>
    <row r="944" spans="1:8">
      <c r="A944" s="31">
        <f>COUNTIF('BOM Atual ZPCS12'!F:F,B944)+(1-(SUMIF(Invoice!$A:$A,$B944,Invoice!$B:$B)/100000000000))</f>
        <v>2</v>
      </c>
      <c r="B944" s="52" t="s">
        <v>1577</v>
      </c>
      <c r="C944" s="44" t="s">
        <v>3439</v>
      </c>
      <c r="D944" s="44" t="s">
        <v>147</v>
      </c>
      <c r="E944" s="44" t="s">
        <v>51</v>
      </c>
      <c r="G944" s="44">
        <v>750</v>
      </c>
      <c r="H944" s="44" t="s">
        <v>2537</v>
      </c>
    </row>
    <row r="945" spans="1:8">
      <c r="A945" s="31">
        <f>COUNTIF('BOM Atual ZPCS12'!F:F,B945)+(1-(SUMIF(Invoice!$A:$A,$B945,Invoice!$B:$B)/100000000000))</f>
        <v>1.9999999000000002</v>
      </c>
      <c r="B945" s="52" t="s">
        <v>1579</v>
      </c>
      <c r="C945" s="44" t="s">
        <v>3442</v>
      </c>
      <c r="D945" s="44" t="s">
        <v>147</v>
      </c>
      <c r="E945" s="44" t="s">
        <v>51</v>
      </c>
      <c r="G945" s="44">
        <v>750</v>
      </c>
      <c r="H945" s="44" t="s">
        <v>2537</v>
      </c>
    </row>
    <row r="946" spans="1:8">
      <c r="A946" s="31">
        <f>COUNTIF('BOM Atual ZPCS12'!F:F,B946)+(1-(SUMIF(Invoice!$A:$A,$B946,Invoice!$B:$B)/100000000000))</f>
        <v>2</v>
      </c>
      <c r="B946" s="52" t="s">
        <v>1484</v>
      </c>
      <c r="C946" s="44" t="s">
        <v>1485</v>
      </c>
      <c r="D946" s="44" t="s">
        <v>147</v>
      </c>
      <c r="E946" s="44" t="s">
        <v>51</v>
      </c>
      <c r="G946" s="44">
        <v>751</v>
      </c>
      <c r="H946" s="44" t="s">
        <v>2537</v>
      </c>
    </row>
    <row r="947" spans="1:8">
      <c r="A947" s="31">
        <f>COUNTIF('BOM Atual ZPCS12'!F:F,B947)+(1-(SUMIF(Invoice!$A:$A,$B947,Invoice!$B:$B)/100000000000))</f>
        <v>1</v>
      </c>
      <c r="B947" s="52" t="s">
        <v>3443</v>
      </c>
      <c r="C947" s="44" t="s">
        <v>3444</v>
      </c>
      <c r="D947" s="44" t="s">
        <v>147</v>
      </c>
      <c r="E947" s="44" t="s">
        <v>51</v>
      </c>
      <c r="G947" s="44">
        <v>751</v>
      </c>
      <c r="H947" s="44" t="s">
        <v>2537</v>
      </c>
    </row>
    <row r="948" spans="1:8">
      <c r="A948" s="31">
        <f>COUNTIF('BOM Atual ZPCS12'!F:F,B948)+(1-(SUMIF(Invoice!$A:$A,$B948,Invoice!$B:$B)/100000000000))</f>
        <v>2</v>
      </c>
      <c r="B948" s="52" t="s">
        <v>1487</v>
      </c>
      <c r="C948" s="44" t="s">
        <v>3445</v>
      </c>
      <c r="D948" s="44" t="s">
        <v>147</v>
      </c>
      <c r="E948" s="44" t="s">
        <v>51</v>
      </c>
      <c r="G948" s="44">
        <v>751</v>
      </c>
      <c r="H948" s="44" t="s">
        <v>2537</v>
      </c>
    </row>
    <row r="949" spans="1:8">
      <c r="A949" s="31">
        <f>COUNTIF('BOM Atual ZPCS12'!F:F,B949)+(1-(SUMIF(Invoice!$A:$A,$B949,Invoice!$B:$B)/100000000000))</f>
        <v>1.9999986000000001</v>
      </c>
      <c r="B949" s="52" t="s">
        <v>1489</v>
      </c>
      <c r="C949" s="44" t="s">
        <v>3445</v>
      </c>
      <c r="D949" s="44" t="s">
        <v>147</v>
      </c>
      <c r="E949" s="44" t="s">
        <v>51</v>
      </c>
      <c r="G949" s="44">
        <v>751</v>
      </c>
      <c r="H949" s="44" t="s">
        <v>2537</v>
      </c>
    </row>
    <row r="950" spans="1:8">
      <c r="A950" s="31">
        <f>COUNTIF('BOM Atual ZPCS12'!F:F,B950)+(1-(SUMIF(Invoice!$A:$A,$B950,Invoice!$B:$B)/100000000000))</f>
        <v>2</v>
      </c>
      <c r="B950" s="52" t="s">
        <v>1490</v>
      </c>
      <c r="C950" s="44" t="s">
        <v>3446</v>
      </c>
      <c r="D950" s="44" t="s">
        <v>147</v>
      </c>
      <c r="E950" s="44" t="s">
        <v>51</v>
      </c>
      <c r="G950" s="44">
        <v>751</v>
      </c>
      <c r="H950" s="44" t="s">
        <v>2537</v>
      </c>
    </row>
    <row r="951" spans="1:8">
      <c r="A951" s="31">
        <f>COUNTIF('BOM Atual ZPCS12'!F:F,B951)+(1-(SUMIF(Invoice!$A:$A,$B951,Invoice!$B:$B)/100000000000))</f>
        <v>2</v>
      </c>
      <c r="B951" s="52" t="s">
        <v>1492</v>
      </c>
      <c r="C951" s="44" t="s">
        <v>3444</v>
      </c>
      <c r="D951" s="44" t="s">
        <v>147</v>
      </c>
      <c r="E951" s="44" t="s">
        <v>51</v>
      </c>
      <c r="G951" s="44">
        <v>751</v>
      </c>
      <c r="H951" s="44" t="s">
        <v>2537</v>
      </c>
    </row>
    <row r="952" spans="1:8">
      <c r="A952" s="31">
        <f>COUNTIF('BOM Atual ZPCS12'!F:F,B952)+(1-(SUMIF(Invoice!$A:$A,$B952,Invoice!$B:$B)/100000000000))</f>
        <v>1</v>
      </c>
      <c r="B952" s="52" t="s">
        <v>3447</v>
      </c>
      <c r="C952" s="44" t="s">
        <v>3448</v>
      </c>
      <c r="D952" s="44" t="s">
        <v>147</v>
      </c>
      <c r="E952" s="44" t="s">
        <v>51</v>
      </c>
      <c r="G952" s="44">
        <v>752</v>
      </c>
      <c r="H952" s="44" t="s">
        <v>2537</v>
      </c>
    </row>
    <row r="953" spans="1:8">
      <c r="A953" s="31">
        <f>COUNTIF('BOM Atual ZPCS12'!F:F,B953)+(1-(SUMIF(Invoice!$A:$A,$B953,Invoice!$B:$B)/100000000000))</f>
        <v>2</v>
      </c>
      <c r="B953" s="52" t="s">
        <v>1590</v>
      </c>
      <c r="C953" s="44" t="s">
        <v>3449</v>
      </c>
      <c r="D953" s="44" t="s">
        <v>147</v>
      </c>
      <c r="E953" s="44" t="s">
        <v>51</v>
      </c>
      <c r="G953" s="44">
        <v>752</v>
      </c>
      <c r="H953" s="44" t="s">
        <v>2537</v>
      </c>
    </row>
    <row r="954" spans="1:8">
      <c r="A954" s="31">
        <f>COUNTIF('BOM Atual ZPCS12'!F:F,B954)+(1-(SUMIF(Invoice!$A:$A,$B954,Invoice!$B:$B)/100000000000))</f>
        <v>2</v>
      </c>
      <c r="B954" s="52" t="s">
        <v>1593</v>
      </c>
      <c r="C954" s="44" t="s">
        <v>3449</v>
      </c>
      <c r="D954" s="44" t="s">
        <v>147</v>
      </c>
      <c r="E954" s="44" t="s">
        <v>51</v>
      </c>
      <c r="G954" s="44">
        <v>752</v>
      </c>
      <c r="H954" s="44" t="s">
        <v>2537</v>
      </c>
    </row>
    <row r="955" spans="1:8">
      <c r="A955" s="31">
        <f>COUNTIF('BOM Atual ZPCS12'!F:F,B955)+(1-(SUMIF(Invoice!$A:$A,$B955,Invoice!$B:$B)/100000000000))</f>
        <v>2</v>
      </c>
      <c r="B955" s="52" t="s">
        <v>1594</v>
      </c>
      <c r="C955" s="44" t="s">
        <v>3449</v>
      </c>
      <c r="D955" s="44" t="s">
        <v>147</v>
      </c>
      <c r="E955" s="44" t="s">
        <v>51</v>
      </c>
      <c r="G955" s="44">
        <v>752</v>
      </c>
      <c r="H955" s="44" t="s">
        <v>2537</v>
      </c>
    </row>
    <row r="956" spans="1:8">
      <c r="A956" s="31">
        <f>COUNTIF('BOM Atual ZPCS12'!F:F,B956)+(1-(SUMIF(Invoice!$A:$A,$B956,Invoice!$B:$B)/100000000000))</f>
        <v>2</v>
      </c>
      <c r="B956" s="52" t="s">
        <v>1595</v>
      </c>
      <c r="C956" s="44" t="s">
        <v>3449</v>
      </c>
      <c r="D956" s="44" t="s">
        <v>147</v>
      </c>
      <c r="E956" s="44" t="s">
        <v>51</v>
      </c>
      <c r="G956" s="44">
        <v>752</v>
      </c>
      <c r="H956" s="44" t="s">
        <v>2537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1596</v>
      </c>
      <c r="C957" s="44" t="s">
        <v>3449</v>
      </c>
      <c r="D957" s="44" t="s">
        <v>147</v>
      </c>
      <c r="E957" s="44" t="s">
        <v>51</v>
      </c>
      <c r="G957" s="44">
        <v>752</v>
      </c>
      <c r="H957" s="44" t="s">
        <v>2537</v>
      </c>
    </row>
    <row r="958" spans="1:8">
      <c r="A958" s="31">
        <f>COUNTIF('BOM Atual ZPCS12'!F:F,B958)+(1-(SUMIF(Invoice!$A:$A,$B958,Invoice!$B:$B)/100000000000))</f>
        <v>1</v>
      </c>
      <c r="B958" s="52" t="s">
        <v>3450</v>
      </c>
      <c r="C958" s="44" t="s">
        <v>3451</v>
      </c>
      <c r="D958" s="44" t="s">
        <v>147</v>
      </c>
      <c r="E958" s="44" t="s">
        <v>51</v>
      </c>
      <c r="G958" s="44">
        <v>753</v>
      </c>
      <c r="H958" s="44" t="s">
        <v>2537</v>
      </c>
    </row>
    <row r="959" spans="1:8">
      <c r="A959" s="31">
        <f>COUNTIF('BOM Atual ZPCS12'!F:F,B959)+(1-(SUMIF(Invoice!$A:$A,$B959,Invoice!$B:$B)/100000000000))</f>
        <v>2</v>
      </c>
      <c r="B959" s="52" t="s">
        <v>1604</v>
      </c>
      <c r="C959" s="44" t="s">
        <v>3452</v>
      </c>
      <c r="D959" s="44" t="s">
        <v>147</v>
      </c>
      <c r="E959" s="44" t="s">
        <v>51</v>
      </c>
      <c r="G959" s="44">
        <v>753</v>
      </c>
      <c r="H959" s="44" t="s">
        <v>2537</v>
      </c>
    </row>
    <row r="960" spans="1:8">
      <c r="A960" s="31">
        <f>COUNTIF('BOM Atual ZPCS12'!F:F,B960)+(1-(SUMIF(Invoice!$A:$A,$B960,Invoice!$B:$B)/100000000000))</f>
        <v>2</v>
      </c>
      <c r="B960" s="52" t="s">
        <v>1607</v>
      </c>
      <c r="C960" s="44" t="s">
        <v>1608</v>
      </c>
      <c r="D960" s="44" t="s">
        <v>147</v>
      </c>
      <c r="E960" s="44" t="s">
        <v>51</v>
      </c>
      <c r="G960" s="44">
        <v>753</v>
      </c>
      <c r="H960" s="44" t="s">
        <v>2537</v>
      </c>
    </row>
    <row r="961" spans="1:8">
      <c r="A961" s="31">
        <f>COUNTIF('BOM Atual ZPCS12'!F:F,B961)+(1-(SUMIF(Invoice!$A:$A,$B961,Invoice!$B:$B)/100000000000))</f>
        <v>2</v>
      </c>
      <c r="B961" s="52" t="s">
        <v>1609</v>
      </c>
      <c r="C961" s="44" t="s">
        <v>3452</v>
      </c>
      <c r="D961" s="44" t="s">
        <v>147</v>
      </c>
      <c r="E961" s="44" t="s">
        <v>51</v>
      </c>
      <c r="G961" s="44">
        <v>753</v>
      </c>
      <c r="H961" s="44" t="s">
        <v>2537</v>
      </c>
    </row>
    <row r="962" spans="1:8">
      <c r="A962" s="31">
        <f>COUNTIF('BOM Atual ZPCS12'!F:F,B962)+(1-(SUMIF(Invoice!$A:$A,$B962,Invoice!$B:$B)/100000000000))</f>
        <v>2</v>
      </c>
      <c r="B962" s="52" t="s">
        <v>1610</v>
      </c>
      <c r="C962" s="44" t="s">
        <v>3452</v>
      </c>
      <c r="D962" s="44" t="s">
        <v>147</v>
      </c>
      <c r="E962" s="44" t="s">
        <v>51</v>
      </c>
      <c r="G962" s="44">
        <v>753</v>
      </c>
      <c r="H962" s="44" t="s">
        <v>2537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1611</v>
      </c>
      <c r="C963" s="44" t="s">
        <v>1612</v>
      </c>
      <c r="D963" s="44" t="s">
        <v>147</v>
      </c>
      <c r="E963" s="44" t="s">
        <v>51</v>
      </c>
      <c r="G963" s="44">
        <v>753</v>
      </c>
      <c r="H963" s="44" t="s">
        <v>2537</v>
      </c>
    </row>
    <row r="964" spans="1:8">
      <c r="A964" s="31">
        <f>COUNTIF('BOM Atual ZPCS12'!F:F,B964)+(1-(SUMIF(Invoice!$A:$A,$B964,Invoice!$B:$B)/100000000000))</f>
        <v>1</v>
      </c>
      <c r="B964" s="52" t="s">
        <v>3453</v>
      </c>
      <c r="C964" s="44" t="s">
        <v>3454</v>
      </c>
      <c r="D964" s="44" t="s">
        <v>147</v>
      </c>
      <c r="E964" s="44" t="s">
        <v>51</v>
      </c>
      <c r="G964" s="44">
        <v>754</v>
      </c>
      <c r="H964" s="44" t="s">
        <v>2537</v>
      </c>
    </row>
    <row r="965" spans="1:8">
      <c r="A965" s="31">
        <f>COUNTIF('BOM Atual ZPCS12'!F:F,B965)+(1-(SUMIF(Invoice!$A:$A,$B965,Invoice!$B:$B)/100000000000))</f>
        <v>1</v>
      </c>
      <c r="B965" s="52" t="s">
        <v>3455</v>
      </c>
      <c r="C965" s="44" t="s">
        <v>3456</v>
      </c>
      <c r="D965" s="44" t="s">
        <v>147</v>
      </c>
      <c r="E965" s="44" t="s">
        <v>51</v>
      </c>
      <c r="G965" s="44">
        <v>754</v>
      </c>
      <c r="H965" s="44" t="s">
        <v>2537</v>
      </c>
    </row>
    <row r="966" spans="1:8">
      <c r="A966" s="31">
        <f>COUNTIF('BOM Atual ZPCS12'!F:F,B966)+(1-(SUMIF(Invoice!$A:$A,$B966,Invoice!$B:$B)/100000000000))</f>
        <v>1</v>
      </c>
      <c r="B966" s="52" t="s">
        <v>3457</v>
      </c>
      <c r="C966" s="44" t="s">
        <v>3456</v>
      </c>
      <c r="D966" s="44" t="s">
        <v>147</v>
      </c>
      <c r="E966" s="44" t="s">
        <v>51</v>
      </c>
      <c r="G966" s="44">
        <v>754</v>
      </c>
      <c r="H966" s="44" t="s">
        <v>2537</v>
      </c>
    </row>
    <row r="967" spans="1:8">
      <c r="A967" s="31">
        <f>COUNTIF('BOM Atual ZPCS12'!F:F,B967)+(1-(SUMIF(Invoice!$A:$A,$B967,Invoice!$B:$B)/100000000000))</f>
        <v>1</v>
      </c>
      <c r="B967" s="52" t="s">
        <v>3458</v>
      </c>
      <c r="C967" s="44" t="s">
        <v>3456</v>
      </c>
      <c r="D967" s="44" t="s">
        <v>147</v>
      </c>
      <c r="E967" s="44" t="s">
        <v>51</v>
      </c>
      <c r="G967" s="44">
        <v>754</v>
      </c>
      <c r="H967" s="44" t="s">
        <v>2537</v>
      </c>
    </row>
    <row r="968" spans="1:8">
      <c r="A968" s="31">
        <f>COUNTIF('BOM Atual ZPCS12'!F:F,B968)+(1-(SUMIF(Invoice!$A:$A,$B968,Invoice!$B:$B)/100000000000))</f>
        <v>1</v>
      </c>
      <c r="B968" s="52" t="s">
        <v>3459</v>
      </c>
      <c r="C968" s="44" t="s">
        <v>3454</v>
      </c>
      <c r="D968" s="44" t="s">
        <v>147</v>
      </c>
      <c r="E968" s="44" t="s">
        <v>51</v>
      </c>
      <c r="G968" s="44">
        <v>754</v>
      </c>
      <c r="H968" s="44" t="s">
        <v>2537</v>
      </c>
    </row>
    <row r="969" spans="1:8">
      <c r="A969" s="31">
        <f>COUNTIF('BOM Atual ZPCS12'!F:F,B969)+(1-(SUMIF(Invoice!$A:$A,$B969,Invoice!$B:$B)/100000000000))</f>
        <v>1.9999999000000002</v>
      </c>
      <c r="B969" s="52" t="s">
        <v>1494</v>
      </c>
      <c r="C969" s="44" t="s">
        <v>1495</v>
      </c>
      <c r="D969" s="44" t="s">
        <v>147</v>
      </c>
      <c r="E969" s="44" t="s">
        <v>51</v>
      </c>
      <c r="G969" s="44">
        <v>755</v>
      </c>
      <c r="H969" s="44" t="s">
        <v>2537</v>
      </c>
    </row>
    <row r="970" spans="1:8">
      <c r="A970" s="31">
        <f>COUNTIF('BOM Atual ZPCS12'!F:F,B970)+(1-(SUMIF(Invoice!$A:$A,$B970,Invoice!$B:$B)/100000000000))</f>
        <v>1</v>
      </c>
      <c r="B970" s="52" t="s">
        <v>3460</v>
      </c>
      <c r="C970" s="44" t="s">
        <v>3461</v>
      </c>
      <c r="D970" s="44" t="s">
        <v>147</v>
      </c>
      <c r="E970" s="44" t="s">
        <v>51</v>
      </c>
      <c r="G970" s="44">
        <v>755</v>
      </c>
      <c r="H970" s="44" t="s">
        <v>2537</v>
      </c>
    </row>
    <row r="971" spans="1:8">
      <c r="A971" s="31">
        <f>COUNTIF('BOM Atual ZPCS12'!F:F,B971)+(1-(SUMIF(Invoice!$A:$A,$B971,Invoice!$B:$B)/100000000000))</f>
        <v>2</v>
      </c>
      <c r="B971" s="52" t="s">
        <v>1497</v>
      </c>
      <c r="C971" s="44" t="s">
        <v>1498</v>
      </c>
      <c r="D971" s="44" t="s">
        <v>147</v>
      </c>
      <c r="E971" s="44" t="s">
        <v>51</v>
      </c>
      <c r="G971" s="44">
        <v>755</v>
      </c>
      <c r="H971" s="44" t="s">
        <v>2537</v>
      </c>
    </row>
    <row r="972" spans="1:8">
      <c r="A972" s="31">
        <f>COUNTIF('BOM Atual ZPCS12'!F:F,B972)+(1-(SUMIF(Invoice!$A:$A,$B972,Invoice!$B:$B)/100000000000))</f>
        <v>1</v>
      </c>
      <c r="B972" s="52" t="s">
        <v>3462</v>
      </c>
      <c r="C972" s="44" t="s">
        <v>3463</v>
      </c>
      <c r="D972" s="44" t="s">
        <v>147</v>
      </c>
      <c r="E972" s="44" t="s">
        <v>51</v>
      </c>
      <c r="G972" s="44">
        <v>755</v>
      </c>
      <c r="H972" s="44" t="s">
        <v>2537</v>
      </c>
    </row>
    <row r="973" spans="1:8">
      <c r="A973" s="31">
        <f>COUNTIF('BOM Atual ZPCS12'!F:F,B973)+(1-(SUMIF(Invoice!$A:$A,$B973,Invoice!$B:$B)/100000000000))</f>
        <v>2</v>
      </c>
      <c r="B973" s="52" t="s">
        <v>1499</v>
      </c>
      <c r="C973" s="44" t="s">
        <v>1500</v>
      </c>
      <c r="D973" s="44" t="s">
        <v>147</v>
      </c>
      <c r="E973" s="44" t="s">
        <v>51</v>
      </c>
      <c r="G973" s="44">
        <v>755</v>
      </c>
      <c r="H973" s="44" t="s">
        <v>2537</v>
      </c>
    </row>
    <row r="974" spans="1:8">
      <c r="A974" s="31">
        <f>COUNTIF('BOM Atual ZPCS12'!F:F,B974)+(1-(SUMIF(Invoice!$A:$A,$B974,Invoice!$B:$B)/100000000000))</f>
        <v>1</v>
      </c>
      <c r="B974" s="52" t="s">
        <v>3464</v>
      </c>
      <c r="C974" s="44" t="s">
        <v>3465</v>
      </c>
      <c r="D974" s="44" t="s">
        <v>147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3466</v>
      </c>
      <c r="C975" s="44" t="s">
        <v>3467</v>
      </c>
      <c r="D975" s="44" t="s">
        <v>147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3468</v>
      </c>
      <c r="C976" s="44" t="s">
        <v>3469</v>
      </c>
      <c r="D976" s="44" t="s">
        <v>147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1</v>
      </c>
      <c r="B977" s="52" t="s">
        <v>3470</v>
      </c>
      <c r="C977" s="44" t="s">
        <v>3471</v>
      </c>
      <c r="D977" s="44" t="s">
        <v>147</v>
      </c>
      <c r="E977" s="44" t="s">
        <v>51</v>
      </c>
      <c r="G977" s="44">
        <v>757</v>
      </c>
      <c r="H977" s="44" t="s">
        <v>2537</v>
      </c>
    </row>
    <row r="978" spans="1:8">
      <c r="A978" s="31">
        <f>COUNTIF('BOM Atual ZPCS12'!F:F,B978)+(1-(SUMIF(Invoice!$A:$A,$B978,Invoice!$B:$B)/100000000000))</f>
        <v>2</v>
      </c>
      <c r="B978" s="52" t="s">
        <v>1653</v>
      </c>
      <c r="C978" s="44" t="s">
        <v>3471</v>
      </c>
      <c r="D978" s="44" t="s">
        <v>147</v>
      </c>
      <c r="E978" s="44" t="s">
        <v>51</v>
      </c>
      <c r="G978" s="44">
        <v>757</v>
      </c>
      <c r="H978" s="44" t="s">
        <v>2537</v>
      </c>
    </row>
    <row r="979" spans="1:8">
      <c r="A979" s="31">
        <f>COUNTIF('BOM Atual ZPCS12'!F:F,B979)+(1-(SUMIF(Invoice!$A:$A,$B979,Invoice!$B:$B)/100000000000))</f>
        <v>1.9999997999999999</v>
      </c>
      <c r="B979" s="52" t="s">
        <v>1656</v>
      </c>
      <c r="C979" s="44" t="s">
        <v>3471</v>
      </c>
      <c r="D979" s="44" t="s">
        <v>147</v>
      </c>
      <c r="E979" s="44" t="s">
        <v>51</v>
      </c>
      <c r="G979" s="44">
        <v>757</v>
      </c>
      <c r="H979" s="44" t="s">
        <v>2537</v>
      </c>
    </row>
    <row r="980" spans="1:8">
      <c r="A980" s="31">
        <f>COUNTIF('BOM Atual ZPCS12'!F:F,B980)+(1-(SUMIF(Invoice!$A:$A,$B980,Invoice!$B:$B)/100000000000))</f>
        <v>2</v>
      </c>
      <c r="B980" s="52" t="s">
        <v>1657</v>
      </c>
      <c r="C980" s="44" t="s">
        <v>3471</v>
      </c>
      <c r="D980" s="44" t="s">
        <v>147</v>
      </c>
      <c r="E980" s="44" t="s">
        <v>51</v>
      </c>
      <c r="G980" s="44">
        <v>757</v>
      </c>
      <c r="H980" s="44" t="s">
        <v>2537</v>
      </c>
    </row>
    <row r="981" spans="1:8">
      <c r="A981" s="31">
        <f>COUNTIF('BOM Atual ZPCS12'!F:F,B981)+(1-(SUMIF(Invoice!$A:$A,$B981,Invoice!$B:$B)/100000000000))</f>
        <v>2</v>
      </c>
      <c r="B981" s="52" t="s">
        <v>1658</v>
      </c>
      <c r="C981" s="44" t="s">
        <v>3471</v>
      </c>
      <c r="D981" s="44" t="s">
        <v>147</v>
      </c>
      <c r="E981" s="44" t="s">
        <v>51</v>
      </c>
      <c r="G981" s="44">
        <v>757</v>
      </c>
      <c r="H981" s="44" t="s">
        <v>2537</v>
      </c>
    </row>
    <row r="982" spans="1:8">
      <c r="A982" s="31">
        <f>COUNTIF('BOM Atual ZPCS12'!F:F,B982)+(1-(SUMIF(Invoice!$A:$A,$B982,Invoice!$B:$B)/100000000000))</f>
        <v>1</v>
      </c>
      <c r="B982" s="52" t="s">
        <v>3472</v>
      </c>
      <c r="C982" s="44" t="s">
        <v>3473</v>
      </c>
      <c r="D982" s="44" t="s">
        <v>147</v>
      </c>
      <c r="E982" s="44" t="s">
        <v>51</v>
      </c>
      <c r="G982" s="44">
        <v>758</v>
      </c>
      <c r="H982" s="44" t="s">
        <v>2537</v>
      </c>
    </row>
    <row r="983" spans="1:8">
      <c r="A983" s="31">
        <f>COUNTIF('BOM Atual ZPCS12'!F:F,B983)+(1-(SUMIF(Invoice!$A:$A,$B983,Invoice!$B:$B)/100000000000))</f>
        <v>2</v>
      </c>
      <c r="B983" s="52" t="s">
        <v>1670</v>
      </c>
      <c r="C983" s="44" t="s">
        <v>3473</v>
      </c>
      <c r="D983" s="44" t="s">
        <v>147</v>
      </c>
      <c r="E983" s="44" t="s">
        <v>51</v>
      </c>
      <c r="G983" s="44">
        <v>758</v>
      </c>
      <c r="H983" s="44" t="s">
        <v>2537</v>
      </c>
    </row>
    <row r="984" spans="1:8">
      <c r="A984" s="31">
        <f>COUNTIF('BOM Atual ZPCS12'!F:F,B984)+(1-(SUMIF(Invoice!$A:$A,$B984,Invoice!$B:$B)/100000000000))</f>
        <v>1.9999989</v>
      </c>
      <c r="B984" s="52" t="s">
        <v>1673</v>
      </c>
      <c r="C984" s="44" t="s">
        <v>3473</v>
      </c>
      <c r="D984" s="44" t="s">
        <v>147</v>
      </c>
      <c r="E984" s="44" t="s">
        <v>51</v>
      </c>
      <c r="G984" s="44">
        <v>758</v>
      </c>
      <c r="H984" s="44" t="s">
        <v>2537</v>
      </c>
    </row>
    <row r="985" spans="1:8">
      <c r="A985" s="31">
        <f>COUNTIF('BOM Atual ZPCS12'!F:F,B985)+(1-(SUMIF(Invoice!$A:$A,$B985,Invoice!$B:$B)/100000000000))</f>
        <v>2</v>
      </c>
      <c r="B985" s="52" t="s">
        <v>1674</v>
      </c>
      <c r="C985" s="44" t="s">
        <v>3473</v>
      </c>
      <c r="D985" s="44" t="s">
        <v>147</v>
      </c>
      <c r="E985" s="44" t="s">
        <v>51</v>
      </c>
      <c r="G985" s="44">
        <v>758</v>
      </c>
      <c r="H985" s="44" t="s">
        <v>2537</v>
      </c>
    </row>
    <row r="986" spans="1:8">
      <c r="A986" s="31">
        <f>COUNTIF('BOM Atual ZPCS12'!F:F,B986)+(1-(SUMIF(Invoice!$A:$A,$B986,Invoice!$B:$B)/100000000000))</f>
        <v>2</v>
      </c>
      <c r="B986" s="52" t="s">
        <v>1675</v>
      </c>
      <c r="C986" s="44" t="s">
        <v>1676</v>
      </c>
      <c r="D986" s="44" t="s">
        <v>147</v>
      </c>
      <c r="E986" s="44" t="s">
        <v>51</v>
      </c>
      <c r="G986" s="44">
        <v>758</v>
      </c>
      <c r="H986" s="44" t="s">
        <v>2537</v>
      </c>
    </row>
    <row r="987" spans="1:8">
      <c r="A987" s="31">
        <f>COUNTIF('BOM Atual ZPCS12'!F:F,B987)+(1-(SUMIF(Invoice!$A:$A,$B987,Invoice!$B:$B)/100000000000))</f>
        <v>2</v>
      </c>
      <c r="B987" s="52" t="s">
        <v>1677</v>
      </c>
      <c r="C987" s="44" t="s">
        <v>1678</v>
      </c>
      <c r="D987" s="44" t="s">
        <v>147</v>
      </c>
      <c r="E987" s="44" t="s">
        <v>51</v>
      </c>
      <c r="G987" s="44">
        <v>758</v>
      </c>
      <c r="H987" s="44" t="s">
        <v>2537</v>
      </c>
    </row>
    <row r="988" spans="1:8">
      <c r="A988" s="31">
        <f>COUNTIF('BOM Atual ZPCS12'!F:F,B988)+(1-(SUMIF(Invoice!$A:$A,$B988,Invoice!$B:$B)/100000000000))</f>
        <v>1</v>
      </c>
      <c r="B988" s="52" t="s">
        <v>3474</v>
      </c>
      <c r="C988" s="44" t="s">
        <v>3475</v>
      </c>
      <c r="D988" s="44" t="s">
        <v>147</v>
      </c>
      <c r="E988" s="44" t="s">
        <v>51</v>
      </c>
      <c r="G988" s="44">
        <v>759</v>
      </c>
      <c r="H988" s="44" t="s">
        <v>2537</v>
      </c>
    </row>
    <row r="989" spans="1:8">
      <c r="A989" s="31">
        <f>COUNTIF('BOM Atual ZPCS12'!F:F,B989)+(1-(SUMIF(Invoice!$A:$A,$B989,Invoice!$B:$B)/100000000000))</f>
        <v>2</v>
      </c>
      <c r="B989" s="52" t="s">
        <v>1703</v>
      </c>
      <c r="C989" s="44" t="s">
        <v>1704</v>
      </c>
      <c r="D989" s="44" t="s">
        <v>147</v>
      </c>
      <c r="E989" s="44" t="s">
        <v>51</v>
      </c>
      <c r="G989" s="44">
        <v>759</v>
      </c>
      <c r="H989" s="44" t="s">
        <v>2537</v>
      </c>
    </row>
    <row r="990" spans="1:8">
      <c r="A990" s="31">
        <f>COUNTIF('BOM Atual ZPCS12'!F:F,B990)+(1-(SUMIF(Invoice!$A:$A,$B990,Invoice!$B:$B)/100000000000))</f>
        <v>2</v>
      </c>
      <c r="B990" s="52" t="s">
        <v>1706</v>
      </c>
      <c r="C990" s="44" t="s">
        <v>3476</v>
      </c>
      <c r="D990" s="44" t="s">
        <v>147</v>
      </c>
      <c r="E990" s="44" t="s">
        <v>51</v>
      </c>
      <c r="G990" s="44">
        <v>759</v>
      </c>
      <c r="H990" s="44" t="s">
        <v>2537</v>
      </c>
    </row>
    <row r="991" spans="1:8">
      <c r="A991" s="31">
        <f>COUNTIF('BOM Atual ZPCS12'!F:F,B991)+(1-(SUMIF(Invoice!$A:$A,$B991,Invoice!$B:$B)/100000000000))</f>
        <v>2</v>
      </c>
      <c r="B991" s="52" t="s">
        <v>1708</v>
      </c>
      <c r="C991" s="44" t="s">
        <v>3475</v>
      </c>
      <c r="D991" s="44" t="s">
        <v>147</v>
      </c>
      <c r="E991" s="44" t="s">
        <v>51</v>
      </c>
      <c r="G991" s="44">
        <v>759</v>
      </c>
      <c r="H991" s="44" t="s">
        <v>2537</v>
      </c>
    </row>
    <row r="992" spans="1:8">
      <c r="A992" s="31">
        <f>COUNTIF('BOM Atual ZPCS12'!F:F,B992)+(1-(SUMIF(Invoice!$A:$A,$B992,Invoice!$B:$B)/100000000000))</f>
        <v>2</v>
      </c>
      <c r="B992" s="52" t="s">
        <v>1710</v>
      </c>
      <c r="C992" s="44" t="s">
        <v>3476</v>
      </c>
      <c r="D992" s="44" t="s">
        <v>147</v>
      </c>
      <c r="E992" s="44" t="s">
        <v>51</v>
      </c>
      <c r="G992" s="44">
        <v>759</v>
      </c>
      <c r="H992" s="44" t="s">
        <v>2537</v>
      </c>
    </row>
    <row r="993" spans="1:8">
      <c r="A993" s="31">
        <f>COUNTIF('BOM Atual ZPCS12'!F:F,B993)+(1-(SUMIF(Invoice!$A:$A,$B993,Invoice!$B:$B)/100000000000))</f>
        <v>1.9999999000000002</v>
      </c>
      <c r="B993" s="52" t="s">
        <v>1711</v>
      </c>
      <c r="C993" s="44" t="s">
        <v>3475</v>
      </c>
      <c r="D993" s="44" t="s">
        <v>147</v>
      </c>
      <c r="E993" s="44" t="s">
        <v>51</v>
      </c>
      <c r="G993" s="44">
        <v>759</v>
      </c>
      <c r="H993" s="44" t="s">
        <v>2537</v>
      </c>
    </row>
    <row r="994" spans="1:8">
      <c r="A994" s="31">
        <f>COUNTIF('BOM Atual ZPCS12'!F:F,B994)+(1-(SUMIF(Invoice!$A:$A,$B994,Invoice!$B:$B)/100000000000))</f>
        <v>1</v>
      </c>
      <c r="B994" s="52" t="s">
        <v>3477</v>
      </c>
      <c r="C994" s="44" t="s">
        <v>3478</v>
      </c>
      <c r="D994" s="44" t="s">
        <v>147</v>
      </c>
      <c r="E994" s="44" t="s">
        <v>51</v>
      </c>
      <c r="G994" s="44">
        <v>760</v>
      </c>
      <c r="H994" s="44" t="s">
        <v>2537</v>
      </c>
    </row>
    <row r="995" spans="1:8">
      <c r="A995" s="31">
        <f>COUNTIF('BOM Atual ZPCS12'!F:F,B995)+(1-(SUMIF(Invoice!$A:$A,$B995,Invoice!$B:$B)/100000000000))</f>
        <v>1.99999996</v>
      </c>
      <c r="B995" s="52" t="s">
        <v>1717</v>
      </c>
      <c r="C995" s="44" t="s">
        <v>1718</v>
      </c>
      <c r="D995" s="44" t="s">
        <v>147</v>
      </c>
      <c r="E995" s="44" t="s">
        <v>51</v>
      </c>
      <c r="G995" s="44">
        <v>760</v>
      </c>
      <c r="H995" s="44" t="s">
        <v>2537</v>
      </c>
    </row>
    <row r="996" spans="1:8">
      <c r="A996" s="31">
        <f>COUNTIF('BOM Atual ZPCS12'!F:F,B996)+(1-(SUMIF(Invoice!$A:$A,$B996,Invoice!$B:$B)/100000000000))</f>
        <v>2</v>
      </c>
      <c r="B996" s="52" t="s">
        <v>1720</v>
      </c>
      <c r="C996" s="44" t="s">
        <v>1721</v>
      </c>
      <c r="D996" s="44" t="s">
        <v>147</v>
      </c>
      <c r="E996" s="44" t="s">
        <v>51</v>
      </c>
      <c r="G996" s="44">
        <v>760</v>
      </c>
      <c r="H996" s="44" t="s">
        <v>2537</v>
      </c>
    </row>
    <row r="997" spans="1:8">
      <c r="A997" s="31">
        <f>COUNTIF('BOM Atual ZPCS12'!F:F,B997)+(1-(SUMIF(Invoice!$A:$A,$B997,Invoice!$B:$B)/100000000000))</f>
        <v>2</v>
      </c>
      <c r="B997" s="52" t="s">
        <v>1722</v>
      </c>
      <c r="C997" s="44" t="s">
        <v>1723</v>
      </c>
      <c r="D997" s="44" t="s">
        <v>147</v>
      </c>
      <c r="E997" s="44" t="s">
        <v>51</v>
      </c>
      <c r="G997" s="44">
        <v>760</v>
      </c>
      <c r="H997" s="44" t="s">
        <v>2537</v>
      </c>
    </row>
    <row r="998" spans="1:8">
      <c r="A998" s="31">
        <f>COUNTIF('BOM Atual ZPCS12'!F:F,B998)+(1-(SUMIF(Invoice!$A:$A,$B998,Invoice!$B:$B)/100000000000))</f>
        <v>1</v>
      </c>
      <c r="B998" s="52" t="s">
        <v>3479</v>
      </c>
      <c r="C998" s="44" t="s">
        <v>3480</v>
      </c>
      <c r="D998" s="44" t="s">
        <v>147</v>
      </c>
      <c r="E998" s="44" t="s">
        <v>51</v>
      </c>
      <c r="G998" s="44">
        <v>761</v>
      </c>
      <c r="H998" s="44" t="s">
        <v>2537</v>
      </c>
    </row>
    <row r="999" spans="1:8">
      <c r="A999" s="31">
        <f>COUNTIF('BOM Atual ZPCS12'!F:F,B999)+(1-(SUMIF(Invoice!$A:$A,$B999,Invoice!$B:$B)/100000000000))</f>
        <v>1.9999998799999998</v>
      </c>
      <c r="B999" s="52" t="s">
        <v>1724</v>
      </c>
      <c r="C999" s="44" t="s">
        <v>3480</v>
      </c>
      <c r="D999" s="44" t="s">
        <v>147</v>
      </c>
      <c r="E999" s="44" t="s">
        <v>51</v>
      </c>
      <c r="G999" s="44">
        <v>761</v>
      </c>
      <c r="H999" s="44" t="s">
        <v>2537</v>
      </c>
    </row>
    <row r="1000" spans="1:8">
      <c r="A1000" s="31">
        <f>COUNTIF('BOM Atual ZPCS12'!F:F,B1000)+(1-(SUMIF(Invoice!$A:$A,$B1000,Invoice!$B:$B)/100000000000))</f>
        <v>2</v>
      </c>
      <c r="B1000" s="52" t="s">
        <v>1727</v>
      </c>
      <c r="C1000" s="44" t="s">
        <v>3480</v>
      </c>
      <c r="D1000" s="44" t="s">
        <v>147</v>
      </c>
      <c r="E1000" s="44" t="s">
        <v>51</v>
      </c>
      <c r="G1000" s="44">
        <v>761</v>
      </c>
      <c r="H1000" s="44" t="s">
        <v>2537</v>
      </c>
    </row>
    <row r="1001" spans="1:8">
      <c r="A1001" s="31">
        <f>COUNTIF('BOM Atual ZPCS12'!F:F,B1001)+(1-(SUMIF(Invoice!$A:$A,$B1001,Invoice!$B:$B)/100000000000))</f>
        <v>2</v>
      </c>
      <c r="B1001" s="52" t="s">
        <v>1728</v>
      </c>
      <c r="C1001" s="44" t="s">
        <v>3481</v>
      </c>
      <c r="D1001" s="44" t="s">
        <v>147</v>
      </c>
      <c r="E1001" s="44" t="s">
        <v>51</v>
      </c>
      <c r="G1001" s="44">
        <v>761</v>
      </c>
      <c r="H1001" s="44" t="s">
        <v>2537</v>
      </c>
    </row>
    <row r="1002" spans="1:8">
      <c r="A1002" s="31">
        <f>COUNTIF('BOM Atual ZPCS12'!F:F,B1002)+(1-(SUMIF(Invoice!$A:$A,$B1002,Invoice!$B:$B)/100000000000))</f>
        <v>2</v>
      </c>
      <c r="B1002" s="52" t="s">
        <v>1730</v>
      </c>
      <c r="C1002" s="44" t="s">
        <v>1731</v>
      </c>
      <c r="D1002" s="44" t="s">
        <v>147</v>
      </c>
      <c r="E1002" s="44" t="s">
        <v>51</v>
      </c>
      <c r="G1002" s="44">
        <v>761</v>
      </c>
      <c r="H1002" s="44" t="s">
        <v>2537</v>
      </c>
    </row>
    <row r="1003" spans="1:8">
      <c r="A1003" s="31">
        <f>COUNTIF('BOM Atual ZPCS12'!F:F,B1003)+(1-(SUMIF(Invoice!$A:$A,$B1003,Invoice!$B:$B)/100000000000))</f>
        <v>2</v>
      </c>
      <c r="B1003" s="52" t="s">
        <v>1732</v>
      </c>
      <c r="C1003" s="44" t="s">
        <v>3481</v>
      </c>
      <c r="D1003" s="44" t="s">
        <v>147</v>
      </c>
      <c r="E1003" s="44" t="s">
        <v>51</v>
      </c>
      <c r="G1003" s="44">
        <v>761</v>
      </c>
      <c r="H1003" s="44" t="s">
        <v>2537</v>
      </c>
    </row>
    <row r="1004" spans="1:8">
      <c r="A1004" s="31">
        <f>COUNTIF('BOM Atual ZPCS12'!F:F,B1004)+(1-(SUMIF(Invoice!$A:$A,$B1004,Invoice!$B:$B)/100000000000))</f>
        <v>1</v>
      </c>
      <c r="B1004" s="52" t="s">
        <v>3482</v>
      </c>
      <c r="C1004" s="44" t="s">
        <v>3483</v>
      </c>
      <c r="D1004" s="44" t="s">
        <v>147</v>
      </c>
      <c r="E1004" s="44" t="s">
        <v>51</v>
      </c>
      <c r="G1004" s="44">
        <v>762</v>
      </c>
      <c r="H1004" s="44" t="s">
        <v>2537</v>
      </c>
    </row>
    <row r="1005" spans="1:8">
      <c r="A1005" s="31">
        <f>COUNTIF('BOM Atual ZPCS12'!F:F,B1005)+(1-(SUMIF(Invoice!$A:$A,$B1005,Invoice!$B:$B)/100000000000))</f>
        <v>1</v>
      </c>
      <c r="B1005" s="52" t="s">
        <v>3484</v>
      </c>
      <c r="C1005" s="44" t="s">
        <v>3483</v>
      </c>
      <c r="D1005" s="44" t="s">
        <v>147</v>
      </c>
      <c r="E1005" s="44" t="s">
        <v>51</v>
      </c>
      <c r="G1005" s="44">
        <v>762</v>
      </c>
      <c r="H1005" s="44" t="s">
        <v>2537</v>
      </c>
    </row>
    <row r="1006" spans="1:8">
      <c r="A1006" s="31">
        <f>COUNTIF('BOM Atual ZPCS12'!F:F,B1006)+(1-(SUMIF(Invoice!$A:$A,$B1006,Invoice!$B:$B)/100000000000))</f>
        <v>1</v>
      </c>
      <c r="B1006" s="52" t="s">
        <v>3485</v>
      </c>
      <c r="C1006" s="44" t="s">
        <v>3483</v>
      </c>
      <c r="D1006" s="44" t="s">
        <v>147</v>
      </c>
      <c r="E1006" s="44" t="s">
        <v>51</v>
      </c>
      <c r="G1006" s="44">
        <v>762</v>
      </c>
      <c r="H1006" s="44" t="s">
        <v>2537</v>
      </c>
    </row>
    <row r="1007" spans="1:8">
      <c r="A1007" s="31">
        <f>COUNTIF('BOM Atual ZPCS12'!F:F,B1007)+(1-(SUMIF(Invoice!$A:$A,$B1007,Invoice!$B:$B)/100000000000))</f>
        <v>1</v>
      </c>
      <c r="B1007" s="52" t="s">
        <v>3486</v>
      </c>
      <c r="C1007" s="44" t="s">
        <v>3483</v>
      </c>
      <c r="D1007" s="44" t="s">
        <v>147</v>
      </c>
      <c r="E1007" s="44" t="s">
        <v>51</v>
      </c>
      <c r="G1007" s="44">
        <v>762</v>
      </c>
      <c r="H1007" s="44" t="s">
        <v>2537</v>
      </c>
    </row>
    <row r="1008" spans="1:8">
      <c r="A1008" s="31">
        <f>COUNTIF('BOM Atual ZPCS12'!F:F,B1008)+(1-(SUMIF(Invoice!$A:$A,$B1008,Invoice!$B:$B)/100000000000))</f>
        <v>1</v>
      </c>
      <c r="B1008" s="52" t="s">
        <v>3487</v>
      </c>
      <c r="C1008" s="44" t="s">
        <v>3488</v>
      </c>
      <c r="D1008" s="44" t="s">
        <v>147</v>
      </c>
      <c r="E1008" s="44" t="s">
        <v>51</v>
      </c>
      <c r="G1008" s="44">
        <v>762</v>
      </c>
      <c r="H1008" s="44" t="s">
        <v>2537</v>
      </c>
    </row>
    <row r="1009" spans="1:8">
      <c r="A1009" s="31">
        <f>COUNTIF('BOM Atual ZPCS12'!F:F,B1009)+(1-(SUMIF(Invoice!$A:$A,$B1009,Invoice!$B:$B)/100000000000))</f>
        <v>1</v>
      </c>
      <c r="B1009" s="52" t="s">
        <v>3489</v>
      </c>
      <c r="C1009" s="44" t="s">
        <v>3490</v>
      </c>
      <c r="D1009" s="44" t="s">
        <v>147</v>
      </c>
      <c r="E1009" s="44" t="s">
        <v>51</v>
      </c>
      <c r="G1009" s="44">
        <v>763</v>
      </c>
      <c r="H1009" s="44" t="s">
        <v>2537</v>
      </c>
    </row>
    <row r="1010" spans="1:8">
      <c r="A1010" s="31">
        <f>COUNTIF('BOM Atual ZPCS12'!F:F,B1010)+(1-(SUMIF(Invoice!$A:$A,$B1010,Invoice!$B:$B)/100000000000))</f>
        <v>2</v>
      </c>
      <c r="B1010" s="52" t="s">
        <v>1733</v>
      </c>
      <c r="C1010" s="44" t="s">
        <v>3490</v>
      </c>
      <c r="D1010" s="44" t="s">
        <v>147</v>
      </c>
      <c r="E1010" s="44" t="s">
        <v>51</v>
      </c>
      <c r="G1010" s="44">
        <v>763</v>
      </c>
      <c r="H1010" s="44" t="s">
        <v>2537</v>
      </c>
    </row>
    <row r="1011" spans="1:8">
      <c r="A1011" s="31">
        <f>COUNTIF('BOM Atual ZPCS12'!F:F,B1011)+(1-(SUMIF(Invoice!$A:$A,$B1011,Invoice!$B:$B)/100000000000))</f>
        <v>1.99999952</v>
      </c>
      <c r="B1011" s="52" t="s">
        <v>1736</v>
      </c>
      <c r="C1011" s="44" t="s">
        <v>3490</v>
      </c>
      <c r="D1011" s="44" t="s">
        <v>147</v>
      </c>
      <c r="E1011" s="44" t="s">
        <v>51</v>
      </c>
      <c r="G1011" s="44">
        <v>763</v>
      </c>
      <c r="H1011" s="44" t="s">
        <v>2537</v>
      </c>
    </row>
    <row r="1012" spans="1:8">
      <c r="A1012" s="31">
        <f>COUNTIF('BOM Atual ZPCS12'!F:F,B1012)+(1-(SUMIF(Invoice!$A:$A,$B1012,Invoice!$B:$B)/100000000000))</f>
        <v>2</v>
      </c>
      <c r="B1012" s="52" t="s">
        <v>1737</v>
      </c>
      <c r="C1012" s="44" t="s">
        <v>3491</v>
      </c>
      <c r="D1012" s="44" t="s">
        <v>147</v>
      </c>
      <c r="E1012" s="44" t="s">
        <v>51</v>
      </c>
      <c r="G1012" s="44">
        <v>763</v>
      </c>
      <c r="H1012" s="44" t="s">
        <v>2537</v>
      </c>
    </row>
    <row r="1013" spans="1:8">
      <c r="A1013" s="31">
        <f>COUNTIF('BOM Atual ZPCS12'!F:F,B1013)+(1-(SUMIF(Invoice!$A:$A,$B1013,Invoice!$B:$B)/100000000000))</f>
        <v>1</v>
      </c>
      <c r="B1013" s="52" t="s">
        <v>3492</v>
      </c>
      <c r="C1013" s="44" t="s">
        <v>3490</v>
      </c>
      <c r="D1013" s="44" t="s">
        <v>147</v>
      </c>
      <c r="E1013" s="44" t="s">
        <v>51</v>
      </c>
      <c r="G1013" s="44">
        <v>763</v>
      </c>
      <c r="H1013" s="44" t="s">
        <v>2537</v>
      </c>
    </row>
    <row r="1014" spans="1:8">
      <c r="A1014" s="31">
        <f>COUNTIF('BOM Atual ZPCS12'!F:F,B1014)+(1-(SUMIF(Invoice!$A:$A,$B1014,Invoice!$B:$B)/100000000000))</f>
        <v>2</v>
      </c>
      <c r="B1014" s="52" t="s">
        <v>1739</v>
      </c>
      <c r="C1014" s="44" t="s">
        <v>1740</v>
      </c>
      <c r="D1014" s="44" t="s">
        <v>147</v>
      </c>
      <c r="E1014" s="44" t="s">
        <v>51</v>
      </c>
      <c r="G1014" s="44">
        <v>763</v>
      </c>
      <c r="H1014" s="44" t="s">
        <v>2537</v>
      </c>
    </row>
    <row r="1015" spans="1:8">
      <c r="A1015" s="31">
        <f>COUNTIF('BOM Atual ZPCS12'!F:F,B1015)+(1-(SUMIF(Invoice!$A:$A,$B1015,Invoice!$B:$B)/100000000000))</f>
        <v>2</v>
      </c>
      <c r="B1015" s="52" t="s">
        <v>1741</v>
      </c>
      <c r="C1015" s="44" t="s">
        <v>3493</v>
      </c>
      <c r="D1015" s="44" t="s">
        <v>147</v>
      </c>
      <c r="E1015" s="44" t="s">
        <v>51</v>
      </c>
      <c r="G1015" s="44">
        <v>763</v>
      </c>
      <c r="H1015" s="44" t="s">
        <v>2537</v>
      </c>
    </row>
    <row r="1016" spans="1:8">
      <c r="A1016" s="31">
        <f>COUNTIF('BOM Atual ZPCS12'!F:F,B1016)+(1-(SUMIF(Invoice!$A:$A,$B1016,Invoice!$B:$B)/100000000000))</f>
        <v>1</v>
      </c>
      <c r="B1016" s="52" t="s">
        <v>3494</v>
      </c>
      <c r="C1016" s="44" t="s">
        <v>3495</v>
      </c>
      <c r="D1016" s="44" t="s">
        <v>147</v>
      </c>
      <c r="E1016" s="44" t="s">
        <v>51</v>
      </c>
      <c r="G1016" s="44">
        <v>764</v>
      </c>
      <c r="H1016" s="44" t="s">
        <v>2537</v>
      </c>
    </row>
    <row r="1017" spans="1:8">
      <c r="A1017" s="31">
        <f>COUNTIF('BOM Atual ZPCS12'!F:F,B1017)+(1-(SUMIF(Invoice!$A:$A,$B1017,Invoice!$B:$B)/100000000000))</f>
        <v>2</v>
      </c>
      <c r="B1017" s="52" t="s">
        <v>1750</v>
      </c>
      <c r="C1017" s="44" t="s">
        <v>3495</v>
      </c>
      <c r="D1017" s="44" t="s">
        <v>147</v>
      </c>
      <c r="E1017" s="44" t="s">
        <v>51</v>
      </c>
      <c r="G1017" s="44">
        <v>764</v>
      </c>
      <c r="H1017" s="44" t="s">
        <v>2537</v>
      </c>
    </row>
    <row r="1018" spans="1:8">
      <c r="A1018" s="31">
        <f>COUNTIF('BOM Atual ZPCS12'!F:F,B1018)+(1-(SUMIF(Invoice!$A:$A,$B1018,Invoice!$B:$B)/100000000000))</f>
        <v>2</v>
      </c>
      <c r="B1018" s="52" t="s">
        <v>1753</v>
      </c>
      <c r="C1018" s="44" t="s">
        <v>3496</v>
      </c>
      <c r="D1018" s="44" t="s">
        <v>147</v>
      </c>
      <c r="E1018" s="44" t="s">
        <v>51</v>
      </c>
      <c r="G1018" s="44">
        <v>764</v>
      </c>
      <c r="H1018" s="44" t="s">
        <v>2537</v>
      </c>
    </row>
    <row r="1019" spans="1:8">
      <c r="A1019" s="31">
        <f>COUNTIF('BOM Atual ZPCS12'!F:F,B1019)+(1-(SUMIF(Invoice!$A:$A,$B1019,Invoice!$B:$B)/100000000000))</f>
        <v>2</v>
      </c>
      <c r="B1019" s="52" t="s">
        <v>1755</v>
      </c>
      <c r="C1019" s="44" t="s">
        <v>3496</v>
      </c>
      <c r="D1019" s="44" t="s">
        <v>147</v>
      </c>
      <c r="E1019" s="44" t="s">
        <v>51</v>
      </c>
      <c r="G1019" s="44">
        <v>764</v>
      </c>
      <c r="H1019" s="44" t="s">
        <v>2537</v>
      </c>
    </row>
    <row r="1020" spans="1:8">
      <c r="A1020" s="31">
        <f>COUNTIF('BOM Atual ZPCS12'!F:F,B1020)+(1-(SUMIF(Invoice!$A:$A,$B1020,Invoice!$B:$B)/100000000000))</f>
        <v>1.99999996</v>
      </c>
      <c r="B1020" s="52" t="s">
        <v>1756</v>
      </c>
      <c r="C1020" s="44" t="s">
        <v>3496</v>
      </c>
      <c r="D1020" s="44" t="s">
        <v>147</v>
      </c>
      <c r="E1020" s="44" t="s">
        <v>51</v>
      </c>
      <c r="G1020" s="44">
        <v>764</v>
      </c>
      <c r="H1020" s="44" t="s">
        <v>2537</v>
      </c>
    </row>
    <row r="1021" spans="1:8">
      <c r="A1021" s="31">
        <f>COUNTIF('BOM Atual ZPCS12'!F:F,B1021)+(1-(SUMIF(Invoice!$A:$A,$B1021,Invoice!$B:$B)/100000000000))</f>
        <v>1</v>
      </c>
      <c r="B1021" s="52" t="s">
        <v>3497</v>
      </c>
      <c r="C1021" s="44" t="s">
        <v>3498</v>
      </c>
      <c r="D1021" s="44" t="s">
        <v>147</v>
      </c>
      <c r="E1021" s="44" t="s">
        <v>51</v>
      </c>
      <c r="G1021" s="44">
        <v>765</v>
      </c>
      <c r="H1021" s="44" t="s">
        <v>2537</v>
      </c>
    </row>
    <row r="1022" spans="1:8">
      <c r="A1022" s="31">
        <f>COUNTIF('BOM Atual ZPCS12'!F:F,B1022)+(1-(SUMIF(Invoice!$A:$A,$B1022,Invoice!$B:$B)/100000000000))</f>
        <v>1.9999990400000001</v>
      </c>
      <c r="B1022" s="52" t="s">
        <v>1766</v>
      </c>
      <c r="C1022" s="44" t="s">
        <v>3499</v>
      </c>
      <c r="D1022" s="44" t="s">
        <v>147</v>
      </c>
      <c r="E1022" s="44" t="s">
        <v>51</v>
      </c>
      <c r="G1022" s="44">
        <v>765</v>
      </c>
      <c r="H1022" s="44" t="s">
        <v>2537</v>
      </c>
    </row>
    <row r="1023" spans="1:8">
      <c r="A1023" s="31">
        <f>COUNTIF('BOM Atual ZPCS12'!F:F,B1023)+(1-(SUMIF(Invoice!$A:$A,$B1023,Invoice!$B:$B)/100000000000))</f>
        <v>2</v>
      </c>
      <c r="B1023" s="52" t="s">
        <v>1769</v>
      </c>
      <c r="C1023" s="44" t="s">
        <v>3500</v>
      </c>
      <c r="D1023" s="44" t="s">
        <v>147</v>
      </c>
      <c r="E1023" s="44" t="s">
        <v>51</v>
      </c>
      <c r="G1023" s="44">
        <v>765</v>
      </c>
      <c r="H1023" s="44" t="s">
        <v>2537</v>
      </c>
    </row>
    <row r="1024" spans="1:8">
      <c r="A1024" s="31">
        <f>COUNTIF('BOM Atual ZPCS12'!F:F,B1024)+(1-(SUMIF(Invoice!$A:$A,$B1024,Invoice!$B:$B)/100000000000))</f>
        <v>2</v>
      </c>
      <c r="B1024" s="52" t="s">
        <v>1771</v>
      </c>
      <c r="C1024" s="44" t="s">
        <v>3498</v>
      </c>
      <c r="D1024" s="44" t="s">
        <v>147</v>
      </c>
      <c r="E1024" s="44" t="s">
        <v>51</v>
      </c>
      <c r="G1024" s="44">
        <v>765</v>
      </c>
      <c r="H1024" s="44" t="s">
        <v>2537</v>
      </c>
    </row>
    <row r="1025" spans="1:8">
      <c r="A1025" s="31">
        <f>COUNTIF('BOM Atual ZPCS12'!F:F,B1025)+(1-(SUMIF(Invoice!$A:$A,$B1025,Invoice!$B:$B)/100000000000))</f>
        <v>1</v>
      </c>
      <c r="B1025" s="52" t="s">
        <v>3501</v>
      </c>
      <c r="C1025" s="44" t="s">
        <v>3502</v>
      </c>
      <c r="D1025" s="44" t="s">
        <v>147</v>
      </c>
      <c r="E1025" s="44" t="s">
        <v>51</v>
      </c>
      <c r="G1025" s="44">
        <v>766</v>
      </c>
      <c r="H1025" s="44" t="s">
        <v>2537</v>
      </c>
    </row>
    <row r="1026" spans="1:8">
      <c r="A1026" s="31">
        <f>COUNTIF('BOM Atual ZPCS12'!F:F,B1026)+(1-(SUMIF(Invoice!$A:$A,$B1026,Invoice!$B:$B)/100000000000))</f>
        <v>1</v>
      </c>
      <c r="B1026" s="52" t="s">
        <v>3503</v>
      </c>
      <c r="C1026" s="44" t="s">
        <v>3502</v>
      </c>
      <c r="D1026" s="44" t="s">
        <v>147</v>
      </c>
      <c r="E1026" s="44" t="s">
        <v>51</v>
      </c>
      <c r="G1026" s="44">
        <v>766</v>
      </c>
      <c r="H1026" s="44" t="s">
        <v>2537</v>
      </c>
    </row>
    <row r="1027" spans="1:8">
      <c r="A1027" s="31">
        <f>COUNTIF('BOM Atual ZPCS12'!F:F,B1027)+(1-(SUMIF(Invoice!$A:$A,$B1027,Invoice!$B:$B)/100000000000))</f>
        <v>1</v>
      </c>
      <c r="B1027" s="52" t="s">
        <v>3504</v>
      </c>
      <c r="C1027" s="44" t="s">
        <v>3502</v>
      </c>
      <c r="D1027" s="44" t="s">
        <v>147</v>
      </c>
      <c r="E1027" s="44" t="s">
        <v>51</v>
      </c>
      <c r="G1027" s="44">
        <v>766</v>
      </c>
      <c r="H1027" s="44" t="s">
        <v>2537</v>
      </c>
    </row>
    <row r="1028" spans="1:8">
      <c r="A1028" s="31">
        <f>COUNTIF('BOM Atual ZPCS12'!F:F,B1028)+(1-(SUMIF(Invoice!$A:$A,$B1028,Invoice!$B:$B)/100000000000))</f>
        <v>1</v>
      </c>
      <c r="B1028" s="52" t="s">
        <v>3505</v>
      </c>
      <c r="C1028" s="44" t="s">
        <v>3502</v>
      </c>
      <c r="D1028" s="44" t="s">
        <v>147</v>
      </c>
      <c r="E1028" s="44" t="s">
        <v>51</v>
      </c>
      <c r="G1028" s="44">
        <v>766</v>
      </c>
      <c r="H1028" s="44" t="s">
        <v>2537</v>
      </c>
    </row>
    <row r="1029" spans="1:8">
      <c r="A1029" s="31">
        <f>COUNTIF('BOM Atual ZPCS12'!F:F,B1029)+(1-(SUMIF(Invoice!$A:$A,$B1029,Invoice!$B:$B)/100000000000))</f>
        <v>1</v>
      </c>
      <c r="B1029" s="52" t="s">
        <v>3506</v>
      </c>
      <c r="C1029" s="44" t="s">
        <v>3502</v>
      </c>
      <c r="D1029" s="44" t="s">
        <v>147</v>
      </c>
      <c r="E1029" s="44" t="s">
        <v>51</v>
      </c>
      <c r="G1029" s="44">
        <v>766</v>
      </c>
      <c r="H1029" s="44" t="s">
        <v>2537</v>
      </c>
    </row>
    <row r="1030" spans="1:8">
      <c r="A1030" s="31">
        <f>COUNTIF('BOM Atual ZPCS12'!F:F,B1030)+(1-(SUMIF(Invoice!$A:$A,$B1030,Invoice!$B:$B)/100000000000))</f>
        <v>1</v>
      </c>
      <c r="B1030" s="52" t="s">
        <v>3507</v>
      </c>
      <c r="C1030" s="44" t="s">
        <v>3508</v>
      </c>
      <c r="D1030" s="44" t="s">
        <v>147</v>
      </c>
      <c r="E1030" s="44" t="s">
        <v>51</v>
      </c>
      <c r="G1030" s="44">
        <v>767</v>
      </c>
      <c r="H1030" s="44" t="s">
        <v>2537</v>
      </c>
    </row>
    <row r="1031" spans="1:8">
      <c r="A1031" s="31">
        <f>COUNTIF('BOM Atual ZPCS12'!F:F,B1031)+(1-(SUMIF(Invoice!$A:$A,$B1031,Invoice!$B:$B)/100000000000))</f>
        <v>2</v>
      </c>
      <c r="B1031" s="52" t="s">
        <v>1773</v>
      </c>
      <c r="C1031" s="44" t="s">
        <v>3509</v>
      </c>
      <c r="D1031" s="44" t="s">
        <v>147</v>
      </c>
      <c r="E1031" s="44" t="s">
        <v>51</v>
      </c>
      <c r="G1031" s="44">
        <v>767</v>
      </c>
      <c r="H1031" s="44" t="s">
        <v>2537</v>
      </c>
    </row>
    <row r="1032" spans="1:8">
      <c r="A1032" s="31">
        <f>COUNTIF('BOM Atual ZPCS12'!F:F,B1032)+(1-(SUMIF(Invoice!$A:$A,$B1032,Invoice!$B:$B)/100000000000))</f>
        <v>1.99999964</v>
      </c>
      <c r="B1032" s="52" t="s">
        <v>1776</v>
      </c>
      <c r="C1032" s="44" t="s">
        <v>3510</v>
      </c>
      <c r="D1032" s="44" t="s">
        <v>147</v>
      </c>
      <c r="E1032" s="44" t="s">
        <v>51</v>
      </c>
      <c r="G1032" s="44">
        <v>767</v>
      </c>
      <c r="H1032" s="44" t="s">
        <v>2537</v>
      </c>
    </row>
    <row r="1033" spans="1:8">
      <c r="A1033" s="31">
        <f>COUNTIF('BOM Atual ZPCS12'!F:F,B1033)+(1-(SUMIF(Invoice!$A:$A,$B1033,Invoice!$B:$B)/100000000000))</f>
        <v>2</v>
      </c>
      <c r="B1033" s="52" t="s">
        <v>1778</v>
      </c>
      <c r="C1033" s="44" t="s">
        <v>3510</v>
      </c>
      <c r="D1033" s="44" t="s">
        <v>147</v>
      </c>
      <c r="E1033" s="44" t="s">
        <v>51</v>
      </c>
      <c r="G1033" s="44">
        <v>767</v>
      </c>
      <c r="H1033" s="44" t="s">
        <v>2537</v>
      </c>
    </row>
    <row r="1034" spans="1:8">
      <c r="A1034" s="31">
        <f>COUNTIF('BOM Atual ZPCS12'!F:F,B1034)+(1-(SUMIF(Invoice!$A:$A,$B1034,Invoice!$B:$B)/100000000000))</f>
        <v>2</v>
      </c>
      <c r="B1034" s="52" t="s">
        <v>1779</v>
      </c>
      <c r="C1034" s="44" t="s">
        <v>1780</v>
      </c>
      <c r="D1034" s="44" t="s">
        <v>147</v>
      </c>
      <c r="E1034" s="44" t="s">
        <v>51</v>
      </c>
      <c r="G1034" s="44">
        <v>768</v>
      </c>
      <c r="H1034" s="44" t="s">
        <v>2537</v>
      </c>
    </row>
    <row r="1035" spans="1:8">
      <c r="A1035" s="31">
        <f>COUNTIF('BOM Atual ZPCS12'!F:F,B1035)+(1-(SUMIF(Invoice!$A:$A,$B1035,Invoice!$B:$B)/100000000000))</f>
        <v>1</v>
      </c>
      <c r="B1035" s="52" t="s">
        <v>3511</v>
      </c>
      <c r="C1035" s="44" t="s">
        <v>3512</v>
      </c>
      <c r="D1035" s="44" t="s">
        <v>147</v>
      </c>
      <c r="E1035" s="44" t="s">
        <v>51</v>
      </c>
      <c r="G1035" s="44">
        <v>768</v>
      </c>
      <c r="H1035" s="44" t="s">
        <v>2537</v>
      </c>
    </row>
    <row r="1036" spans="1:8">
      <c r="A1036" s="31">
        <f>COUNTIF('BOM Atual ZPCS12'!F:F,B1036)+(1-(SUMIF(Invoice!$A:$A,$B1036,Invoice!$B:$B)/100000000000))</f>
        <v>2</v>
      </c>
      <c r="B1036" s="52" t="s">
        <v>1782</v>
      </c>
      <c r="C1036" s="44" t="s">
        <v>3512</v>
      </c>
      <c r="D1036" s="44" t="s">
        <v>147</v>
      </c>
      <c r="E1036" s="44" t="s">
        <v>51</v>
      </c>
      <c r="G1036" s="44">
        <v>768</v>
      </c>
      <c r="H1036" s="44" t="s">
        <v>2537</v>
      </c>
    </row>
    <row r="1037" spans="1:8">
      <c r="A1037" s="31">
        <f>COUNTIF('BOM Atual ZPCS12'!F:F,B1037)+(1-(SUMIF(Invoice!$A:$A,$B1037,Invoice!$B:$B)/100000000000))</f>
        <v>1.99999992</v>
      </c>
      <c r="B1037" s="52" t="s">
        <v>1784</v>
      </c>
      <c r="C1037" s="44" t="s">
        <v>3512</v>
      </c>
      <c r="D1037" s="44" t="s">
        <v>147</v>
      </c>
      <c r="E1037" s="44" t="s">
        <v>51</v>
      </c>
      <c r="G1037" s="44">
        <v>768</v>
      </c>
      <c r="H1037" s="44" t="s">
        <v>2537</v>
      </c>
    </row>
    <row r="1038" spans="1:8">
      <c r="A1038" s="31">
        <f>COUNTIF('BOM Atual ZPCS12'!F:F,B1038)+(1-(SUMIF(Invoice!$A:$A,$B1038,Invoice!$B:$B)/100000000000))</f>
        <v>2</v>
      </c>
      <c r="B1038" s="52" t="s">
        <v>1785</v>
      </c>
      <c r="C1038" s="44" t="s">
        <v>3512</v>
      </c>
      <c r="D1038" s="44" t="s">
        <v>147</v>
      </c>
      <c r="E1038" s="44" t="s">
        <v>51</v>
      </c>
      <c r="G1038" s="44">
        <v>768</v>
      </c>
      <c r="H1038" s="44" t="s">
        <v>2537</v>
      </c>
    </row>
    <row r="1039" spans="1:8">
      <c r="A1039" s="31">
        <f>COUNTIF('BOM Atual ZPCS12'!F:F,B1039)+(1-(SUMIF(Invoice!$A:$A,$B1039,Invoice!$B:$B)/100000000000))</f>
        <v>2</v>
      </c>
      <c r="B1039" s="52" t="s">
        <v>1786</v>
      </c>
      <c r="C1039" s="44" t="s">
        <v>3512</v>
      </c>
      <c r="D1039" s="44" t="s">
        <v>147</v>
      </c>
      <c r="E1039" s="44" t="s">
        <v>51</v>
      </c>
      <c r="G1039" s="44">
        <v>768</v>
      </c>
      <c r="H1039" s="44" t="s">
        <v>2537</v>
      </c>
    </row>
    <row r="1040" spans="1:8">
      <c r="A1040" s="31">
        <f>COUNTIF('BOM Atual ZPCS12'!F:F,B1040)+(1-(SUMIF(Invoice!$A:$A,$B1040,Invoice!$B:$B)/100000000000))</f>
        <v>2</v>
      </c>
      <c r="B1040" s="52" t="s">
        <v>1787</v>
      </c>
      <c r="C1040" s="44" t="s">
        <v>1788</v>
      </c>
      <c r="D1040" s="44" t="s">
        <v>147</v>
      </c>
      <c r="E1040" s="44" t="s">
        <v>51</v>
      </c>
      <c r="G1040" s="44">
        <v>768</v>
      </c>
      <c r="H1040" s="44" t="s">
        <v>2537</v>
      </c>
    </row>
    <row r="1041" spans="1:8">
      <c r="A1041" s="31">
        <f>COUNTIF('BOM Atual ZPCS12'!F:F,B1041)+(1-(SUMIF(Invoice!$A:$A,$B1041,Invoice!$B:$B)/100000000000))</f>
        <v>2</v>
      </c>
      <c r="B1041" s="52" t="s">
        <v>1789</v>
      </c>
      <c r="C1041" s="44" t="s">
        <v>3513</v>
      </c>
      <c r="D1041" s="44" t="s">
        <v>147</v>
      </c>
      <c r="E1041" s="44" t="s">
        <v>51</v>
      </c>
      <c r="G1041" s="44">
        <v>768</v>
      </c>
      <c r="H1041" s="44" t="s">
        <v>2537</v>
      </c>
    </row>
    <row r="1042" spans="1:8">
      <c r="A1042" s="31">
        <f>COUNTIF('BOM Atual ZPCS12'!F:F,B1042)+(1-(SUMIF(Invoice!$A:$A,$B1042,Invoice!$B:$B)/100000000000))</f>
        <v>2</v>
      </c>
      <c r="B1042" s="52" t="s">
        <v>1791</v>
      </c>
      <c r="C1042" s="44" t="s">
        <v>3514</v>
      </c>
      <c r="D1042" s="44" t="s">
        <v>147</v>
      </c>
      <c r="E1042" s="44" t="s">
        <v>51</v>
      </c>
      <c r="G1042" s="44">
        <v>769</v>
      </c>
      <c r="H1042" s="44" t="s">
        <v>2537</v>
      </c>
    </row>
    <row r="1043" spans="1:8">
      <c r="A1043" s="31">
        <f>COUNTIF('BOM Atual ZPCS12'!F:F,B1043)+(1-(SUMIF(Invoice!$A:$A,$B1043,Invoice!$B:$B)/100000000000))</f>
        <v>1.9999997299999999</v>
      </c>
      <c r="B1043" s="52" t="s">
        <v>1794</v>
      </c>
      <c r="C1043" s="44" t="s">
        <v>3514</v>
      </c>
      <c r="D1043" s="44" t="s">
        <v>147</v>
      </c>
      <c r="E1043" s="44" t="s">
        <v>51</v>
      </c>
      <c r="G1043" s="44">
        <v>769</v>
      </c>
      <c r="H1043" s="44" t="s">
        <v>2537</v>
      </c>
    </row>
    <row r="1044" spans="1:8">
      <c r="A1044" s="31">
        <f>COUNTIF('BOM Atual ZPCS12'!F:F,B1044)+(1-(SUMIF(Invoice!$A:$A,$B1044,Invoice!$B:$B)/100000000000))</f>
        <v>2</v>
      </c>
      <c r="B1044" s="52" t="s">
        <v>1795</v>
      </c>
      <c r="C1044" s="44" t="s">
        <v>3515</v>
      </c>
      <c r="D1044" s="44" t="s">
        <v>147</v>
      </c>
      <c r="E1044" s="44" t="s">
        <v>51</v>
      </c>
      <c r="G1044" s="44">
        <v>769</v>
      </c>
      <c r="H1044" s="44" t="s">
        <v>2537</v>
      </c>
    </row>
    <row r="1045" spans="1:8">
      <c r="A1045" s="31">
        <f>COUNTIF('BOM Atual ZPCS12'!F:F,B1045)+(1-(SUMIF(Invoice!$A:$A,$B1045,Invoice!$B:$B)/100000000000))</f>
        <v>1</v>
      </c>
      <c r="B1045" s="52" t="s">
        <v>3516</v>
      </c>
      <c r="C1045" s="44" t="s">
        <v>3517</v>
      </c>
      <c r="D1045" s="44" t="s">
        <v>147</v>
      </c>
      <c r="E1045" s="44" t="s">
        <v>51</v>
      </c>
      <c r="G1045" s="44">
        <v>769</v>
      </c>
      <c r="H1045" s="44" t="s">
        <v>2537</v>
      </c>
    </row>
    <row r="1046" spans="1:8">
      <c r="A1046" s="31">
        <f>COUNTIF('BOM Atual ZPCS12'!F:F,B1046)+(1-(SUMIF(Invoice!$A:$A,$B1046,Invoice!$B:$B)/100000000000))</f>
        <v>1.9999999000000002</v>
      </c>
      <c r="B1046" s="52" t="s">
        <v>1797</v>
      </c>
      <c r="C1046" s="44" t="s">
        <v>1798</v>
      </c>
      <c r="D1046" s="44" t="s">
        <v>147</v>
      </c>
      <c r="E1046" s="44" t="s">
        <v>51</v>
      </c>
      <c r="G1046" s="44">
        <v>770</v>
      </c>
      <c r="H1046" s="44" t="s">
        <v>2537</v>
      </c>
    </row>
    <row r="1047" spans="1:8">
      <c r="A1047" s="31">
        <f>COUNTIF('BOM Atual ZPCS12'!F:F,B1047)+(1-(SUMIF(Invoice!$A:$A,$B1047,Invoice!$B:$B)/100000000000))</f>
        <v>2</v>
      </c>
      <c r="B1047" s="52" t="s">
        <v>1800</v>
      </c>
      <c r="C1047" s="44" t="s">
        <v>3518</v>
      </c>
      <c r="D1047" s="44" t="s">
        <v>147</v>
      </c>
      <c r="E1047" s="44" t="s">
        <v>51</v>
      </c>
      <c r="G1047" s="44">
        <v>770</v>
      </c>
      <c r="H1047" s="44" t="s">
        <v>2537</v>
      </c>
    </row>
    <row r="1048" spans="1:8">
      <c r="A1048" s="31">
        <f>COUNTIF('BOM Atual ZPCS12'!F:F,B1048)+(1-(SUMIF(Invoice!$A:$A,$B1048,Invoice!$B:$B)/100000000000))</f>
        <v>2</v>
      </c>
      <c r="B1048" s="52" t="s">
        <v>1802</v>
      </c>
      <c r="C1048" s="44" t="s">
        <v>3518</v>
      </c>
      <c r="D1048" s="44" t="s">
        <v>147</v>
      </c>
      <c r="E1048" s="44" t="s">
        <v>51</v>
      </c>
      <c r="G1048" s="44">
        <v>770</v>
      </c>
      <c r="H1048" s="44" t="s">
        <v>2537</v>
      </c>
    </row>
    <row r="1049" spans="1:8">
      <c r="A1049" s="31">
        <f>COUNTIF('BOM Atual ZPCS12'!F:F,B1049)+(1-(SUMIF(Invoice!$A:$A,$B1049,Invoice!$B:$B)/100000000000))</f>
        <v>1</v>
      </c>
      <c r="B1049" s="52" t="s">
        <v>3519</v>
      </c>
      <c r="C1049" s="44" t="s">
        <v>3520</v>
      </c>
      <c r="D1049" s="44" t="s">
        <v>147</v>
      </c>
      <c r="E1049" s="44" t="s">
        <v>51</v>
      </c>
      <c r="G1049" s="44">
        <v>771</v>
      </c>
      <c r="H1049" s="44" t="s">
        <v>2537</v>
      </c>
    </row>
    <row r="1050" spans="1:8">
      <c r="A1050" s="31">
        <f>COUNTIF('BOM Atual ZPCS12'!F:F,B1050)+(1-(SUMIF(Invoice!$A:$A,$B1050,Invoice!$B:$B)/100000000000))</f>
        <v>1.9999997199999999</v>
      </c>
      <c r="B1050" s="52" t="s">
        <v>1803</v>
      </c>
      <c r="C1050" s="44" t="s">
        <v>1804</v>
      </c>
      <c r="D1050" s="44" t="s">
        <v>147</v>
      </c>
      <c r="E1050" s="44" t="s">
        <v>51</v>
      </c>
      <c r="G1050" s="44">
        <v>771</v>
      </c>
      <c r="H1050" s="44" t="s">
        <v>2537</v>
      </c>
    </row>
    <row r="1051" spans="1:8">
      <c r="A1051" s="31">
        <f>COUNTIF('BOM Atual ZPCS12'!F:F,B1051)+(1-(SUMIF(Invoice!$A:$A,$B1051,Invoice!$B:$B)/100000000000))</f>
        <v>2</v>
      </c>
      <c r="B1051" s="52" t="s">
        <v>1806</v>
      </c>
      <c r="C1051" s="44" t="s">
        <v>3521</v>
      </c>
      <c r="D1051" s="44" t="s">
        <v>147</v>
      </c>
      <c r="E1051" s="44" t="s">
        <v>51</v>
      </c>
      <c r="G1051" s="44">
        <v>771</v>
      </c>
      <c r="H1051" s="44" t="s">
        <v>2537</v>
      </c>
    </row>
    <row r="1052" spans="1:8">
      <c r="A1052" s="31">
        <f>COUNTIF('BOM Atual ZPCS12'!F:F,B1052)+(1-(SUMIF(Invoice!$A:$A,$B1052,Invoice!$B:$B)/100000000000))</f>
        <v>2</v>
      </c>
      <c r="B1052" s="52" t="s">
        <v>1808</v>
      </c>
      <c r="C1052" s="44" t="s">
        <v>3522</v>
      </c>
      <c r="D1052" s="44" t="s">
        <v>147</v>
      </c>
      <c r="E1052" s="44" t="s">
        <v>51</v>
      </c>
      <c r="G1052" s="44">
        <v>771</v>
      </c>
      <c r="H1052" s="44" t="s">
        <v>2537</v>
      </c>
    </row>
    <row r="1053" spans="1:8">
      <c r="A1053" s="31">
        <f>COUNTIF('BOM Atual ZPCS12'!F:F,B1053)+(1-(SUMIF(Invoice!$A:$A,$B1053,Invoice!$B:$B)/100000000000))</f>
        <v>1</v>
      </c>
      <c r="B1053" s="52" t="s">
        <v>3523</v>
      </c>
      <c r="C1053" s="44" t="s">
        <v>3524</v>
      </c>
      <c r="D1053" s="44" t="s">
        <v>147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3525</v>
      </c>
      <c r="C1054" s="44" t="s">
        <v>3526</v>
      </c>
      <c r="D1054" s="44" t="s">
        <v>147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3527</v>
      </c>
      <c r="C1055" s="44" t="s">
        <v>3528</v>
      </c>
      <c r="D1055" s="44" t="s">
        <v>147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3529</v>
      </c>
      <c r="C1056" s="44" t="s">
        <v>3530</v>
      </c>
      <c r="D1056" s="44" t="s">
        <v>147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3531</v>
      </c>
      <c r="C1057" s="44" t="s">
        <v>3532</v>
      </c>
      <c r="D1057" s="44" t="s">
        <v>147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3533</v>
      </c>
      <c r="C1058" s="44" t="s">
        <v>3534</v>
      </c>
      <c r="D1058" s="44" t="s">
        <v>147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</v>
      </c>
      <c r="B1059" s="52" t="s">
        <v>3535</v>
      </c>
      <c r="C1059" s="44" t="s">
        <v>3536</v>
      </c>
      <c r="D1059" s="44" t="s">
        <v>147</v>
      </c>
      <c r="E1059" s="44" t="s">
        <v>51</v>
      </c>
      <c r="G1059" s="44">
        <v>774</v>
      </c>
      <c r="H1059" s="44" t="s">
        <v>2537</v>
      </c>
    </row>
    <row r="1060" spans="1:8">
      <c r="A1060" s="31">
        <f>COUNTIF('BOM Atual ZPCS12'!F:F,B1060)+(1-(SUMIF(Invoice!$A:$A,$B1060,Invoice!$B:$B)/100000000000))</f>
        <v>1.9999999614999999</v>
      </c>
      <c r="B1060" s="52" t="s">
        <v>1841</v>
      </c>
      <c r="C1060" s="44" t="s">
        <v>1842</v>
      </c>
      <c r="D1060" s="44" t="s">
        <v>147</v>
      </c>
      <c r="E1060" s="44" t="s">
        <v>51</v>
      </c>
      <c r="G1060" s="44">
        <v>774</v>
      </c>
      <c r="H1060" s="44" t="s">
        <v>2537</v>
      </c>
    </row>
    <row r="1061" spans="1:8">
      <c r="A1061" s="31">
        <f>COUNTIF('BOM Atual ZPCS12'!F:F,B1061)+(1-(SUMIF(Invoice!$A:$A,$B1061,Invoice!$B:$B)/100000000000))</f>
        <v>2</v>
      </c>
      <c r="B1061" s="52" t="s">
        <v>1844</v>
      </c>
      <c r="C1061" s="44" t="s">
        <v>1845</v>
      </c>
      <c r="D1061" s="44" t="s">
        <v>147</v>
      </c>
      <c r="E1061" s="44" t="s">
        <v>51</v>
      </c>
      <c r="G1061" s="44">
        <v>774</v>
      </c>
      <c r="H1061" s="44" t="s">
        <v>2537</v>
      </c>
    </row>
    <row r="1062" spans="1:8">
      <c r="A1062" s="31">
        <f>COUNTIF('BOM Atual ZPCS12'!F:F,B1062)+(1-(SUMIF(Invoice!$A:$A,$B1062,Invoice!$B:$B)/100000000000))</f>
        <v>2</v>
      </c>
      <c r="B1062" s="52" t="s">
        <v>1846</v>
      </c>
      <c r="C1062" s="44" t="s">
        <v>1847</v>
      </c>
      <c r="D1062" s="44" t="s">
        <v>147</v>
      </c>
      <c r="E1062" s="44" t="s">
        <v>51</v>
      </c>
      <c r="G1062" s="44">
        <v>774</v>
      </c>
      <c r="H1062" s="44" t="s">
        <v>2537</v>
      </c>
    </row>
    <row r="1063" spans="1:8">
      <c r="A1063" s="31">
        <f>COUNTIF('BOM Atual ZPCS12'!F:F,B1063)+(1-(SUMIF(Invoice!$A:$A,$B1063,Invoice!$B:$B)/100000000000))</f>
        <v>1</v>
      </c>
      <c r="B1063" s="52" t="s">
        <v>3537</v>
      </c>
      <c r="C1063" s="44" t="s">
        <v>3538</v>
      </c>
      <c r="D1063" s="44" t="s">
        <v>147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</v>
      </c>
      <c r="B1064" s="52" t="s">
        <v>3539</v>
      </c>
      <c r="C1064" s="44" t="s">
        <v>3540</v>
      </c>
      <c r="D1064" s="44" t="s">
        <v>147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1</v>
      </c>
      <c r="B1065" s="52" t="s">
        <v>3541</v>
      </c>
      <c r="C1065" s="44" t="s">
        <v>3542</v>
      </c>
      <c r="D1065" s="44" t="s">
        <v>147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1</v>
      </c>
      <c r="B1066" s="52" t="s">
        <v>3543</v>
      </c>
      <c r="C1066" s="44" t="s">
        <v>3544</v>
      </c>
      <c r="D1066" s="44" t="s">
        <v>147</v>
      </c>
      <c r="E1066" s="44" t="s">
        <v>51</v>
      </c>
      <c r="G1066" s="44">
        <v>776</v>
      </c>
      <c r="H1066" s="44" t="s">
        <v>2537</v>
      </c>
    </row>
    <row r="1067" spans="1:8">
      <c r="A1067" s="31">
        <f>COUNTIF('BOM Atual ZPCS12'!F:F,B1067)+(1-(SUMIF(Invoice!$A:$A,$B1067,Invoice!$B:$B)/100000000000))</f>
        <v>1</v>
      </c>
      <c r="B1067" s="52" t="s">
        <v>3545</v>
      </c>
      <c r="C1067" s="44" t="s">
        <v>3546</v>
      </c>
      <c r="D1067" s="44" t="s">
        <v>147</v>
      </c>
      <c r="E1067" s="44" t="s">
        <v>51</v>
      </c>
      <c r="G1067" s="44">
        <v>776</v>
      </c>
      <c r="H1067" s="44" t="s">
        <v>2537</v>
      </c>
    </row>
    <row r="1068" spans="1:8">
      <c r="A1068" s="31">
        <f>COUNTIF('BOM Atual ZPCS12'!F:F,B1068)+(1-(SUMIF(Invoice!$A:$A,$B1068,Invoice!$B:$B)/100000000000))</f>
        <v>1</v>
      </c>
      <c r="B1068" s="52" t="s">
        <v>3547</v>
      </c>
      <c r="C1068" s="44" t="s">
        <v>3548</v>
      </c>
      <c r="D1068" s="44" t="s">
        <v>147</v>
      </c>
      <c r="E1068" s="44" t="s">
        <v>51</v>
      </c>
      <c r="G1068" s="44">
        <v>776</v>
      </c>
      <c r="H1068" s="44" t="s">
        <v>2537</v>
      </c>
    </row>
    <row r="1069" spans="1:8">
      <c r="A1069" s="31">
        <f>COUNTIF('BOM Atual ZPCS12'!F:F,B1069)+(1-(SUMIF(Invoice!$A:$A,$B1069,Invoice!$B:$B)/100000000000))</f>
        <v>1</v>
      </c>
      <c r="B1069" s="52" t="s">
        <v>3549</v>
      </c>
      <c r="C1069" s="44" t="s">
        <v>3550</v>
      </c>
      <c r="D1069" s="44" t="s">
        <v>147</v>
      </c>
      <c r="E1069" s="44" t="s">
        <v>51</v>
      </c>
      <c r="G1069" s="44">
        <v>776</v>
      </c>
      <c r="H1069" s="44" t="s">
        <v>2537</v>
      </c>
    </row>
    <row r="1070" spans="1:8">
      <c r="A1070" s="31">
        <f>COUNTIF('BOM Atual ZPCS12'!F:F,B1070)+(1-(SUMIF(Invoice!$A:$A,$B1070,Invoice!$B:$B)/100000000000))</f>
        <v>2</v>
      </c>
      <c r="B1070" s="52" t="s">
        <v>1872</v>
      </c>
      <c r="C1070" s="44" t="s">
        <v>3551</v>
      </c>
      <c r="D1070" s="44" t="s">
        <v>147</v>
      </c>
      <c r="E1070" s="44" t="s">
        <v>51</v>
      </c>
      <c r="G1070" s="44">
        <v>776</v>
      </c>
      <c r="H1070" s="44" t="s">
        <v>2537</v>
      </c>
    </row>
    <row r="1071" spans="1:8">
      <c r="A1071" s="31">
        <f>COUNTIF('BOM Atual ZPCS12'!F:F,B1071)+(1-(SUMIF(Invoice!$A:$A,$B1071,Invoice!$B:$B)/100000000000))</f>
        <v>2</v>
      </c>
      <c r="B1071" s="52" t="s">
        <v>1875</v>
      </c>
      <c r="C1071" s="44" t="s">
        <v>3551</v>
      </c>
      <c r="D1071" s="44" t="s">
        <v>147</v>
      </c>
      <c r="E1071" s="44" t="s">
        <v>51</v>
      </c>
      <c r="G1071" s="44">
        <v>776</v>
      </c>
      <c r="H1071" s="44" t="s">
        <v>2537</v>
      </c>
    </row>
    <row r="1072" spans="1:8">
      <c r="A1072" s="31">
        <f>COUNTIF('BOM Atual ZPCS12'!F:F,B1072)+(1-(SUMIF(Invoice!$A:$A,$B1072,Invoice!$B:$B)/100000000000))</f>
        <v>2</v>
      </c>
      <c r="B1072" s="52" t="s">
        <v>1876</v>
      </c>
      <c r="C1072" s="44" t="s">
        <v>3551</v>
      </c>
      <c r="D1072" s="44" t="s">
        <v>147</v>
      </c>
      <c r="E1072" s="44" t="s">
        <v>51</v>
      </c>
      <c r="G1072" s="44">
        <v>776</v>
      </c>
      <c r="H1072" s="44" t="s">
        <v>2537</v>
      </c>
    </row>
    <row r="1073" spans="1:8">
      <c r="A1073" s="31">
        <f>COUNTIF('BOM Atual ZPCS12'!F:F,B1073)+(1-(SUMIF(Invoice!$A:$A,$B1073,Invoice!$B:$B)/100000000000))</f>
        <v>1.999999895</v>
      </c>
      <c r="B1073" s="52" t="s">
        <v>1877</v>
      </c>
      <c r="C1073" s="44" t="s">
        <v>3551</v>
      </c>
      <c r="D1073" s="44" t="s">
        <v>147</v>
      </c>
      <c r="E1073" s="44" t="s">
        <v>51</v>
      </c>
      <c r="G1073" s="44">
        <v>776</v>
      </c>
      <c r="H1073" s="44" t="s">
        <v>2537</v>
      </c>
    </row>
    <row r="1074" spans="1:8">
      <c r="A1074" s="31">
        <f>COUNTIF('BOM Atual ZPCS12'!F:F,B1074)+(1-(SUMIF(Invoice!$A:$A,$B1074,Invoice!$B:$B)/100000000000))</f>
        <v>1</v>
      </c>
      <c r="B1074" s="52" t="s">
        <v>3552</v>
      </c>
      <c r="C1074" s="44" t="s">
        <v>3553</v>
      </c>
      <c r="D1074" s="44" t="s">
        <v>147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3554</v>
      </c>
      <c r="C1075" s="44" t="s">
        <v>3555</v>
      </c>
      <c r="D1075" s="44" t="s">
        <v>147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3556</v>
      </c>
      <c r="C1076" s="44" t="s">
        <v>3557</v>
      </c>
      <c r="D1076" s="44" t="s">
        <v>147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3558</v>
      </c>
      <c r="C1077" s="44" t="s">
        <v>3559</v>
      </c>
      <c r="D1077" s="44" t="s">
        <v>147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3560</v>
      </c>
      <c r="C1078" s="44" t="s">
        <v>3561</v>
      </c>
      <c r="D1078" s="44" t="s">
        <v>147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3562</v>
      </c>
      <c r="C1079" s="44" t="s">
        <v>3563</v>
      </c>
      <c r="D1079" s="44" t="s">
        <v>147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3564</v>
      </c>
      <c r="C1080" s="44" t="s">
        <v>3565</v>
      </c>
      <c r="D1080" s="44" t="s">
        <v>147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3566</v>
      </c>
      <c r="C1081" s="44" t="s">
        <v>3567</v>
      </c>
      <c r="D1081" s="44" t="s">
        <v>147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3568</v>
      </c>
      <c r="C1082" s="44" t="s">
        <v>3569</v>
      </c>
      <c r="D1082" s="44" t="s">
        <v>147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3570</v>
      </c>
      <c r="C1083" s="44" t="s">
        <v>3571</v>
      </c>
      <c r="D1083" s="44" t="s">
        <v>147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1</v>
      </c>
      <c r="B1084" s="52" t="s">
        <v>3572</v>
      </c>
      <c r="C1084" s="44" t="s">
        <v>3573</v>
      </c>
      <c r="D1084" s="44" t="s">
        <v>147</v>
      </c>
      <c r="E1084" s="44" t="s">
        <v>51</v>
      </c>
      <c r="G1084" s="44">
        <v>781</v>
      </c>
      <c r="H1084" s="44" t="s">
        <v>2537</v>
      </c>
    </row>
    <row r="1085" spans="1:8">
      <c r="A1085" s="31">
        <f>COUNTIF('BOM Atual ZPCS12'!F:F,B1085)+(1-(SUMIF(Invoice!$A:$A,$B1085,Invoice!$B:$B)/100000000000))</f>
        <v>1</v>
      </c>
      <c r="B1085" s="52" t="s">
        <v>3574</v>
      </c>
      <c r="C1085" s="44" t="s">
        <v>3575</v>
      </c>
      <c r="D1085" s="44" t="s">
        <v>147</v>
      </c>
      <c r="E1085" s="44" t="s">
        <v>51</v>
      </c>
      <c r="G1085" s="44">
        <v>781</v>
      </c>
      <c r="H1085" s="44" t="s">
        <v>2537</v>
      </c>
    </row>
    <row r="1086" spans="1:8">
      <c r="A1086" s="31">
        <f>COUNTIF('BOM Atual ZPCS12'!F:F,B1086)+(1-(SUMIF(Invoice!$A:$A,$B1086,Invoice!$B:$B)/100000000000))</f>
        <v>1</v>
      </c>
      <c r="B1086" s="52" t="s">
        <v>3576</v>
      </c>
      <c r="C1086" s="44" t="s">
        <v>3577</v>
      </c>
      <c r="D1086" s="44" t="s">
        <v>147</v>
      </c>
      <c r="E1086" s="44" t="s">
        <v>51</v>
      </c>
      <c r="G1086" s="44">
        <v>781</v>
      </c>
      <c r="H1086" s="44" t="s">
        <v>2537</v>
      </c>
    </row>
    <row r="1087" spans="1:8">
      <c r="A1087" s="31">
        <f>COUNTIF('BOM Atual ZPCS12'!F:F,B1087)+(1-(SUMIF(Invoice!$A:$A,$B1087,Invoice!$B:$B)/100000000000))</f>
        <v>1.9999999900000001</v>
      </c>
      <c r="B1087" s="52" t="s">
        <v>1987</v>
      </c>
      <c r="C1087" s="44" t="s">
        <v>3578</v>
      </c>
      <c r="D1087" s="44" t="s">
        <v>147</v>
      </c>
      <c r="E1087" s="44" t="s">
        <v>51</v>
      </c>
      <c r="G1087" s="44">
        <v>781</v>
      </c>
      <c r="H1087" s="44" t="s">
        <v>2537</v>
      </c>
    </row>
    <row r="1088" spans="1:8">
      <c r="A1088" s="31">
        <f>COUNTIF('BOM Atual ZPCS12'!F:F,B1088)+(1-(SUMIF(Invoice!$A:$A,$B1088,Invoice!$B:$B)/100000000000))</f>
        <v>2</v>
      </c>
      <c r="B1088" s="52" t="s">
        <v>1990</v>
      </c>
      <c r="C1088" s="44" t="s">
        <v>3578</v>
      </c>
      <c r="D1088" s="44" t="s">
        <v>147</v>
      </c>
      <c r="E1088" s="44" t="s">
        <v>51</v>
      </c>
      <c r="G1088" s="44">
        <v>781</v>
      </c>
      <c r="H1088" s="44" t="s">
        <v>2537</v>
      </c>
    </row>
    <row r="1089" spans="1:8">
      <c r="A1089" s="31">
        <f>COUNTIF('BOM Atual ZPCS12'!F:F,B1089)+(1-(SUMIF(Invoice!$A:$A,$B1089,Invoice!$B:$B)/100000000000))</f>
        <v>2</v>
      </c>
      <c r="B1089" s="52" t="s">
        <v>1991</v>
      </c>
      <c r="C1089" s="44" t="s">
        <v>3578</v>
      </c>
      <c r="D1089" s="44" t="s">
        <v>147</v>
      </c>
      <c r="E1089" s="44" t="s">
        <v>51</v>
      </c>
      <c r="G1089" s="44">
        <v>781</v>
      </c>
      <c r="H1089" s="44" t="s">
        <v>2537</v>
      </c>
    </row>
    <row r="1090" spans="1:8">
      <c r="A1090" s="31">
        <f>COUNTIF('BOM Atual ZPCS12'!F:F,B1090)+(1-(SUMIF(Invoice!$A:$A,$B1090,Invoice!$B:$B)/100000000000))</f>
        <v>1</v>
      </c>
      <c r="B1090" s="52" t="s">
        <v>3579</v>
      </c>
      <c r="C1090" s="44" t="s">
        <v>3580</v>
      </c>
      <c r="D1090" s="44" t="s">
        <v>147</v>
      </c>
      <c r="E1090" s="44" t="s">
        <v>51</v>
      </c>
      <c r="G1090" s="44">
        <v>782</v>
      </c>
      <c r="H1090" s="44" t="s">
        <v>2537</v>
      </c>
    </row>
    <row r="1091" spans="1:8">
      <c r="A1091" s="31">
        <f>COUNTIF('BOM Atual ZPCS12'!F:F,B1091)+(1-(SUMIF(Invoice!$A:$A,$B1091,Invoice!$B:$B)/100000000000))</f>
        <v>1</v>
      </c>
      <c r="B1091" s="52" t="s">
        <v>3581</v>
      </c>
      <c r="C1091" s="44" t="s">
        <v>3582</v>
      </c>
      <c r="D1091" s="44" t="s">
        <v>147</v>
      </c>
      <c r="E1091" s="44" t="s">
        <v>51</v>
      </c>
      <c r="G1091" s="44">
        <v>782</v>
      </c>
      <c r="H1091" s="44" t="s">
        <v>2537</v>
      </c>
    </row>
    <row r="1092" spans="1:8">
      <c r="A1092" s="31">
        <f>COUNTIF('BOM Atual ZPCS12'!F:F,B1092)+(1-(SUMIF(Invoice!$A:$A,$B1092,Invoice!$B:$B)/100000000000))</f>
        <v>1</v>
      </c>
      <c r="B1092" s="52" t="s">
        <v>3583</v>
      </c>
      <c r="C1092" s="44" t="s">
        <v>3584</v>
      </c>
      <c r="D1092" s="44" t="s">
        <v>147</v>
      </c>
      <c r="E1092" s="44" t="s">
        <v>51</v>
      </c>
      <c r="G1092" s="44">
        <v>782</v>
      </c>
      <c r="H1092" s="44" t="s">
        <v>2537</v>
      </c>
    </row>
    <row r="1093" spans="1:8">
      <c r="A1093" s="31">
        <f>COUNTIF('BOM Atual ZPCS12'!F:F,B1093)+(1-(SUMIF(Invoice!$A:$A,$B1093,Invoice!$B:$B)/100000000000))</f>
        <v>1</v>
      </c>
      <c r="B1093" s="52" t="s">
        <v>3585</v>
      </c>
      <c r="C1093" s="44" t="s">
        <v>3586</v>
      </c>
      <c r="D1093" s="44" t="s">
        <v>147</v>
      </c>
      <c r="E1093" s="44" t="s">
        <v>51</v>
      </c>
      <c r="G1093" s="44">
        <v>782</v>
      </c>
      <c r="H1093" s="44" t="s">
        <v>2537</v>
      </c>
    </row>
    <row r="1094" spans="1:8">
      <c r="A1094" s="31">
        <f>COUNTIF('BOM Atual ZPCS12'!F:F,B1094)+(1-(SUMIF(Invoice!$A:$A,$B1094,Invoice!$B:$B)/100000000000))</f>
        <v>1</v>
      </c>
      <c r="B1094" s="52" t="s">
        <v>3587</v>
      </c>
      <c r="C1094" s="44" t="s">
        <v>3588</v>
      </c>
      <c r="D1094" s="44" t="s">
        <v>147</v>
      </c>
      <c r="E1094" s="44" t="s">
        <v>51</v>
      </c>
      <c r="G1094" s="44">
        <v>782</v>
      </c>
      <c r="H1094" s="44" t="s">
        <v>2537</v>
      </c>
    </row>
    <row r="1095" spans="1:8">
      <c r="A1095" s="31">
        <f>COUNTIF('BOM Atual ZPCS12'!F:F,B1095)+(1-(SUMIF(Invoice!$A:$A,$B1095,Invoice!$B:$B)/100000000000))</f>
        <v>1</v>
      </c>
      <c r="B1095" s="52" t="s">
        <v>3589</v>
      </c>
      <c r="C1095" s="44" t="s">
        <v>3590</v>
      </c>
      <c r="D1095" s="44" t="s">
        <v>147</v>
      </c>
      <c r="E1095" s="44" t="s">
        <v>51</v>
      </c>
      <c r="G1095" s="44">
        <v>782</v>
      </c>
      <c r="H1095" s="44" t="s">
        <v>2537</v>
      </c>
    </row>
    <row r="1096" spans="1:8">
      <c r="A1096" s="31">
        <f>COUNTIF('BOM Atual ZPCS12'!F:F,B1096)+(1-(SUMIF(Invoice!$A:$A,$B1096,Invoice!$B:$B)/100000000000))</f>
        <v>1</v>
      </c>
      <c r="B1096" s="52" t="s">
        <v>3591</v>
      </c>
      <c r="C1096" s="44" t="s">
        <v>3592</v>
      </c>
      <c r="D1096" s="44" t="s">
        <v>147</v>
      </c>
      <c r="E1096" s="44" t="s">
        <v>51</v>
      </c>
      <c r="G1096" s="44">
        <v>782</v>
      </c>
      <c r="H1096" s="44" t="s">
        <v>2537</v>
      </c>
    </row>
    <row r="1097" spans="1:8">
      <c r="A1097" s="31">
        <f>COUNTIF('BOM Atual ZPCS12'!F:F,B1097)+(1-(SUMIF(Invoice!$A:$A,$B1097,Invoice!$B:$B)/100000000000))</f>
        <v>1</v>
      </c>
      <c r="B1097" s="52" t="s">
        <v>3593</v>
      </c>
      <c r="C1097" s="44" t="s">
        <v>3594</v>
      </c>
      <c r="D1097" s="44" t="s">
        <v>147</v>
      </c>
      <c r="E1097" s="44" t="s">
        <v>51</v>
      </c>
      <c r="G1097" s="44">
        <v>783</v>
      </c>
      <c r="H1097" s="44" t="s">
        <v>2537</v>
      </c>
    </row>
    <row r="1098" spans="1:8">
      <c r="A1098" s="31">
        <f>COUNTIF('BOM Atual ZPCS12'!F:F,B1098)+(1-(SUMIF(Invoice!$A:$A,$B1098,Invoice!$B:$B)/100000000000))</f>
        <v>1</v>
      </c>
      <c r="B1098" s="52" t="s">
        <v>3595</v>
      </c>
      <c r="C1098" s="44" t="s">
        <v>3596</v>
      </c>
      <c r="D1098" s="44" t="s">
        <v>147</v>
      </c>
      <c r="E1098" s="44" t="s">
        <v>51</v>
      </c>
      <c r="G1098" s="44">
        <v>783</v>
      </c>
      <c r="H1098" s="44" t="s">
        <v>2537</v>
      </c>
    </row>
    <row r="1099" spans="1:8">
      <c r="A1099" s="31">
        <f>COUNTIF('BOM Atual ZPCS12'!F:F,B1099)+(1-(SUMIF(Invoice!$A:$A,$B1099,Invoice!$B:$B)/100000000000))</f>
        <v>1</v>
      </c>
      <c r="B1099" s="52" t="s">
        <v>3597</v>
      </c>
      <c r="C1099" s="44" t="s">
        <v>3598</v>
      </c>
      <c r="D1099" s="44" t="s">
        <v>147</v>
      </c>
      <c r="E1099" s="44" t="s">
        <v>51</v>
      </c>
      <c r="G1099" s="44">
        <v>783</v>
      </c>
      <c r="H1099" s="44" t="s">
        <v>2537</v>
      </c>
    </row>
    <row r="1100" spans="1:8">
      <c r="A1100" s="31">
        <f>COUNTIF('BOM Atual ZPCS12'!F:F,B1100)+(1-(SUMIF(Invoice!$A:$A,$B1100,Invoice!$B:$B)/100000000000))</f>
        <v>1</v>
      </c>
      <c r="B1100" s="52" t="s">
        <v>3599</v>
      </c>
      <c r="C1100" s="44" t="s">
        <v>3600</v>
      </c>
      <c r="D1100" s="44" t="s">
        <v>147</v>
      </c>
      <c r="E1100" s="44" t="s">
        <v>51</v>
      </c>
      <c r="G1100" s="44">
        <v>783</v>
      </c>
      <c r="H1100" s="44" t="s">
        <v>2537</v>
      </c>
    </row>
    <row r="1101" spans="1:8">
      <c r="A1101" s="31">
        <f>COUNTIF('BOM Atual ZPCS12'!F:F,B1101)+(1-(SUMIF(Invoice!$A:$A,$B1101,Invoice!$B:$B)/100000000000))</f>
        <v>1</v>
      </c>
      <c r="B1101" s="52" t="s">
        <v>3601</v>
      </c>
      <c r="C1101" s="44" t="s">
        <v>3602</v>
      </c>
      <c r="D1101" s="44" t="s">
        <v>147</v>
      </c>
      <c r="E1101" s="44" t="s">
        <v>51</v>
      </c>
      <c r="G1101" s="44">
        <v>784</v>
      </c>
      <c r="H1101" s="44" t="s">
        <v>2537</v>
      </c>
    </row>
    <row r="1102" spans="1:8">
      <c r="A1102" s="31">
        <f>COUNTIF('BOM Atual ZPCS12'!F:F,B1102)+(1-(SUMIF(Invoice!$A:$A,$B1102,Invoice!$B:$B)/100000000000))</f>
        <v>1</v>
      </c>
      <c r="B1102" s="52" t="s">
        <v>3603</v>
      </c>
      <c r="C1102" s="44" t="s">
        <v>3604</v>
      </c>
      <c r="D1102" s="44" t="s">
        <v>147</v>
      </c>
      <c r="E1102" s="44" t="s">
        <v>51</v>
      </c>
      <c r="G1102" s="44">
        <v>784</v>
      </c>
      <c r="H1102" s="44" t="s">
        <v>2537</v>
      </c>
    </row>
    <row r="1103" spans="1:8">
      <c r="A1103" s="31">
        <f>COUNTIF('BOM Atual ZPCS12'!F:F,B1103)+(1-(SUMIF(Invoice!$A:$A,$B1103,Invoice!$B:$B)/100000000000))</f>
        <v>1</v>
      </c>
      <c r="B1103" s="52" t="s">
        <v>3605</v>
      </c>
      <c r="C1103" s="44" t="s">
        <v>3606</v>
      </c>
      <c r="D1103" s="44" t="s">
        <v>147</v>
      </c>
      <c r="E1103" s="44" t="s">
        <v>51</v>
      </c>
      <c r="G1103" s="44">
        <v>784</v>
      </c>
      <c r="H1103" s="44" t="s">
        <v>2537</v>
      </c>
    </row>
    <row r="1104" spans="1:8">
      <c r="A1104" s="31">
        <f>COUNTIF('BOM Atual ZPCS12'!F:F,B1104)+(1-(SUMIF(Invoice!$A:$A,$B1104,Invoice!$B:$B)/100000000000))</f>
        <v>1</v>
      </c>
      <c r="B1104" s="52" t="s">
        <v>3607</v>
      </c>
      <c r="C1104" s="44" t="s">
        <v>3608</v>
      </c>
      <c r="D1104" s="44" t="s">
        <v>147</v>
      </c>
      <c r="E1104" s="44" t="s">
        <v>51</v>
      </c>
      <c r="G1104" s="44">
        <v>784</v>
      </c>
      <c r="H1104" s="44" t="s">
        <v>2537</v>
      </c>
    </row>
    <row r="1105" spans="1:8">
      <c r="A1105" s="31">
        <f>COUNTIF('BOM Atual ZPCS12'!F:F,B1105)+(1-(SUMIF(Invoice!$A:$A,$B1105,Invoice!$B:$B)/100000000000))</f>
        <v>1</v>
      </c>
      <c r="B1105" s="52" t="s">
        <v>3609</v>
      </c>
      <c r="C1105" s="44" t="s">
        <v>3610</v>
      </c>
      <c r="D1105" s="44" t="s">
        <v>147</v>
      </c>
      <c r="E1105" s="44" t="s">
        <v>51</v>
      </c>
      <c r="G1105" s="44">
        <v>784</v>
      </c>
      <c r="H1105" s="44" t="s">
        <v>2537</v>
      </c>
    </row>
    <row r="1106" spans="1:8">
      <c r="A1106" s="31">
        <f>COUNTIF('BOM Atual ZPCS12'!F:F,B1106)+(1-(SUMIF(Invoice!$A:$A,$B1106,Invoice!$B:$B)/100000000000))</f>
        <v>1</v>
      </c>
      <c r="B1106" s="52" t="s">
        <v>3611</v>
      </c>
      <c r="C1106" s="44" t="s">
        <v>3612</v>
      </c>
      <c r="D1106" s="44" t="s">
        <v>147</v>
      </c>
      <c r="E1106" s="44" t="s">
        <v>51</v>
      </c>
      <c r="G1106" s="44">
        <v>784</v>
      </c>
      <c r="H1106" s="44" t="s">
        <v>2537</v>
      </c>
    </row>
    <row r="1107" spans="1:8">
      <c r="A1107" s="31">
        <f>COUNTIF('BOM Atual ZPCS12'!F:F,B1107)+(1-(SUMIF(Invoice!$A:$A,$B1107,Invoice!$B:$B)/100000000000))</f>
        <v>1</v>
      </c>
      <c r="B1107" s="52" t="s">
        <v>3613</v>
      </c>
      <c r="C1107" s="44" t="s">
        <v>3606</v>
      </c>
      <c r="D1107" s="44" t="s">
        <v>147</v>
      </c>
      <c r="E1107" s="44" t="s">
        <v>51</v>
      </c>
      <c r="G1107" s="44">
        <v>784</v>
      </c>
      <c r="H1107" s="44" t="s">
        <v>2537</v>
      </c>
    </row>
    <row r="1108" spans="1:8">
      <c r="A1108" s="31">
        <f>COUNTIF('BOM Atual ZPCS12'!F:F,B1108)+(1-(SUMIF(Invoice!$A:$A,$B1108,Invoice!$B:$B)/100000000000))</f>
        <v>1</v>
      </c>
      <c r="B1108" s="52" t="s">
        <v>3614</v>
      </c>
      <c r="C1108" s="44" t="s">
        <v>3615</v>
      </c>
      <c r="D1108" s="44" t="s">
        <v>147</v>
      </c>
      <c r="E1108" s="44" t="s">
        <v>51</v>
      </c>
      <c r="G1108" s="44">
        <v>785</v>
      </c>
      <c r="H1108" s="44" t="s">
        <v>2537</v>
      </c>
    </row>
    <row r="1109" spans="1:8">
      <c r="A1109" s="31">
        <f>COUNTIF('BOM Atual ZPCS12'!F:F,B1109)+(1-(SUMIF(Invoice!$A:$A,$B1109,Invoice!$B:$B)/100000000000))</f>
        <v>1</v>
      </c>
      <c r="B1109" s="52" t="s">
        <v>3616</v>
      </c>
      <c r="C1109" s="44" t="s">
        <v>3617</v>
      </c>
      <c r="D1109" s="44" t="s">
        <v>147</v>
      </c>
      <c r="E1109" s="44" t="s">
        <v>51</v>
      </c>
      <c r="G1109" s="44">
        <v>785</v>
      </c>
      <c r="H1109" s="44" t="s">
        <v>2537</v>
      </c>
    </row>
    <row r="1110" spans="1:8">
      <c r="A1110" s="31">
        <f>COUNTIF('BOM Atual ZPCS12'!F:F,B1110)+(1-(SUMIF(Invoice!$A:$A,$B1110,Invoice!$B:$B)/100000000000))</f>
        <v>1</v>
      </c>
      <c r="B1110" s="52" t="s">
        <v>3618</v>
      </c>
      <c r="C1110" s="44" t="s">
        <v>3619</v>
      </c>
      <c r="D1110" s="44" t="s">
        <v>147</v>
      </c>
      <c r="E1110" s="44" t="s">
        <v>51</v>
      </c>
      <c r="G1110" s="44">
        <v>785</v>
      </c>
      <c r="H1110" s="44" t="s">
        <v>2537</v>
      </c>
    </row>
    <row r="1111" spans="1:8">
      <c r="A1111" s="31">
        <f>COUNTIF('BOM Atual ZPCS12'!F:F,B1111)+(1-(SUMIF(Invoice!$A:$A,$B1111,Invoice!$B:$B)/100000000000))</f>
        <v>1</v>
      </c>
      <c r="B1111" s="52" t="s">
        <v>3620</v>
      </c>
      <c r="C1111" s="44" t="s">
        <v>3621</v>
      </c>
      <c r="D1111" s="44" t="s">
        <v>147</v>
      </c>
      <c r="E1111" s="44" t="s">
        <v>51</v>
      </c>
      <c r="G1111" s="44">
        <v>785</v>
      </c>
      <c r="H1111" s="44" t="s">
        <v>2537</v>
      </c>
    </row>
    <row r="1112" spans="1:8">
      <c r="A1112" s="31">
        <f>COUNTIF('BOM Atual ZPCS12'!F:F,B1112)+(1-(SUMIF(Invoice!$A:$A,$B1112,Invoice!$B:$B)/100000000000))</f>
        <v>1</v>
      </c>
      <c r="B1112" s="52" t="s">
        <v>3622</v>
      </c>
      <c r="C1112" s="44" t="s">
        <v>3623</v>
      </c>
      <c r="D1112" s="44" t="s">
        <v>147</v>
      </c>
      <c r="E1112" s="44" t="s">
        <v>51</v>
      </c>
      <c r="G1112" s="44">
        <v>785</v>
      </c>
      <c r="H1112" s="44" t="s">
        <v>2537</v>
      </c>
    </row>
    <row r="1113" spans="1:8">
      <c r="A1113" s="31">
        <f>COUNTIF('BOM Atual ZPCS12'!F:F,B1113)+(1-(SUMIF(Invoice!$A:$A,$B1113,Invoice!$B:$B)/100000000000))</f>
        <v>1</v>
      </c>
      <c r="B1113" s="52" t="s">
        <v>3624</v>
      </c>
      <c r="C1113" s="44" t="s">
        <v>3625</v>
      </c>
      <c r="D1113" s="44" t="s">
        <v>147</v>
      </c>
      <c r="E1113" s="44" t="s">
        <v>51</v>
      </c>
      <c r="G1113" s="44">
        <v>785</v>
      </c>
      <c r="H1113" s="44" t="s">
        <v>2537</v>
      </c>
    </row>
    <row r="1114" spans="1:8">
      <c r="A1114" s="31">
        <f>COUNTIF('BOM Atual ZPCS12'!F:F,B1114)+(1-(SUMIF(Invoice!$A:$A,$B1114,Invoice!$B:$B)/100000000000))</f>
        <v>1</v>
      </c>
      <c r="B1114" s="52" t="s">
        <v>3626</v>
      </c>
      <c r="C1114" s="44" t="s">
        <v>3619</v>
      </c>
      <c r="D1114" s="44" t="s">
        <v>147</v>
      </c>
      <c r="E1114" s="44" t="s">
        <v>51</v>
      </c>
      <c r="G1114" s="44">
        <v>785</v>
      </c>
      <c r="H1114" s="44" t="s">
        <v>2537</v>
      </c>
    </row>
    <row r="1115" spans="1:8">
      <c r="A1115" s="31">
        <f>COUNTIF('BOM Atual ZPCS12'!F:F,B1115)+(1-(SUMIF(Invoice!$A:$A,$B1115,Invoice!$B:$B)/100000000000))</f>
        <v>1</v>
      </c>
      <c r="B1115" s="52" t="s">
        <v>3627</v>
      </c>
      <c r="C1115" s="44" t="s">
        <v>3628</v>
      </c>
      <c r="D1115" s="44" t="s">
        <v>147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1</v>
      </c>
      <c r="B1116" s="52" t="s">
        <v>3629</v>
      </c>
      <c r="C1116" s="44" t="s">
        <v>3630</v>
      </c>
      <c r="D1116" s="44" t="s">
        <v>147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</v>
      </c>
      <c r="B1117" s="52" t="s">
        <v>3631</v>
      </c>
      <c r="C1117" s="44" t="s">
        <v>3632</v>
      </c>
      <c r="D1117" s="44" t="s">
        <v>147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1</v>
      </c>
      <c r="B1118" s="52" t="s">
        <v>3633</v>
      </c>
      <c r="C1118" s="44" t="s">
        <v>3634</v>
      </c>
      <c r="D1118" s="44" t="s">
        <v>147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3635</v>
      </c>
      <c r="C1119" s="44" t="s">
        <v>3636</v>
      </c>
      <c r="D1119" s="44" t="s">
        <v>147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3637</v>
      </c>
      <c r="C1120" s="44" t="s">
        <v>3638</v>
      </c>
      <c r="D1120" s="44" t="s">
        <v>147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3639</v>
      </c>
      <c r="C1121" s="44" t="s">
        <v>3640</v>
      </c>
      <c r="D1121" s="44" t="s">
        <v>147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3641</v>
      </c>
      <c r="C1122" s="44" t="s">
        <v>3642</v>
      </c>
      <c r="D1122" s="44" t="s">
        <v>147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3643</v>
      </c>
      <c r="C1123" s="44" t="s">
        <v>3644</v>
      </c>
      <c r="D1123" s="44" t="s">
        <v>147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3645</v>
      </c>
      <c r="C1124" s="44" t="s">
        <v>3646</v>
      </c>
      <c r="D1124" s="44" t="s">
        <v>147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3647</v>
      </c>
      <c r="C1125" s="44" t="s">
        <v>3648</v>
      </c>
      <c r="D1125" s="44" t="s">
        <v>147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3649</v>
      </c>
      <c r="C1126" s="44" t="s">
        <v>3650</v>
      </c>
      <c r="D1126" s="44" t="s">
        <v>147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3651</v>
      </c>
      <c r="C1127" s="44" t="s">
        <v>3652</v>
      </c>
      <c r="D1127" s="44" t="s">
        <v>147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3653</v>
      </c>
      <c r="C1128" s="44" t="s">
        <v>3654</v>
      </c>
      <c r="D1128" s="44" t="s">
        <v>147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3655</v>
      </c>
      <c r="C1129" s="44" t="s">
        <v>3656</v>
      </c>
      <c r="D1129" s="44" t="s">
        <v>147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3657</v>
      </c>
      <c r="C1130" s="44" t="s">
        <v>3658</v>
      </c>
      <c r="D1130" s="44" t="s">
        <v>147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3659</v>
      </c>
      <c r="C1131" s="44" t="s">
        <v>3660</v>
      </c>
      <c r="D1131" s="44" t="s">
        <v>147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3661</v>
      </c>
      <c r="C1132" s="44" t="s">
        <v>3662</v>
      </c>
      <c r="D1132" s="44" t="s">
        <v>147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3663</v>
      </c>
      <c r="C1133" s="44" t="s">
        <v>3664</v>
      </c>
      <c r="D1133" s="44" t="s">
        <v>147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3665</v>
      </c>
      <c r="C1134" s="44" t="s">
        <v>3666</v>
      </c>
      <c r="D1134" s="44" t="s">
        <v>147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3667</v>
      </c>
      <c r="C1135" s="44" t="s">
        <v>3668</v>
      </c>
      <c r="D1135" s="44" t="s">
        <v>147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3669</v>
      </c>
      <c r="C1136" s="44" t="s">
        <v>3670</v>
      </c>
      <c r="D1136" s="44" t="s">
        <v>147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3671</v>
      </c>
      <c r="C1137" s="44" t="s">
        <v>3672</v>
      </c>
      <c r="D1137" s="44" t="s">
        <v>147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3673</v>
      </c>
      <c r="C1138" s="44" t="s">
        <v>3674</v>
      </c>
      <c r="D1138" s="44" t="s">
        <v>147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3675</v>
      </c>
      <c r="C1139" s="44" t="s">
        <v>3676</v>
      </c>
      <c r="D1139" s="44" t="s">
        <v>147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3677</v>
      </c>
      <c r="C1140" s="44" t="s">
        <v>3678</v>
      </c>
      <c r="D1140" s="44" t="s">
        <v>147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1</v>
      </c>
      <c r="B1141" s="52" t="s">
        <v>3679</v>
      </c>
      <c r="C1141" s="44" t="s">
        <v>3680</v>
      </c>
      <c r="D1141" s="44" t="s">
        <v>147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</v>
      </c>
      <c r="B1142" s="52" t="s">
        <v>3681</v>
      </c>
      <c r="C1142" s="44" t="s">
        <v>3682</v>
      </c>
      <c r="D1142" s="44" t="s">
        <v>147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</v>
      </c>
      <c r="B1143" s="52" t="s">
        <v>3683</v>
      </c>
      <c r="C1143" s="44" t="s">
        <v>3684</v>
      </c>
      <c r="D1143" s="44" t="s">
        <v>147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1</v>
      </c>
      <c r="B1144" s="52" t="s">
        <v>3685</v>
      </c>
      <c r="C1144" s="44" t="s">
        <v>3686</v>
      </c>
      <c r="D1144" s="44" t="s">
        <v>147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3687</v>
      </c>
      <c r="C1145" s="44" t="s">
        <v>3688</v>
      </c>
      <c r="D1145" s="44" t="s">
        <v>147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3689</v>
      </c>
      <c r="C1146" s="44" t="s">
        <v>3690</v>
      </c>
      <c r="D1146" s="44" t="s">
        <v>147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3691</v>
      </c>
      <c r="C1147" s="44" t="s">
        <v>3692</v>
      </c>
      <c r="D1147" s="44" t="s">
        <v>147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2065</v>
      </c>
      <c r="C1148" s="44" t="s">
        <v>2066</v>
      </c>
      <c r="D1148" s="44" t="s">
        <v>147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1.9999999580000001</v>
      </c>
      <c r="B1149" s="52" t="s">
        <v>2068</v>
      </c>
      <c r="C1149" s="44" t="s">
        <v>2069</v>
      </c>
      <c r="D1149" s="44" t="s">
        <v>147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2070</v>
      </c>
      <c r="C1150" s="44" t="s">
        <v>2071</v>
      </c>
      <c r="D1150" s="44" t="s">
        <v>147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2106</v>
      </c>
      <c r="C1151" s="44" t="s">
        <v>3693</v>
      </c>
      <c r="D1151" s="44" t="s">
        <v>147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2112</v>
      </c>
      <c r="C1152" s="44" t="s">
        <v>3694</v>
      </c>
      <c r="D1152" s="44" t="s">
        <v>147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2121</v>
      </c>
      <c r="C1153" s="44" t="s">
        <v>3695</v>
      </c>
      <c r="D1153" s="44" t="s">
        <v>147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2124</v>
      </c>
      <c r="C1154" s="44" t="s">
        <v>3696</v>
      </c>
      <c r="D1154" s="44" t="s">
        <v>147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3697</v>
      </c>
      <c r="C1155" s="44" t="s">
        <v>3698</v>
      </c>
      <c r="D1155" s="44" t="s">
        <v>147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3699</v>
      </c>
      <c r="C1156" s="44" t="s">
        <v>3700</v>
      </c>
      <c r="D1156" s="44" t="s">
        <v>147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</v>
      </c>
      <c r="B1157" s="52" t="s">
        <v>3701</v>
      </c>
      <c r="C1157" s="44" t="s">
        <v>3702</v>
      </c>
      <c r="D1157" s="44" t="s">
        <v>147</v>
      </c>
      <c r="E1157" s="44" t="s">
        <v>51</v>
      </c>
      <c r="G1157" s="44">
        <v>804</v>
      </c>
      <c r="H1157" s="44" t="s">
        <v>2537</v>
      </c>
    </row>
    <row r="1158" spans="1:8">
      <c r="A1158" s="31">
        <f>COUNTIF('BOM Atual ZPCS12'!F:F,B1158)+(1-(SUMIF(Invoice!$A:$A,$B1158,Invoice!$B:$B)/100000000000))</f>
        <v>1</v>
      </c>
      <c r="B1158" s="52" t="s">
        <v>3703</v>
      </c>
      <c r="C1158" s="44" t="s">
        <v>3704</v>
      </c>
      <c r="D1158" s="44" t="s">
        <v>147</v>
      </c>
      <c r="E1158" s="44" t="s">
        <v>51</v>
      </c>
      <c r="G1158" s="44">
        <v>804</v>
      </c>
      <c r="H1158" s="44" t="s">
        <v>2537</v>
      </c>
    </row>
    <row r="1159" spans="1:8">
      <c r="A1159" s="31">
        <f>COUNTIF('BOM Atual ZPCS12'!F:F,B1159)+(1-(SUMIF(Invoice!$A:$A,$B1159,Invoice!$B:$B)/100000000000))</f>
        <v>1</v>
      </c>
      <c r="B1159" s="52" t="s">
        <v>3705</v>
      </c>
      <c r="C1159" s="44" t="s">
        <v>3706</v>
      </c>
      <c r="D1159" s="44" t="s">
        <v>147</v>
      </c>
      <c r="E1159" s="44" t="s">
        <v>51</v>
      </c>
      <c r="G1159" s="44">
        <v>804</v>
      </c>
      <c r="H1159" s="44" t="s">
        <v>2537</v>
      </c>
    </row>
    <row r="1160" spans="1:8">
      <c r="A1160" s="31">
        <f>COUNTIF('BOM Atual ZPCS12'!F:F,B1160)+(1-(SUMIF(Invoice!$A:$A,$B1160,Invoice!$B:$B)/100000000000))</f>
        <v>1</v>
      </c>
      <c r="B1160" s="52" t="s">
        <v>3707</v>
      </c>
      <c r="C1160" s="44" t="s">
        <v>3708</v>
      </c>
      <c r="D1160" s="44" t="s">
        <v>147</v>
      </c>
      <c r="E1160" s="44" t="s">
        <v>51</v>
      </c>
      <c r="G1160" s="44">
        <v>804</v>
      </c>
      <c r="H1160" s="44" t="s">
        <v>2537</v>
      </c>
    </row>
    <row r="1161" spans="1:8">
      <c r="A1161" s="31">
        <f>COUNTIF('BOM Atual ZPCS12'!F:F,B1161)+(1-(SUMIF(Invoice!$A:$A,$B1161,Invoice!$B:$B)/100000000000))</f>
        <v>1</v>
      </c>
      <c r="B1161" s="52" t="s">
        <v>3709</v>
      </c>
      <c r="C1161" s="44" t="s">
        <v>3710</v>
      </c>
      <c r="D1161" s="44" t="s">
        <v>147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3711</v>
      </c>
      <c r="C1162" s="44" t="s">
        <v>3712</v>
      </c>
      <c r="D1162" s="44" t="s">
        <v>147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1.9999999900000001</v>
      </c>
      <c r="B1163" s="52" t="s">
        <v>319</v>
      </c>
      <c r="C1163" s="44" t="s">
        <v>3713</v>
      </c>
      <c r="D1163" s="44" t="s">
        <v>147</v>
      </c>
      <c r="E1163" s="44" t="s">
        <v>51</v>
      </c>
      <c r="G1163" s="44">
        <v>807</v>
      </c>
      <c r="H1163" s="44" t="s">
        <v>2537</v>
      </c>
    </row>
    <row r="1164" spans="1:8">
      <c r="A1164" s="31">
        <f>COUNTIF('BOM Atual ZPCS12'!F:F,B1164)+(1-(SUMIF(Invoice!$A:$A,$B1164,Invoice!$B:$B)/100000000000))</f>
        <v>2</v>
      </c>
      <c r="B1164" s="52" t="s">
        <v>321</v>
      </c>
      <c r="C1164" s="44" t="s">
        <v>3714</v>
      </c>
      <c r="D1164" s="44" t="s">
        <v>147</v>
      </c>
      <c r="E1164" s="44" t="s">
        <v>51</v>
      </c>
      <c r="G1164" s="44">
        <v>807</v>
      </c>
      <c r="H1164" s="44" t="s">
        <v>2537</v>
      </c>
    </row>
    <row r="1165" spans="1:8">
      <c r="A1165" s="31">
        <f>COUNTIF('BOM Atual ZPCS12'!F:F,B1165)+(1-(SUMIF(Invoice!$A:$A,$B1165,Invoice!$B:$B)/100000000000))</f>
        <v>1</v>
      </c>
      <c r="B1165" s="52" t="s">
        <v>3715</v>
      </c>
      <c r="C1165" s="44" t="s">
        <v>3716</v>
      </c>
      <c r="D1165" s="44" t="s">
        <v>147</v>
      </c>
      <c r="E1165" s="44" t="s">
        <v>51</v>
      </c>
      <c r="G1165" s="44">
        <v>807</v>
      </c>
      <c r="H1165" s="44" t="s">
        <v>2537</v>
      </c>
    </row>
    <row r="1166" spans="1:8">
      <c r="A1166" s="31">
        <f>COUNTIF('BOM Atual ZPCS12'!F:F,B1166)+(1-(SUMIF(Invoice!$A:$A,$B1166,Invoice!$B:$B)/100000000000))</f>
        <v>1</v>
      </c>
      <c r="B1166" s="52" t="s">
        <v>3717</v>
      </c>
      <c r="C1166" s="44" t="s">
        <v>3718</v>
      </c>
      <c r="D1166" s="44" t="s">
        <v>147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1</v>
      </c>
      <c r="B1167" s="52" t="s">
        <v>3719</v>
      </c>
      <c r="C1167" s="44" t="s">
        <v>3720</v>
      </c>
      <c r="D1167" s="44" t="s">
        <v>147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3721</v>
      </c>
      <c r="C1168" s="44" t="s">
        <v>3722</v>
      </c>
      <c r="D1168" s="44" t="s">
        <v>147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3723</v>
      </c>
      <c r="C1169" s="44" t="s">
        <v>3724</v>
      </c>
      <c r="D1169" s="44" t="s">
        <v>147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</v>
      </c>
      <c r="B1170" s="52" t="s">
        <v>3725</v>
      </c>
      <c r="C1170" s="44" t="s">
        <v>3726</v>
      </c>
      <c r="D1170" s="44" t="s">
        <v>147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1</v>
      </c>
      <c r="B1171" s="52" t="s">
        <v>3727</v>
      </c>
      <c r="C1171" s="44" t="s">
        <v>3728</v>
      </c>
      <c r="D1171" s="44" t="s">
        <v>147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399</v>
      </c>
      <c r="C1172" s="44" t="s">
        <v>3729</v>
      </c>
      <c r="D1172" s="44" t="s">
        <v>147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401</v>
      </c>
      <c r="C1173" s="44" t="s">
        <v>3730</v>
      </c>
      <c r="D1173" s="44" t="s">
        <v>147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403</v>
      </c>
      <c r="C1174" s="44" t="s">
        <v>3731</v>
      </c>
      <c r="D1174" s="44" t="s">
        <v>147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1.9999999900000001</v>
      </c>
      <c r="B1175" s="52" t="s">
        <v>405</v>
      </c>
      <c r="C1175" s="44" t="s">
        <v>3732</v>
      </c>
      <c r="D1175" s="44" t="s">
        <v>147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1</v>
      </c>
      <c r="B1176" s="52" t="s">
        <v>3733</v>
      </c>
      <c r="C1176" s="44" t="s">
        <v>3734</v>
      </c>
      <c r="D1176" s="44" t="s">
        <v>147</v>
      </c>
      <c r="E1176" s="44" t="s">
        <v>51</v>
      </c>
      <c r="G1176" s="44">
        <v>812</v>
      </c>
      <c r="H1176" s="44" t="s">
        <v>2537</v>
      </c>
    </row>
    <row r="1177" spans="1:8">
      <c r="A1177" s="31">
        <f>COUNTIF('BOM Atual ZPCS12'!F:F,B1177)+(1-(SUMIF(Invoice!$A:$A,$B1177,Invoice!$B:$B)/100000000000))</f>
        <v>1</v>
      </c>
      <c r="B1177" s="52" t="s">
        <v>3735</v>
      </c>
      <c r="C1177" s="44" t="s">
        <v>3736</v>
      </c>
      <c r="D1177" s="44" t="s">
        <v>147</v>
      </c>
      <c r="E1177" s="44" t="s">
        <v>51</v>
      </c>
      <c r="G1177" s="44">
        <v>812</v>
      </c>
      <c r="H1177" s="44" t="s">
        <v>2537</v>
      </c>
    </row>
    <row r="1178" spans="1:8">
      <c r="A1178" s="31">
        <f>COUNTIF('BOM Atual ZPCS12'!F:F,B1178)+(1-(SUMIF(Invoice!$A:$A,$B1178,Invoice!$B:$B)/100000000000))</f>
        <v>1</v>
      </c>
      <c r="B1178" s="52" t="s">
        <v>3737</v>
      </c>
      <c r="C1178" s="44" t="s">
        <v>3738</v>
      </c>
      <c r="D1178" s="44" t="s">
        <v>147</v>
      </c>
      <c r="E1178" s="44" t="s">
        <v>51</v>
      </c>
      <c r="G1178" s="44">
        <v>812</v>
      </c>
      <c r="H1178" s="44" t="s">
        <v>2537</v>
      </c>
    </row>
    <row r="1179" spans="1:8">
      <c r="A1179" s="31">
        <f>COUNTIF('BOM Atual ZPCS12'!F:F,B1179)+(1-(SUMIF(Invoice!$A:$A,$B1179,Invoice!$B:$B)/100000000000))</f>
        <v>1.9999999900000001</v>
      </c>
      <c r="B1179" s="52" t="s">
        <v>471</v>
      </c>
      <c r="C1179" s="44" t="s">
        <v>472</v>
      </c>
      <c r="D1179" s="44" t="s">
        <v>147</v>
      </c>
      <c r="E1179" s="44" t="s">
        <v>51</v>
      </c>
      <c r="G1179" s="44">
        <v>812</v>
      </c>
      <c r="H1179" s="44" t="s">
        <v>2537</v>
      </c>
    </row>
    <row r="1180" spans="1:8">
      <c r="A1180" s="31">
        <f>COUNTIF('BOM Atual ZPCS12'!F:F,B1180)+(1-(SUMIF(Invoice!$A:$A,$B1180,Invoice!$B:$B)/100000000000))</f>
        <v>1</v>
      </c>
      <c r="B1180" s="52" t="s">
        <v>3739</v>
      </c>
      <c r="C1180" s="44" t="s">
        <v>3740</v>
      </c>
      <c r="D1180" s="44" t="s">
        <v>147</v>
      </c>
      <c r="E1180" s="44" t="s">
        <v>51</v>
      </c>
      <c r="G1180" s="44">
        <v>812</v>
      </c>
      <c r="H1180" s="44" t="s">
        <v>2537</v>
      </c>
    </row>
    <row r="1181" spans="1:8">
      <c r="A1181" s="31">
        <f>COUNTIF('BOM Atual ZPCS12'!F:F,B1181)+(1-(SUMIF(Invoice!$A:$A,$B1181,Invoice!$B:$B)/100000000000))</f>
        <v>2</v>
      </c>
      <c r="B1181" s="52" t="s">
        <v>473</v>
      </c>
      <c r="C1181" s="44" t="s">
        <v>474</v>
      </c>
      <c r="D1181" s="44" t="s">
        <v>147</v>
      </c>
      <c r="E1181" s="44" t="s">
        <v>51</v>
      </c>
      <c r="G1181" s="44">
        <v>812</v>
      </c>
      <c r="H1181" s="44" t="s">
        <v>2537</v>
      </c>
    </row>
    <row r="1182" spans="1:8">
      <c r="A1182" s="31">
        <f>COUNTIF('BOM Atual ZPCS12'!F:F,B1182)+(1-(SUMIF(Invoice!$A:$A,$B1182,Invoice!$B:$B)/100000000000))</f>
        <v>2</v>
      </c>
      <c r="B1182" s="52" t="s">
        <v>475</v>
      </c>
      <c r="C1182" s="44" t="s">
        <v>476</v>
      </c>
      <c r="D1182" s="44" t="s">
        <v>147</v>
      </c>
      <c r="E1182" s="44" t="s">
        <v>51</v>
      </c>
      <c r="G1182" s="44">
        <v>812</v>
      </c>
      <c r="H1182" s="44" t="s">
        <v>2537</v>
      </c>
    </row>
    <row r="1183" spans="1:8">
      <c r="A1183" s="31">
        <f>COUNTIF('BOM Atual ZPCS12'!F:F,B1183)+(1-(SUMIF(Invoice!$A:$A,$B1183,Invoice!$B:$B)/100000000000))</f>
        <v>2</v>
      </c>
      <c r="B1183" s="52" t="s">
        <v>477</v>
      </c>
      <c r="C1183" s="44" t="s">
        <v>3741</v>
      </c>
      <c r="D1183" s="44" t="s">
        <v>147</v>
      </c>
      <c r="E1183" s="44" t="s">
        <v>51</v>
      </c>
      <c r="G1183" s="44">
        <v>812</v>
      </c>
      <c r="H1183" s="44" t="s">
        <v>2537</v>
      </c>
    </row>
    <row r="1184" spans="1:8">
      <c r="A1184" s="31">
        <f>COUNTIF('BOM Atual ZPCS12'!F:F,B1184)+(1-(SUMIF(Invoice!$A:$A,$B1184,Invoice!$B:$B)/100000000000))</f>
        <v>1.9999999800000001</v>
      </c>
      <c r="B1184" s="52" t="s">
        <v>431</v>
      </c>
      <c r="C1184" s="44" t="s">
        <v>3742</v>
      </c>
      <c r="D1184" s="44" t="s">
        <v>147</v>
      </c>
      <c r="E1184" s="44" t="s">
        <v>51</v>
      </c>
      <c r="G1184" s="44">
        <v>813</v>
      </c>
      <c r="H1184" s="44" t="s">
        <v>2537</v>
      </c>
    </row>
    <row r="1185" spans="1:8">
      <c r="A1185" s="31">
        <f>COUNTIF('BOM Atual ZPCS12'!F:F,B1185)+(1-(SUMIF(Invoice!$A:$A,$B1185,Invoice!$B:$B)/100000000000))</f>
        <v>2</v>
      </c>
      <c r="B1185" s="52" t="s">
        <v>433</v>
      </c>
      <c r="C1185" s="44" t="s">
        <v>3743</v>
      </c>
      <c r="D1185" s="44" t="s">
        <v>147</v>
      </c>
      <c r="E1185" s="44" t="s">
        <v>51</v>
      </c>
      <c r="G1185" s="44">
        <v>813</v>
      </c>
      <c r="H1185" s="44" t="s">
        <v>2537</v>
      </c>
    </row>
    <row r="1186" spans="1:8">
      <c r="A1186" s="31">
        <f>COUNTIF('BOM Atual ZPCS12'!F:F,B1186)+(1-(SUMIF(Invoice!$A:$A,$B1186,Invoice!$B:$B)/100000000000))</f>
        <v>2</v>
      </c>
      <c r="B1186" s="52" t="s">
        <v>435</v>
      </c>
      <c r="C1186" s="44" t="s">
        <v>3744</v>
      </c>
      <c r="D1186" s="44" t="s">
        <v>147</v>
      </c>
      <c r="E1186" s="44" t="s">
        <v>51</v>
      </c>
      <c r="G1186" s="44">
        <v>813</v>
      </c>
      <c r="H1186" s="44" t="s">
        <v>2537</v>
      </c>
    </row>
    <row r="1187" spans="1:8">
      <c r="A1187" s="31">
        <f>COUNTIF('BOM Atual ZPCS12'!F:F,B1187)+(1-(SUMIF(Invoice!$A:$A,$B1187,Invoice!$B:$B)/100000000000))</f>
        <v>1.99999993</v>
      </c>
      <c r="B1187" s="52" t="s">
        <v>483</v>
      </c>
      <c r="C1187" s="44" t="s">
        <v>484</v>
      </c>
      <c r="D1187" s="44" t="s">
        <v>147</v>
      </c>
      <c r="E1187" s="44" t="s">
        <v>51</v>
      </c>
      <c r="G1187" s="44">
        <v>813</v>
      </c>
      <c r="H1187" s="44" t="s">
        <v>2537</v>
      </c>
    </row>
    <row r="1188" spans="1:8">
      <c r="A1188" s="31">
        <f>COUNTIF('BOM Atual ZPCS12'!F:F,B1188)+(1-(SUMIF(Invoice!$A:$A,$B1188,Invoice!$B:$B)/100000000000))</f>
        <v>1</v>
      </c>
      <c r="B1188" s="52" t="s">
        <v>3745</v>
      </c>
      <c r="C1188" s="44" t="s">
        <v>3746</v>
      </c>
      <c r="D1188" s="44" t="s">
        <v>147</v>
      </c>
      <c r="E1188" s="44" t="s">
        <v>51</v>
      </c>
      <c r="G1188" s="44">
        <v>813</v>
      </c>
      <c r="H1188" s="44" t="s">
        <v>2537</v>
      </c>
    </row>
    <row r="1189" spans="1:8">
      <c r="A1189" s="31">
        <f>COUNTIF('BOM Atual ZPCS12'!F:F,B1189)+(1-(SUMIF(Invoice!$A:$A,$B1189,Invoice!$B:$B)/100000000000))</f>
        <v>2</v>
      </c>
      <c r="B1189" s="52" t="s">
        <v>485</v>
      </c>
      <c r="C1189" s="44" t="s">
        <v>486</v>
      </c>
      <c r="D1189" s="44" t="s">
        <v>147</v>
      </c>
      <c r="E1189" s="44" t="s">
        <v>51</v>
      </c>
      <c r="G1189" s="44">
        <v>813</v>
      </c>
      <c r="H1189" s="44" t="s">
        <v>2537</v>
      </c>
    </row>
    <row r="1190" spans="1:8">
      <c r="A1190" s="31">
        <f>COUNTIF('BOM Atual ZPCS12'!F:F,B1190)+(1-(SUMIF(Invoice!$A:$A,$B1190,Invoice!$B:$B)/100000000000))</f>
        <v>1</v>
      </c>
      <c r="B1190" s="52" t="s">
        <v>3747</v>
      </c>
      <c r="C1190" s="44" t="s">
        <v>3748</v>
      </c>
      <c r="D1190" s="44" t="s">
        <v>147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3749</v>
      </c>
      <c r="C1191" s="44" t="s">
        <v>3750</v>
      </c>
      <c r="D1191" s="44" t="s">
        <v>147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2</v>
      </c>
      <c r="B1192" s="52" t="s">
        <v>447</v>
      </c>
      <c r="C1192" s="44" t="s">
        <v>448</v>
      </c>
      <c r="D1192" s="44" t="s">
        <v>147</v>
      </c>
      <c r="E1192" s="44" t="s">
        <v>51</v>
      </c>
      <c r="G1192" s="44">
        <v>816</v>
      </c>
      <c r="H1192" s="44" t="s">
        <v>2537</v>
      </c>
    </row>
    <row r="1193" spans="1:8">
      <c r="A1193" s="31">
        <f>COUNTIF('BOM Atual ZPCS12'!F:F,B1193)+(1-(SUMIF(Invoice!$A:$A,$B1193,Invoice!$B:$B)/100000000000))</f>
        <v>1.99999985</v>
      </c>
      <c r="B1193" s="52" t="s">
        <v>449</v>
      </c>
      <c r="C1193" s="44" t="s">
        <v>450</v>
      </c>
      <c r="D1193" s="44" t="s">
        <v>147</v>
      </c>
      <c r="E1193" s="44" t="s">
        <v>51</v>
      </c>
      <c r="G1193" s="44">
        <v>816</v>
      </c>
      <c r="H1193" s="44" t="s">
        <v>2537</v>
      </c>
    </row>
    <row r="1194" spans="1:8">
      <c r="A1194" s="31">
        <f>COUNTIF('BOM Atual ZPCS12'!F:F,B1194)+(1-(SUMIF(Invoice!$A:$A,$B1194,Invoice!$B:$B)/100000000000))</f>
        <v>1.99999985</v>
      </c>
      <c r="B1194" s="52" t="s">
        <v>500</v>
      </c>
      <c r="C1194" s="44" t="s">
        <v>501</v>
      </c>
      <c r="D1194" s="44" t="s">
        <v>147</v>
      </c>
      <c r="E1194" s="44" t="s">
        <v>51</v>
      </c>
      <c r="G1194" s="44">
        <v>816</v>
      </c>
      <c r="H1194" s="44" t="s">
        <v>2537</v>
      </c>
    </row>
    <row r="1195" spans="1:8">
      <c r="A1195" s="31">
        <f>COUNTIF('BOM Atual ZPCS12'!F:F,B1195)+(1-(SUMIF(Invoice!$A:$A,$B1195,Invoice!$B:$B)/100000000000))</f>
        <v>2</v>
      </c>
      <c r="B1195" s="52" t="s">
        <v>502</v>
      </c>
      <c r="C1195" s="44" t="s">
        <v>3751</v>
      </c>
      <c r="D1195" s="44" t="s">
        <v>147</v>
      </c>
      <c r="E1195" s="44" t="s">
        <v>51</v>
      </c>
      <c r="G1195" s="44">
        <v>816</v>
      </c>
      <c r="H1195" s="44" t="s">
        <v>2537</v>
      </c>
    </row>
    <row r="1196" spans="1:8">
      <c r="A1196" s="31">
        <f>COUNTIF('BOM Atual ZPCS12'!F:F,B1196)+(1-(SUMIF(Invoice!$A:$A,$B1196,Invoice!$B:$B)/100000000000))</f>
        <v>1</v>
      </c>
      <c r="B1196" s="52" t="s">
        <v>3752</v>
      </c>
      <c r="C1196" s="44" t="s">
        <v>3753</v>
      </c>
      <c r="D1196" s="44" t="s">
        <v>147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3754</v>
      </c>
      <c r="C1197" s="44" t="s">
        <v>3755</v>
      </c>
      <c r="D1197" s="44" t="s">
        <v>147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3756</v>
      </c>
      <c r="C1198" s="44" t="s">
        <v>3757</v>
      </c>
      <c r="D1198" s="44" t="s">
        <v>147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3758</v>
      </c>
      <c r="C1199" s="44" t="s">
        <v>3759</v>
      </c>
      <c r="D1199" s="44" t="s">
        <v>147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3760</v>
      </c>
      <c r="C1200" s="44" t="s">
        <v>3761</v>
      </c>
      <c r="D1200" s="44" t="s">
        <v>147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3762</v>
      </c>
      <c r="C1201" s="44" t="s">
        <v>3763</v>
      </c>
      <c r="D1201" s="44" t="s">
        <v>147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1.9999999900000001</v>
      </c>
      <c r="B1202" s="52" t="s">
        <v>521</v>
      </c>
      <c r="C1202" s="44" t="s">
        <v>3764</v>
      </c>
      <c r="D1202" s="44" t="s">
        <v>147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523</v>
      </c>
      <c r="C1203" s="44" t="s">
        <v>3765</v>
      </c>
      <c r="D1203" s="44" t="s">
        <v>147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1.9999999900000001</v>
      </c>
      <c r="B1204" s="52" t="s">
        <v>605</v>
      </c>
      <c r="C1204" s="44" t="s">
        <v>606</v>
      </c>
      <c r="D1204" s="44" t="s">
        <v>147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608</v>
      </c>
      <c r="C1205" s="44" t="s">
        <v>609</v>
      </c>
      <c r="D1205" s="44" t="s">
        <v>147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</v>
      </c>
      <c r="B1206" s="52" t="s">
        <v>3766</v>
      </c>
      <c r="C1206" s="44" t="s">
        <v>3767</v>
      </c>
      <c r="D1206" s="44" t="s">
        <v>147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1</v>
      </c>
      <c r="B1207" s="52" t="s">
        <v>3768</v>
      </c>
      <c r="C1207" s="44" t="s">
        <v>3769</v>
      </c>
      <c r="D1207" s="44" t="s">
        <v>147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3770</v>
      </c>
      <c r="C1208" s="44" t="s">
        <v>3771</v>
      </c>
      <c r="D1208" s="44" t="s">
        <v>147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3772</v>
      </c>
      <c r="C1209" s="44" t="s">
        <v>3773</v>
      </c>
      <c r="D1209" s="44" t="s">
        <v>147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3774</v>
      </c>
      <c r="C1210" s="44" t="s">
        <v>3775</v>
      </c>
      <c r="D1210" s="44" t="s">
        <v>147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1.9999999000000002</v>
      </c>
      <c r="B1211" s="52" t="s">
        <v>706</v>
      </c>
      <c r="C1211" s="44" t="s">
        <v>3776</v>
      </c>
      <c r="D1211" s="44" t="s">
        <v>147</v>
      </c>
      <c r="E1211" s="44" t="s">
        <v>51</v>
      </c>
      <c r="G1211" s="44">
        <v>824</v>
      </c>
      <c r="H1211" s="44" t="s">
        <v>2537</v>
      </c>
    </row>
    <row r="1212" spans="1:8">
      <c r="A1212" s="31">
        <f>COUNTIF('BOM Atual ZPCS12'!F:F,B1212)+(1-(SUMIF(Invoice!$A:$A,$B1212,Invoice!$B:$B)/100000000000))</f>
        <v>2</v>
      </c>
      <c r="B1212" s="52" t="s">
        <v>708</v>
      </c>
      <c r="C1212" s="44" t="s">
        <v>3777</v>
      </c>
      <c r="D1212" s="44" t="s">
        <v>147</v>
      </c>
      <c r="E1212" s="44" t="s">
        <v>51</v>
      </c>
      <c r="G1212" s="44">
        <v>824</v>
      </c>
      <c r="H1212" s="44" t="s">
        <v>2537</v>
      </c>
    </row>
    <row r="1213" spans="1:8">
      <c r="A1213" s="31">
        <f>COUNTIF('BOM Atual ZPCS12'!F:F,B1213)+(1-(SUMIF(Invoice!$A:$A,$B1213,Invoice!$B:$B)/100000000000))</f>
        <v>1</v>
      </c>
      <c r="B1213" s="52" t="s">
        <v>3778</v>
      </c>
      <c r="C1213" s="44" t="s">
        <v>3779</v>
      </c>
      <c r="D1213" s="44" t="s">
        <v>147</v>
      </c>
      <c r="E1213" s="44" t="s">
        <v>51</v>
      </c>
      <c r="G1213" s="44">
        <v>824</v>
      </c>
      <c r="H1213" s="44" t="s">
        <v>2537</v>
      </c>
    </row>
    <row r="1214" spans="1:8">
      <c r="A1214" s="31">
        <f>COUNTIF('BOM Atual ZPCS12'!F:F,B1214)+(1-(SUMIF(Invoice!$A:$A,$B1214,Invoice!$B:$B)/100000000000))</f>
        <v>2</v>
      </c>
      <c r="B1214" s="52" t="s">
        <v>710</v>
      </c>
      <c r="C1214" s="44" t="s">
        <v>711</v>
      </c>
      <c r="D1214" s="44" t="s">
        <v>147</v>
      </c>
      <c r="E1214" s="44" t="s">
        <v>51</v>
      </c>
      <c r="G1214" s="44">
        <v>824</v>
      </c>
      <c r="H1214" s="44" t="s">
        <v>2537</v>
      </c>
    </row>
    <row r="1215" spans="1:8">
      <c r="A1215" s="31">
        <f>COUNTIF('BOM Atual ZPCS12'!F:F,B1215)+(1-(SUMIF(Invoice!$A:$A,$B1215,Invoice!$B:$B)/100000000000))</f>
        <v>1</v>
      </c>
      <c r="B1215" s="52" t="s">
        <v>3780</v>
      </c>
      <c r="C1215" s="44" t="s">
        <v>3781</v>
      </c>
      <c r="D1215" s="44" t="s">
        <v>147</v>
      </c>
      <c r="E1215" s="44" t="s">
        <v>51</v>
      </c>
      <c r="G1215" s="44">
        <v>825</v>
      </c>
      <c r="H1215" s="44" t="s">
        <v>2537</v>
      </c>
    </row>
    <row r="1216" spans="1:8">
      <c r="A1216" s="31">
        <f>COUNTIF('BOM Atual ZPCS12'!F:F,B1216)+(1-(SUMIF(Invoice!$A:$A,$B1216,Invoice!$B:$B)/100000000000))</f>
        <v>1</v>
      </c>
      <c r="B1216" s="52" t="s">
        <v>3782</v>
      </c>
      <c r="C1216" s="44" t="s">
        <v>3783</v>
      </c>
      <c r="D1216" s="44" t="s">
        <v>147</v>
      </c>
      <c r="E1216" s="44" t="s">
        <v>51</v>
      </c>
      <c r="G1216" s="44">
        <v>825</v>
      </c>
      <c r="H1216" s="44" t="s">
        <v>2537</v>
      </c>
    </row>
    <row r="1217" spans="1:8">
      <c r="A1217" s="31">
        <f>COUNTIF('BOM Atual ZPCS12'!F:F,B1217)+(1-(SUMIF(Invoice!$A:$A,$B1217,Invoice!$B:$B)/100000000000))</f>
        <v>1</v>
      </c>
      <c r="B1217" s="52" t="s">
        <v>3784</v>
      </c>
      <c r="C1217" s="44" t="s">
        <v>3781</v>
      </c>
      <c r="D1217" s="44" t="s">
        <v>147</v>
      </c>
      <c r="E1217" s="44" t="s">
        <v>51</v>
      </c>
      <c r="G1217" s="44">
        <v>825</v>
      </c>
      <c r="H1217" s="44" t="s">
        <v>2537</v>
      </c>
    </row>
    <row r="1218" spans="1:8">
      <c r="A1218" s="31">
        <f>COUNTIF('BOM Atual ZPCS12'!F:F,B1218)+(1-(SUMIF(Invoice!$A:$A,$B1218,Invoice!$B:$B)/100000000000))</f>
        <v>1</v>
      </c>
      <c r="B1218" s="52" t="s">
        <v>3785</v>
      </c>
      <c r="C1218" s="44" t="s">
        <v>3786</v>
      </c>
      <c r="D1218" s="44" t="s">
        <v>147</v>
      </c>
      <c r="E1218" s="44" t="s">
        <v>51</v>
      </c>
      <c r="G1218" s="44">
        <v>825</v>
      </c>
      <c r="H1218" s="44" t="s">
        <v>2537</v>
      </c>
    </row>
    <row r="1219" spans="1:8">
      <c r="A1219" s="31">
        <f>COUNTIF('BOM Atual ZPCS12'!F:F,B1219)+(1-(SUMIF(Invoice!$A:$A,$B1219,Invoice!$B:$B)/100000000000))</f>
        <v>1</v>
      </c>
      <c r="B1219" s="52" t="s">
        <v>3787</v>
      </c>
      <c r="C1219" s="44" t="s">
        <v>3788</v>
      </c>
      <c r="D1219" s="44" t="s">
        <v>147</v>
      </c>
      <c r="E1219" s="44" t="s">
        <v>51</v>
      </c>
      <c r="G1219" s="44">
        <v>826</v>
      </c>
      <c r="H1219" s="44" t="s">
        <v>2537</v>
      </c>
    </row>
    <row r="1220" spans="1:8">
      <c r="A1220" s="31">
        <f>COUNTIF('BOM Atual ZPCS12'!F:F,B1220)+(1-(SUMIF(Invoice!$A:$A,$B1220,Invoice!$B:$B)/100000000000))</f>
        <v>1</v>
      </c>
      <c r="B1220" s="52" t="s">
        <v>3789</v>
      </c>
      <c r="C1220" s="44" t="s">
        <v>3790</v>
      </c>
      <c r="D1220" s="44" t="s">
        <v>147</v>
      </c>
      <c r="E1220" s="44" t="s">
        <v>51</v>
      </c>
      <c r="G1220" s="44">
        <v>826</v>
      </c>
      <c r="H1220" s="44" t="s">
        <v>2537</v>
      </c>
    </row>
    <row r="1221" spans="1:8">
      <c r="A1221" s="31">
        <f>COUNTIF('BOM Atual ZPCS12'!F:F,B1221)+(1-(SUMIF(Invoice!$A:$A,$B1221,Invoice!$B:$B)/100000000000))</f>
        <v>1</v>
      </c>
      <c r="B1221" s="52" t="s">
        <v>3791</v>
      </c>
      <c r="C1221" s="44" t="s">
        <v>3792</v>
      </c>
      <c r="D1221" s="44" t="s">
        <v>147</v>
      </c>
      <c r="E1221" s="44" t="s">
        <v>51</v>
      </c>
      <c r="G1221" s="44">
        <v>826</v>
      </c>
      <c r="H1221" s="44" t="s">
        <v>2537</v>
      </c>
    </row>
    <row r="1222" spans="1:8">
      <c r="A1222" s="31">
        <f>COUNTIF('BOM Atual ZPCS12'!F:F,B1222)+(1-(SUMIF(Invoice!$A:$A,$B1222,Invoice!$B:$B)/100000000000))</f>
        <v>1</v>
      </c>
      <c r="B1222" s="52" t="s">
        <v>3793</v>
      </c>
      <c r="C1222" s="44" t="s">
        <v>3794</v>
      </c>
      <c r="D1222" s="44" t="s">
        <v>147</v>
      </c>
      <c r="E1222" s="44" t="s">
        <v>51</v>
      </c>
      <c r="G1222" s="44">
        <v>826</v>
      </c>
      <c r="H1222" s="44" t="s">
        <v>2537</v>
      </c>
    </row>
    <row r="1223" spans="1:8">
      <c r="A1223" s="31">
        <f>COUNTIF('BOM Atual ZPCS12'!F:F,B1223)+(1-(SUMIF(Invoice!$A:$A,$B1223,Invoice!$B:$B)/100000000000))</f>
        <v>1</v>
      </c>
      <c r="B1223" s="52" t="s">
        <v>3795</v>
      </c>
      <c r="C1223" s="44" t="s">
        <v>3796</v>
      </c>
      <c r="D1223" s="44" t="s">
        <v>147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</v>
      </c>
      <c r="B1224" s="52" t="s">
        <v>3797</v>
      </c>
      <c r="C1224" s="44" t="s">
        <v>3798</v>
      </c>
      <c r="D1224" s="44" t="s">
        <v>147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1</v>
      </c>
      <c r="B1225" s="52" t="s">
        <v>3799</v>
      </c>
      <c r="C1225" s="44" t="s">
        <v>3796</v>
      </c>
      <c r="D1225" s="44" t="s">
        <v>147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1</v>
      </c>
      <c r="B1226" s="52" t="s">
        <v>3800</v>
      </c>
      <c r="C1226" s="44" t="s">
        <v>3801</v>
      </c>
      <c r="D1226" s="44" t="s">
        <v>147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</v>
      </c>
      <c r="B1227" s="52" t="s">
        <v>3802</v>
      </c>
      <c r="C1227" s="44" t="s">
        <v>3803</v>
      </c>
      <c r="D1227" s="44" t="s">
        <v>147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1</v>
      </c>
      <c r="B1228" s="52" t="s">
        <v>3804</v>
      </c>
      <c r="C1228" s="44" t="s">
        <v>3805</v>
      </c>
      <c r="D1228" s="44" t="s">
        <v>147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1</v>
      </c>
      <c r="B1229" s="52" t="s">
        <v>3806</v>
      </c>
      <c r="C1229" s="44" t="s">
        <v>3805</v>
      </c>
      <c r="D1229" s="44" t="s">
        <v>147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1</v>
      </c>
      <c r="B1230" s="52" t="s">
        <v>3807</v>
      </c>
      <c r="C1230" s="44" t="s">
        <v>3808</v>
      </c>
      <c r="D1230" s="44" t="s">
        <v>147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3809</v>
      </c>
      <c r="C1231" s="44" t="s">
        <v>3810</v>
      </c>
      <c r="D1231" s="44" t="s">
        <v>147</v>
      </c>
      <c r="E1231" s="44" t="s">
        <v>51</v>
      </c>
      <c r="G1231" s="44">
        <v>829</v>
      </c>
      <c r="H1231" s="44" t="s">
        <v>2537</v>
      </c>
    </row>
    <row r="1232" spans="1:8">
      <c r="A1232" s="31">
        <f>COUNTIF('BOM Atual ZPCS12'!F:F,B1232)+(1-(SUMIF(Invoice!$A:$A,$B1232,Invoice!$B:$B)/100000000000))</f>
        <v>1</v>
      </c>
      <c r="B1232" s="52" t="s">
        <v>3811</v>
      </c>
      <c r="C1232" s="44" t="s">
        <v>3812</v>
      </c>
      <c r="D1232" s="44" t="s">
        <v>147</v>
      </c>
      <c r="E1232" s="44" t="s">
        <v>51</v>
      </c>
      <c r="G1232" s="44">
        <v>829</v>
      </c>
      <c r="H1232" s="44" t="s">
        <v>2537</v>
      </c>
    </row>
    <row r="1233" spans="1:8">
      <c r="A1233" s="31">
        <f>COUNTIF('BOM Atual ZPCS12'!F:F,B1233)+(1-(SUMIF(Invoice!$A:$A,$B1233,Invoice!$B:$B)/100000000000))</f>
        <v>1</v>
      </c>
      <c r="B1233" s="52" t="s">
        <v>3813</v>
      </c>
      <c r="C1233" s="44" t="s">
        <v>3814</v>
      </c>
      <c r="D1233" s="44" t="s">
        <v>147</v>
      </c>
      <c r="E1233" s="44" t="s">
        <v>51</v>
      </c>
      <c r="G1233" s="44">
        <v>829</v>
      </c>
      <c r="H1233" s="44" t="s">
        <v>2537</v>
      </c>
    </row>
    <row r="1234" spans="1:8">
      <c r="A1234" s="31">
        <f>COUNTIF('BOM Atual ZPCS12'!F:F,B1234)+(1-(SUMIF(Invoice!$A:$A,$B1234,Invoice!$B:$B)/100000000000))</f>
        <v>1</v>
      </c>
      <c r="B1234" s="52" t="s">
        <v>3815</v>
      </c>
      <c r="C1234" s="44" t="s">
        <v>3816</v>
      </c>
      <c r="D1234" s="44" t="s">
        <v>147</v>
      </c>
      <c r="E1234" s="44" t="s">
        <v>51</v>
      </c>
      <c r="G1234" s="44">
        <v>829</v>
      </c>
      <c r="H1234" s="44" t="s">
        <v>2537</v>
      </c>
    </row>
    <row r="1235" spans="1:8">
      <c r="A1235" s="31">
        <f>COUNTIF('BOM Atual ZPCS12'!F:F,B1235)+(1-(SUMIF(Invoice!$A:$A,$B1235,Invoice!$B:$B)/100000000000))</f>
        <v>1</v>
      </c>
      <c r="B1235" s="52" t="s">
        <v>3817</v>
      </c>
      <c r="C1235" s="44" t="s">
        <v>3818</v>
      </c>
      <c r="D1235" s="44" t="s">
        <v>147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3819</v>
      </c>
      <c r="C1236" s="44" t="s">
        <v>3820</v>
      </c>
      <c r="D1236" s="44" t="s">
        <v>147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3821</v>
      </c>
      <c r="C1237" s="44" t="s">
        <v>3822</v>
      </c>
      <c r="D1237" s="44" t="s">
        <v>147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3823</v>
      </c>
      <c r="C1238" s="44" t="s">
        <v>3824</v>
      </c>
      <c r="D1238" s="44" t="s">
        <v>147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3825</v>
      </c>
      <c r="C1239" s="44" t="s">
        <v>3826</v>
      </c>
      <c r="D1239" s="44" t="s">
        <v>147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3827</v>
      </c>
      <c r="C1240" s="44" t="s">
        <v>3828</v>
      </c>
      <c r="D1240" s="44" t="s">
        <v>147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753</v>
      </c>
      <c r="C1241" s="44" t="s">
        <v>3829</v>
      </c>
      <c r="D1241" s="44" t="s">
        <v>147</v>
      </c>
      <c r="E1241" s="44" t="s">
        <v>51</v>
      </c>
      <c r="G1241" s="44">
        <v>832</v>
      </c>
      <c r="H1241" s="44" t="s">
        <v>2537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755</v>
      </c>
      <c r="C1242" s="44" t="s">
        <v>3830</v>
      </c>
      <c r="D1242" s="44" t="s">
        <v>147</v>
      </c>
      <c r="E1242" s="44" t="s">
        <v>51</v>
      </c>
      <c r="G1242" s="44">
        <v>832</v>
      </c>
      <c r="H1242" s="44" t="s">
        <v>2537</v>
      </c>
    </row>
    <row r="1243" spans="1:8">
      <c r="A1243" s="31">
        <f>COUNTIF('BOM Atual ZPCS12'!F:F,B1243)+(1-(SUMIF(Invoice!$A:$A,$B1243,Invoice!$B:$B)/100000000000))</f>
        <v>1</v>
      </c>
      <c r="B1243" s="52" t="s">
        <v>3831</v>
      </c>
      <c r="C1243" s="44" t="s">
        <v>3832</v>
      </c>
      <c r="D1243" s="44" t="s">
        <v>147</v>
      </c>
      <c r="E1243" s="44" t="s">
        <v>51</v>
      </c>
      <c r="G1243" s="44">
        <v>832</v>
      </c>
      <c r="H1243" s="44" t="s">
        <v>2537</v>
      </c>
    </row>
    <row r="1244" spans="1:8">
      <c r="A1244" s="31">
        <f>COUNTIF('BOM Atual ZPCS12'!F:F,B1244)+(1-(SUMIF(Invoice!$A:$A,$B1244,Invoice!$B:$B)/100000000000))</f>
        <v>2</v>
      </c>
      <c r="B1244" s="52" t="s">
        <v>757</v>
      </c>
      <c r="C1244" s="44" t="s">
        <v>758</v>
      </c>
      <c r="D1244" s="44" t="s">
        <v>147</v>
      </c>
      <c r="E1244" s="44" t="s">
        <v>51</v>
      </c>
      <c r="G1244" s="44">
        <v>832</v>
      </c>
      <c r="H1244" s="44" t="s">
        <v>2537</v>
      </c>
    </row>
    <row r="1245" spans="1:8">
      <c r="A1245" s="31">
        <f>COUNTIF('BOM Atual ZPCS12'!F:F,B1245)+(1-(SUMIF(Invoice!$A:$A,$B1245,Invoice!$B:$B)/100000000000))</f>
        <v>1.9999999900000001</v>
      </c>
      <c r="B1245" s="52" t="s">
        <v>1976</v>
      </c>
      <c r="C1245" s="44" t="s">
        <v>1977</v>
      </c>
      <c r="D1245" s="44" t="s">
        <v>147</v>
      </c>
      <c r="E1245" s="44" t="s">
        <v>51</v>
      </c>
      <c r="G1245" s="44">
        <v>832</v>
      </c>
      <c r="H1245" s="44" t="s">
        <v>2537</v>
      </c>
    </row>
    <row r="1246" spans="1:8">
      <c r="A1246" s="31">
        <f>COUNTIF('BOM Atual ZPCS12'!F:F,B1246)+(1-(SUMIF(Invoice!$A:$A,$B1246,Invoice!$B:$B)/100000000000))</f>
        <v>2</v>
      </c>
      <c r="B1246" s="52" t="s">
        <v>1979</v>
      </c>
      <c r="C1246" s="44" t="s">
        <v>1980</v>
      </c>
      <c r="D1246" s="44" t="s">
        <v>147</v>
      </c>
      <c r="E1246" s="44" t="s">
        <v>51</v>
      </c>
      <c r="G1246" s="44">
        <v>832</v>
      </c>
      <c r="H1246" s="44" t="s">
        <v>2537</v>
      </c>
    </row>
    <row r="1247" spans="1:8">
      <c r="A1247" s="31">
        <f>COUNTIF('BOM Atual ZPCS12'!F:F,B1247)+(1-(SUMIF(Invoice!$A:$A,$B1247,Invoice!$B:$B)/100000000000))</f>
        <v>2</v>
      </c>
      <c r="B1247" s="52" t="s">
        <v>1981</v>
      </c>
      <c r="C1247" s="44" t="s">
        <v>1982</v>
      </c>
      <c r="D1247" s="44" t="s">
        <v>147</v>
      </c>
      <c r="E1247" s="44" t="s">
        <v>51</v>
      </c>
      <c r="G1247" s="44">
        <v>832</v>
      </c>
      <c r="H1247" s="44" t="s">
        <v>2537</v>
      </c>
    </row>
    <row r="1248" spans="1:8">
      <c r="A1248" s="31">
        <f>COUNTIF('BOM Atual ZPCS12'!F:F,B1248)+(1-(SUMIF(Invoice!$A:$A,$B1248,Invoice!$B:$B)/100000000000))</f>
        <v>1</v>
      </c>
      <c r="B1248" s="52" t="s">
        <v>3833</v>
      </c>
      <c r="C1248" s="44" t="s">
        <v>3834</v>
      </c>
      <c r="D1248" s="44" t="s">
        <v>147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</v>
      </c>
      <c r="B1249" s="52" t="s">
        <v>3835</v>
      </c>
      <c r="C1249" s="44" t="s">
        <v>3836</v>
      </c>
      <c r="D1249" s="44" t="s">
        <v>147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1</v>
      </c>
      <c r="B1250" s="52" t="s">
        <v>3837</v>
      </c>
      <c r="C1250" s="44" t="s">
        <v>3838</v>
      </c>
      <c r="D1250" s="44" t="s">
        <v>147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1</v>
      </c>
      <c r="B1251" s="52" t="s">
        <v>3839</v>
      </c>
      <c r="C1251" s="44" t="s">
        <v>3840</v>
      </c>
      <c r="D1251" s="44" t="s">
        <v>147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3841</v>
      </c>
      <c r="C1252" s="44" t="s">
        <v>3842</v>
      </c>
      <c r="D1252" s="44" t="s">
        <v>147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3843</v>
      </c>
      <c r="C1253" s="44" t="s">
        <v>3844</v>
      </c>
      <c r="D1253" s="44" t="s">
        <v>147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3845</v>
      </c>
      <c r="C1254" s="44" t="s">
        <v>3842</v>
      </c>
      <c r="D1254" s="44" t="s">
        <v>147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3846</v>
      </c>
      <c r="C1255" s="44" t="s">
        <v>3847</v>
      </c>
      <c r="D1255" s="44" t="s">
        <v>147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3848</v>
      </c>
      <c r="C1256" s="44" t="s">
        <v>3849</v>
      </c>
      <c r="D1256" s="44" t="s">
        <v>147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3850</v>
      </c>
      <c r="C1257" s="44" t="s">
        <v>3851</v>
      </c>
      <c r="D1257" s="44" t="s">
        <v>147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3852</v>
      </c>
      <c r="C1258" s="44" t="s">
        <v>3853</v>
      </c>
      <c r="D1258" s="44" t="s">
        <v>147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3854</v>
      </c>
      <c r="C1259" s="44" t="s">
        <v>3855</v>
      </c>
      <c r="D1259" s="44" t="s">
        <v>147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3856</v>
      </c>
      <c r="C1260" s="44" t="s">
        <v>3857</v>
      </c>
      <c r="D1260" s="44" t="s">
        <v>147</v>
      </c>
      <c r="E1260" s="44" t="s">
        <v>51</v>
      </c>
      <c r="G1260" s="44">
        <v>836</v>
      </c>
      <c r="H1260" s="44" t="s">
        <v>2537</v>
      </c>
    </row>
    <row r="1261" spans="1:8">
      <c r="A1261" s="31">
        <f>COUNTIF('BOM Atual ZPCS12'!F:F,B1261)+(1-(SUMIF(Invoice!$A:$A,$B1261,Invoice!$B:$B)/100000000000))</f>
        <v>1</v>
      </c>
      <c r="B1261" s="52" t="s">
        <v>3858</v>
      </c>
      <c r="C1261" s="44" t="s">
        <v>3859</v>
      </c>
      <c r="D1261" s="44" t="s">
        <v>147</v>
      </c>
      <c r="E1261" s="44" t="s">
        <v>51</v>
      </c>
      <c r="G1261" s="44">
        <v>836</v>
      </c>
      <c r="H1261" s="44" t="s">
        <v>2537</v>
      </c>
    </row>
    <row r="1262" spans="1:8">
      <c r="A1262" s="31">
        <f>COUNTIF('BOM Atual ZPCS12'!F:F,B1262)+(1-(SUMIF(Invoice!$A:$A,$B1262,Invoice!$B:$B)/100000000000))</f>
        <v>1</v>
      </c>
      <c r="B1262" s="52" t="s">
        <v>3860</v>
      </c>
      <c r="C1262" s="44" t="s">
        <v>3861</v>
      </c>
      <c r="D1262" s="44" t="s">
        <v>147</v>
      </c>
      <c r="E1262" s="44" t="s">
        <v>51</v>
      </c>
      <c r="G1262" s="44">
        <v>836</v>
      </c>
      <c r="H1262" s="44" t="s">
        <v>2537</v>
      </c>
    </row>
    <row r="1263" spans="1:8">
      <c r="A1263" s="31">
        <f>COUNTIF('BOM Atual ZPCS12'!F:F,B1263)+(1-(SUMIF(Invoice!$A:$A,$B1263,Invoice!$B:$B)/100000000000))</f>
        <v>1</v>
      </c>
      <c r="B1263" s="52" t="s">
        <v>3862</v>
      </c>
      <c r="C1263" s="44" t="s">
        <v>3863</v>
      </c>
      <c r="D1263" s="44" t="s">
        <v>147</v>
      </c>
      <c r="E1263" s="44" t="s">
        <v>51</v>
      </c>
      <c r="G1263" s="44">
        <v>836</v>
      </c>
      <c r="H1263" s="44" t="s">
        <v>2537</v>
      </c>
    </row>
    <row r="1264" spans="1:8">
      <c r="A1264" s="31">
        <f>COUNTIF('BOM Atual ZPCS12'!F:F,B1264)+(1-(SUMIF(Invoice!$A:$A,$B1264,Invoice!$B:$B)/100000000000))</f>
        <v>1</v>
      </c>
      <c r="B1264" s="52" t="s">
        <v>3864</v>
      </c>
      <c r="C1264" s="44" t="s">
        <v>3865</v>
      </c>
      <c r="D1264" s="44" t="s">
        <v>147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</v>
      </c>
      <c r="B1265" s="52" t="s">
        <v>3866</v>
      </c>
      <c r="C1265" s="44" t="s">
        <v>3867</v>
      </c>
      <c r="D1265" s="44" t="s">
        <v>147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1</v>
      </c>
      <c r="B1266" s="52" t="s">
        <v>3868</v>
      </c>
      <c r="C1266" s="44" t="s">
        <v>3865</v>
      </c>
      <c r="D1266" s="44" t="s">
        <v>147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1</v>
      </c>
      <c r="B1267" s="52" t="s">
        <v>3869</v>
      </c>
      <c r="C1267" s="44" t="s">
        <v>3870</v>
      </c>
      <c r="D1267" s="44" t="s">
        <v>147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1.9999999000000002</v>
      </c>
      <c r="B1268" s="52" t="s">
        <v>777</v>
      </c>
      <c r="C1268" s="44" t="s">
        <v>778</v>
      </c>
      <c r="D1268" s="44" t="s">
        <v>147</v>
      </c>
      <c r="E1268" s="44" t="s">
        <v>51</v>
      </c>
      <c r="G1268" s="44">
        <v>838</v>
      </c>
      <c r="H1268" s="44" t="s">
        <v>2537</v>
      </c>
    </row>
    <row r="1269" spans="1:8">
      <c r="A1269" s="31">
        <f>COUNTIF('BOM Atual ZPCS12'!F:F,B1269)+(1-(SUMIF(Invoice!$A:$A,$B1269,Invoice!$B:$B)/100000000000))</f>
        <v>2</v>
      </c>
      <c r="B1269" s="52" t="s">
        <v>779</v>
      </c>
      <c r="C1269" s="44" t="s">
        <v>780</v>
      </c>
      <c r="D1269" s="44" t="s">
        <v>147</v>
      </c>
      <c r="E1269" s="44" t="s">
        <v>51</v>
      </c>
      <c r="G1269" s="44">
        <v>838</v>
      </c>
      <c r="H1269" s="44" t="s">
        <v>2537</v>
      </c>
    </row>
    <row r="1270" spans="1:8">
      <c r="A1270" s="31">
        <f>COUNTIF('BOM Atual ZPCS12'!F:F,B1270)+(1-(SUMIF(Invoice!$A:$A,$B1270,Invoice!$B:$B)/100000000000))</f>
        <v>1</v>
      </c>
      <c r="B1270" s="52" t="s">
        <v>3871</v>
      </c>
      <c r="C1270" s="44" t="s">
        <v>3872</v>
      </c>
      <c r="D1270" s="44" t="s">
        <v>147</v>
      </c>
      <c r="E1270" s="44" t="s">
        <v>51</v>
      </c>
      <c r="G1270" s="44">
        <v>838</v>
      </c>
      <c r="H1270" s="44" t="s">
        <v>2537</v>
      </c>
    </row>
    <row r="1271" spans="1:8">
      <c r="A1271" s="31">
        <f>COUNTIF('BOM Atual ZPCS12'!F:F,B1271)+(1-(SUMIF(Invoice!$A:$A,$B1271,Invoice!$B:$B)/100000000000))</f>
        <v>2</v>
      </c>
      <c r="B1271" s="52" t="s">
        <v>781</v>
      </c>
      <c r="C1271" s="44" t="s">
        <v>782</v>
      </c>
      <c r="D1271" s="44" t="s">
        <v>147</v>
      </c>
      <c r="E1271" s="44" t="s">
        <v>51</v>
      </c>
      <c r="G1271" s="44">
        <v>838</v>
      </c>
      <c r="H1271" s="44" t="s">
        <v>2537</v>
      </c>
    </row>
    <row r="1272" spans="1:8">
      <c r="A1272" s="31">
        <f>COUNTIF('BOM Atual ZPCS12'!F:F,B1272)+(1-(SUMIF(Invoice!$A:$A,$B1272,Invoice!$B:$B)/100000000000))</f>
        <v>1</v>
      </c>
      <c r="B1272" s="52" t="s">
        <v>3873</v>
      </c>
      <c r="C1272" s="44" t="s">
        <v>3874</v>
      </c>
      <c r="D1272" s="44" t="s">
        <v>147</v>
      </c>
      <c r="E1272" s="44" t="s">
        <v>51</v>
      </c>
      <c r="G1272" s="44">
        <v>839</v>
      </c>
      <c r="H1272" s="44" t="s">
        <v>2537</v>
      </c>
    </row>
    <row r="1273" spans="1:8">
      <c r="A1273" s="31">
        <f>COUNTIF('BOM Atual ZPCS12'!F:F,B1273)+(1-(SUMIF(Invoice!$A:$A,$B1273,Invoice!$B:$B)/100000000000))</f>
        <v>1</v>
      </c>
      <c r="B1273" s="52" t="s">
        <v>3875</v>
      </c>
      <c r="C1273" s="44" t="s">
        <v>3876</v>
      </c>
      <c r="D1273" s="44" t="s">
        <v>147</v>
      </c>
      <c r="E1273" s="44" t="s">
        <v>51</v>
      </c>
      <c r="G1273" s="44">
        <v>839</v>
      </c>
      <c r="H1273" s="44" t="s">
        <v>2537</v>
      </c>
    </row>
    <row r="1274" spans="1:8">
      <c r="A1274" s="31">
        <f>COUNTIF('BOM Atual ZPCS12'!F:F,B1274)+(1-(SUMIF(Invoice!$A:$A,$B1274,Invoice!$B:$B)/100000000000))</f>
        <v>1</v>
      </c>
      <c r="B1274" s="52" t="s">
        <v>3877</v>
      </c>
      <c r="C1274" s="44" t="s">
        <v>3878</v>
      </c>
      <c r="D1274" s="44" t="s">
        <v>147</v>
      </c>
      <c r="E1274" s="44" t="s">
        <v>51</v>
      </c>
      <c r="G1274" s="44">
        <v>839</v>
      </c>
      <c r="H1274" s="44" t="s">
        <v>2537</v>
      </c>
    </row>
    <row r="1275" spans="1:8">
      <c r="A1275" s="31">
        <f>COUNTIF('BOM Atual ZPCS12'!F:F,B1275)+(1-(SUMIF(Invoice!$A:$A,$B1275,Invoice!$B:$B)/100000000000))</f>
        <v>1</v>
      </c>
      <c r="B1275" s="52" t="s">
        <v>3879</v>
      </c>
      <c r="C1275" s="44" t="s">
        <v>3880</v>
      </c>
      <c r="D1275" s="44" t="s">
        <v>147</v>
      </c>
      <c r="E1275" s="44" t="s">
        <v>51</v>
      </c>
      <c r="G1275" s="44">
        <v>839</v>
      </c>
      <c r="H1275" s="44" t="s">
        <v>2537</v>
      </c>
    </row>
    <row r="1276" spans="1:8">
      <c r="A1276" s="31">
        <f>COUNTIF('BOM Atual ZPCS12'!F:F,B1276)+(1-(SUMIF(Invoice!$A:$A,$B1276,Invoice!$B:$B)/100000000000))</f>
        <v>2</v>
      </c>
      <c r="B1276" s="52" t="s">
        <v>819</v>
      </c>
      <c r="C1276" s="44" t="s">
        <v>3881</v>
      </c>
      <c r="D1276" s="44" t="s">
        <v>147</v>
      </c>
      <c r="E1276" s="44" t="s">
        <v>51</v>
      </c>
      <c r="G1276" s="44">
        <v>840</v>
      </c>
      <c r="H1276" s="44" t="s">
        <v>2537</v>
      </c>
    </row>
    <row r="1277" spans="1:8">
      <c r="A1277" s="31">
        <f>COUNTIF('BOM Atual ZPCS12'!F:F,B1277)+(1-(SUMIF(Invoice!$A:$A,$B1277,Invoice!$B:$B)/100000000000))</f>
        <v>1.9999997999999999</v>
      </c>
      <c r="B1277" s="52" t="s">
        <v>822</v>
      </c>
      <c r="C1277" s="44" t="s">
        <v>3882</v>
      </c>
      <c r="D1277" s="44" t="s">
        <v>147</v>
      </c>
      <c r="E1277" s="44" t="s">
        <v>51</v>
      </c>
      <c r="G1277" s="44">
        <v>840</v>
      </c>
      <c r="H1277" s="44" t="s">
        <v>2537</v>
      </c>
    </row>
    <row r="1278" spans="1:8">
      <c r="A1278" s="31">
        <f>COUNTIF('BOM Atual ZPCS12'!F:F,B1278)+(1-(SUMIF(Invoice!$A:$A,$B1278,Invoice!$B:$B)/100000000000))</f>
        <v>1</v>
      </c>
      <c r="B1278" s="52" t="s">
        <v>3883</v>
      </c>
      <c r="C1278" s="44" t="s">
        <v>3881</v>
      </c>
      <c r="D1278" s="44" t="s">
        <v>147</v>
      </c>
      <c r="E1278" s="44" t="s">
        <v>51</v>
      </c>
      <c r="G1278" s="44">
        <v>840</v>
      </c>
      <c r="H1278" s="44" t="s">
        <v>2537</v>
      </c>
    </row>
    <row r="1279" spans="1:8">
      <c r="A1279" s="31">
        <f>COUNTIF('BOM Atual ZPCS12'!F:F,B1279)+(1-(SUMIF(Invoice!$A:$A,$B1279,Invoice!$B:$B)/100000000000))</f>
        <v>2</v>
      </c>
      <c r="B1279" s="52" t="s">
        <v>824</v>
      </c>
      <c r="C1279" s="44" t="s">
        <v>825</v>
      </c>
      <c r="D1279" s="44" t="s">
        <v>147</v>
      </c>
      <c r="E1279" s="44" t="s">
        <v>51</v>
      </c>
      <c r="G1279" s="44">
        <v>840</v>
      </c>
      <c r="H1279" s="44" t="s">
        <v>2537</v>
      </c>
    </row>
    <row r="1280" spans="1:8">
      <c r="A1280" s="31">
        <f>COUNTIF('BOM Atual ZPCS12'!F:F,B1280)+(1-(SUMIF(Invoice!$A:$A,$B1280,Invoice!$B:$B)/100000000000))</f>
        <v>1</v>
      </c>
      <c r="B1280" s="52" t="s">
        <v>3884</v>
      </c>
      <c r="C1280" s="44" t="s">
        <v>3885</v>
      </c>
      <c r="D1280" s="44" t="s">
        <v>147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3886</v>
      </c>
      <c r="C1281" s="44" t="s">
        <v>3887</v>
      </c>
      <c r="D1281" s="44" t="s">
        <v>147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3888</v>
      </c>
      <c r="C1282" s="44" t="s">
        <v>3885</v>
      </c>
      <c r="D1282" s="44" t="s">
        <v>147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3889</v>
      </c>
      <c r="C1283" s="44" t="s">
        <v>3890</v>
      </c>
      <c r="D1283" s="44" t="s">
        <v>147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3891</v>
      </c>
      <c r="C1284" s="44" t="s">
        <v>3892</v>
      </c>
      <c r="D1284" s="44" t="s">
        <v>147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3893</v>
      </c>
      <c r="C1285" s="44" t="s">
        <v>3894</v>
      </c>
      <c r="D1285" s="44" t="s">
        <v>147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3895</v>
      </c>
      <c r="C1286" s="44" t="s">
        <v>3896</v>
      </c>
      <c r="D1286" s="44" t="s">
        <v>147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3897</v>
      </c>
      <c r="C1287" s="44" t="s">
        <v>3898</v>
      </c>
      <c r="D1287" s="44" t="s">
        <v>147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</v>
      </c>
      <c r="B1288" s="52" t="s">
        <v>3899</v>
      </c>
      <c r="C1288" s="44" t="s">
        <v>3900</v>
      </c>
      <c r="D1288" s="44" t="s">
        <v>147</v>
      </c>
      <c r="E1288" s="44" t="s">
        <v>51</v>
      </c>
      <c r="G1288" s="44">
        <v>843</v>
      </c>
      <c r="H1288" s="44" t="s">
        <v>2537</v>
      </c>
    </row>
    <row r="1289" spans="1:8">
      <c r="A1289" s="31">
        <f>COUNTIF('BOM Atual ZPCS12'!F:F,B1289)+(1-(SUMIF(Invoice!$A:$A,$B1289,Invoice!$B:$B)/100000000000))</f>
        <v>1</v>
      </c>
      <c r="B1289" s="52" t="s">
        <v>3901</v>
      </c>
      <c r="C1289" s="44" t="s">
        <v>3902</v>
      </c>
      <c r="D1289" s="44" t="s">
        <v>147</v>
      </c>
      <c r="E1289" s="44" t="s">
        <v>51</v>
      </c>
      <c r="G1289" s="44">
        <v>843</v>
      </c>
      <c r="H1289" s="44" t="s">
        <v>2537</v>
      </c>
    </row>
    <row r="1290" spans="1:8">
      <c r="A1290" s="31">
        <f>COUNTIF('BOM Atual ZPCS12'!F:F,B1290)+(1-(SUMIF(Invoice!$A:$A,$B1290,Invoice!$B:$B)/100000000000))</f>
        <v>1</v>
      </c>
      <c r="B1290" s="52" t="s">
        <v>3903</v>
      </c>
      <c r="C1290" s="44" t="s">
        <v>3904</v>
      </c>
      <c r="D1290" s="44" t="s">
        <v>147</v>
      </c>
      <c r="E1290" s="44" t="s">
        <v>51</v>
      </c>
      <c r="G1290" s="44">
        <v>843</v>
      </c>
      <c r="H1290" s="44" t="s">
        <v>2537</v>
      </c>
    </row>
    <row r="1291" spans="1:8">
      <c r="A1291" s="31">
        <f>COUNTIF('BOM Atual ZPCS12'!F:F,B1291)+(1-(SUMIF(Invoice!$A:$A,$B1291,Invoice!$B:$B)/100000000000))</f>
        <v>1</v>
      </c>
      <c r="B1291" s="52" t="s">
        <v>3905</v>
      </c>
      <c r="C1291" s="44" t="s">
        <v>3906</v>
      </c>
      <c r="D1291" s="44" t="s">
        <v>147</v>
      </c>
      <c r="E1291" s="44" t="s">
        <v>51</v>
      </c>
      <c r="G1291" s="44">
        <v>843</v>
      </c>
      <c r="H1291" s="44" t="s">
        <v>2537</v>
      </c>
    </row>
    <row r="1292" spans="1:8">
      <c r="A1292" s="31">
        <f>COUNTIF('BOM Atual ZPCS12'!F:F,B1292)+(1-(SUMIF(Invoice!$A:$A,$B1292,Invoice!$B:$B)/100000000000))</f>
        <v>1</v>
      </c>
      <c r="B1292" s="52" t="s">
        <v>3907</v>
      </c>
      <c r="C1292" s="44" t="s">
        <v>3908</v>
      </c>
      <c r="D1292" s="44" t="s">
        <v>147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1</v>
      </c>
      <c r="B1293" s="52" t="s">
        <v>3909</v>
      </c>
      <c r="C1293" s="44" t="s">
        <v>3910</v>
      </c>
      <c r="D1293" s="44" t="s">
        <v>147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1</v>
      </c>
      <c r="B1294" s="52" t="s">
        <v>3911</v>
      </c>
      <c r="C1294" s="44" t="s">
        <v>3912</v>
      </c>
      <c r="D1294" s="44" t="s">
        <v>147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1</v>
      </c>
      <c r="B1295" s="52" t="s">
        <v>3913</v>
      </c>
      <c r="C1295" s="44" t="s">
        <v>3914</v>
      </c>
      <c r="D1295" s="44" t="s">
        <v>147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1</v>
      </c>
      <c r="B1296" s="52" t="s">
        <v>3915</v>
      </c>
      <c r="C1296" s="44" t="s">
        <v>3916</v>
      </c>
      <c r="D1296" s="44" t="s">
        <v>147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</v>
      </c>
      <c r="B1297" s="52" t="s">
        <v>3917</v>
      </c>
      <c r="C1297" s="44" t="s">
        <v>3918</v>
      </c>
      <c r="D1297" s="44" t="s">
        <v>147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1</v>
      </c>
      <c r="B1298" s="52" t="s">
        <v>3919</v>
      </c>
      <c r="C1298" s="44" t="s">
        <v>3920</v>
      </c>
      <c r="D1298" s="44" t="s">
        <v>147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1</v>
      </c>
      <c r="B1299" s="52" t="s">
        <v>3921</v>
      </c>
      <c r="C1299" s="44" t="s">
        <v>3922</v>
      </c>
      <c r="D1299" s="44" t="s">
        <v>147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924</v>
      </c>
      <c r="C1300" s="44" t="s">
        <v>3923</v>
      </c>
      <c r="D1300" s="44" t="s">
        <v>147</v>
      </c>
      <c r="E1300" s="44" t="s">
        <v>51</v>
      </c>
      <c r="G1300" s="44">
        <v>846</v>
      </c>
      <c r="H1300" s="44" t="s">
        <v>2537</v>
      </c>
    </row>
    <row r="1301" spans="1:8">
      <c r="A1301" s="31">
        <f>COUNTIF('BOM Atual ZPCS12'!F:F,B1301)+(1-(SUMIF(Invoice!$A:$A,$B1301,Invoice!$B:$B)/100000000000))</f>
        <v>2</v>
      </c>
      <c r="B1301" s="52" t="s">
        <v>927</v>
      </c>
      <c r="C1301" s="44" t="s">
        <v>3924</v>
      </c>
      <c r="D1301" s="44" t="s">
        <v>147</v>
      </c>
      <c r="E1301" s="44" t="s">
        <v>51</v>
      </c>
      <c r="G1301" s="44">
        <v>846</v>
      </c>
      <c r="H1301" s="44" t="s">
        <v>2537</v>
      </c>
    </row>
    <row r="1302" spans="1:8">
      <c r="A1302" s="31">
        <f>COUNTIF('BOM Atual ZPCS12'!F:F,B1302)+(1-(SUMIF(Invoice!$A:$A,$B1302,Invoice!$B:$B)/100000000000))</f>
        <v>1</v>
      </c>
      <c r="B1302" s="52" t="s">
        <v>3925</v>
      </c>
      <c r="C1302" s="44" t="s">
        <v>3923</v>
      </c>
      <c r="D1302" s="44" t="s">
        <v>147</v>
      </c>
      <c r="E1302" s="44" t="s">
        <v>51</v>
      </c>
      <c r="G1302" s="44">
        <v>846</v>
      </c>
      <c r="H1302" s="44" t="s">
        <v>2537</v>
      </c>
    </row>
    <row r="1303" spans="1:8">
      <c r="A1303" s="31">
        <f>COUNTIF('BOM Atual ZPCS12'!F:F,B1303)+(1-(SUMIF(Invoice!$A:$A,$B1303,Invoice!$B:$B)/100000000000))</f>
        <v>2</v>
      </c>
      <c r="B1303" s="52" t="s">
        <v>929</v>
      </c>
      <c r="C1303" s="44" t="s">
        <v>930</v>
      </c>
      <c r="D1303" s="44" t="s">
        <v>147</v>
      </c>
      <c r="E1303" s="44" t="s">
        <v>51</v>
      </c>
      <c r="G1303" s="44">
        <v>846</v>
      </c>
      <c r="H1303" s="44" t="s">
        <v>2537</v>
      </c>
    </row>
    <row r="1304" spans="1:8">
      <c r="A1304" s="31">
        <f>COUNTIF('BOM Atual ZPCS12'!F:F,B1304)+(1-(SUMIF(Invoice!$A:$A,$B1304,Invoice!$B:$B)/100000000000))</f>
        <v>2</v>
      </c>
      <c r="B1304" s="52" t="s">
        <v>931</v>
      </c>
      <c r="C1304" s="44" t="s">
        <v>932</v>
      </c>
      <c r="D1304" s="44" t="s">
        <v>147</v>
      </c>
      <c r="E1304" s="44" t="s">
        <v>51</v>
      </c>
      <c r="G1304" s="44">
        <v>847</v>
      </c>
      <c r="H1304" s="44" t="s">
        <v>2537</v>
      </c>
    </row>
    <row r="1305" spans="1:8">
      <c r="A1305" s="31">
        <f>COUNTIF('BOM Atual ZPCS12'!F:F,B1305)+(1-(SUMIF(Invoice!$A:$A,$B1305,Invoice!$B:$B)/100000000000))</f>
        <v>1.9999999000000002</v>
      </c>
      <c r="B1305" s="52" t="s">
        <v>934</v>
      </c>
      <c r="C1305" s="44" t="s">
        <v>3926</v>
      </c>
      <c r="D1305" s="44" t="s">
        <v>147</v>
      </c>
      <c r="E1305" s="44" t="s">
        <v>51</v>
      </c>
      <c r="G1305" s="44">
        <v>847</v>
      </c>
      <c r="H1305" s="44" t="s">
        <v>2537</v>
      </c>
    </row>
    <row r="1306" spans="1:8">
      <c r="A1306" s="31">
        <f>COUNTIF('BOM Atual ZPCS12'!F:F,B1306)+(1-(SUMIF(Invoice!$A:$A,$B1306,Invoice!$B:$B)/100000000000))</f>
        <v>2</v>
      </c>
      <c r="B1306" s="52" t="s">
        <v>936</v>
      </c>
      <c r="C1306" s="44" t="s">
        <v>937</v>
      </c>
      <c r="D1306" s="44" t="s">
        <v>147</v>
      </c>
      <c r="E1306" s="44" t="s">
        <v>51</v>
      </c>
      <c r="G1306" s="44">
        <v>847</v>
      </c>
      <c r="H1306" s="44" t="s">
        <v>2537</v>
      </c>
    </row>
    <row r="1307" spans="1:8">
      <c r="A1307" s="31">
        <f>COUNTIF('BOM Atual ZPCS12'!F:F,B1307)+(1-(SUMIF(Invoice!$A:$A,$B1307,Invoice!$B:$B)/100000000000))</f>
        <v>1</v>
      </c>
      <c r="B1307" s="52" t="s">
        <v>3927</v>
      </c>
      <c r="C1307" s="44" t="s">
        <v>3928</v>
      </c>
      <c r="D1307" s="44" t="s">
        <v>147</v>
      </c>
      <c r="E1307" s="44" t="s">
        <v>51</v>
      </c>
      <c r="G1307" s="44">
        <v>847</v>
      </c>
      <c r="H1307" s="44" t="s">
        <v>2537</v>
      </c>
    </row>
    <row r="1308" spans="1:8">
      <c r="A1308" s="31">
        <f>COUNTIF('BOM Atual ZPCS12'!F:F,B1308)+(1-(SUMIF(Invoice!$A:$A,$B1308,Invoice!$B:$B)/100000000000))</f>
        <v>1</v>
      </c>
      <c r="B1308" s="52" t="s">
        <v>3929</v>
      </c>
      <c r="C1308" s="44" t="s">
        <v>3930</v>
      </c>
      <c r="D1308" s="44" t="s">
        <v>147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3931</v>
      </c>
      <c r="C1309" s="44" t="s">
        <v>3932</v>
      </c>
      <c r="D1309" s="44" t="s">
        <v>147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3933</v>
      </c>
      <c r="C1310" s="44" t="s">
        <v>3930</v>
      </c>
      <c r="D1310" s="44" t="s">
        <v>147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3934</v>
      </c>
      <c r="C1311" s="44" t="s">
        <v>3935</v>
      </c>
      <c r="D1311" s="44" t="s">
        <v>147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3936</v>
      </c>
      <c r="C1312" s="44" t="s">
        <v>3937</v>
      </c>
      <c r="D1312" s="44" t="s">
        <v>147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3938</v>
      </c>
      <c r="C1313" s="44" t="s">
        <v>3939</v>
      </c>
      <c r="D1313" s="44" t="s">
        <v>147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3940</v>
      </c>
      <c r="C1314" s="44" t="s">
        <v>3941</v>
      </c>
      <c r="D1314" s="44" t="s">
        <v>147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3942</v>
      </c>
      <c r="C1315" s="44" t="s">
        <v>3943</v>
      </c>
      <c r="D1315" s="44" t="s">
        <v>147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</v>
      </c>
      <c r="B1316" s="52" t="s">
        <v>3944</v>
      </c>
      <c r="C1316" s="44" t="s">
        <v>3945</v>
      </c>
      <c r="D1316" s="44" t="s">
        <v>147</v>
      </c>
      <c r="E1316" s="44" t="s">
        <v>51</v>
      </c>
      <c r="G1316" s="44">
        <v>850</v>
      </c>
      <c r="H1316" s="44" t="s">
        <v>2537</v>
      </c>
    </row>
    <row r="1317" spans="1:8">
      <c r="A1317" s="31">
        <f>COUNTIF('BOM Atual ZPCS12'!F:F,B1317)+(1-(SUMIF(Invoice!$A:$A,$B1317,Invoice!$B:$B)/100000000000))</f>
        <v>1</v>
      </c>
      <c r="B1317" s="52" t="s">
        <v>3946</v>
      </c>
      <c r="C1317" s="44" t="s">
        <v>3947</v>
      </c>
      <c r="D1317" s="44" t="s">
        <v>147</v>
      </c>
      <c r="E1317" s="44" t="s">
        <v>51</v>
      </c>
      <c r="G1317" s="44">
        <v>850</v>
      </c>
      <c r="H1317" s="44" t="s">
        <v>2537</v>
      </c>
    </row>
    <row r="1318" spans="1:8">
      <c r="A1318" s="31">
        <f>COUNTIF('BOM Atual ZPCS12'!F:F,B1318)+(1-(SUMIF(Invoice!$A:$A,$B1318,Invoice!$B:$B)/100000000000))</f>
        <v>1</v>
      </c>
      <c r="B1318" s="52" t="s">
        <v>3948</v>
      </c>
      <c r="C1318" s="44" t="s">
        <v>3949</v>
      </c>
      <c r="D1318" s="44" t="s">
        <v>147</v>
      </c>
      <c r="E1318" s="44" t="s">
        <v>51</v>
      </c>
      <c r="G1318" s="44">
        <v>850</v>
      </c>
      <c r="H1318" s="44" t="s">
        <v>2537</v>
      </c>
    </row>
    <row r="1319" spans="1:8">
      <c r="A1319" s="31">
        <f>COUNTIF('BOM Atual ZPCS12'!F:F,B1319)+(1-(SUMIF(Invoice!$A:$A,$B1319,Invoice!$B:$B)/100000000000))</f>
        <v>1</v>
      </c>
      <c r="B1319" s="52" t="s">
        <v>3950</v>
      </c>
      <c r="C1319" s="44" t="s">
        <v>3951</v>
      </c>
      <c r="D1319" s="44" t="s">
        <v>147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3952</v>
      </c>
      <c r="C1320" s="44" t="s">
        <v>3953</v>
      </c>
      <c r="D1320" s="44" t="s">
        <v>147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3954</v>
      </c>
      <c r="C1321" s="44" t="s">
        <v>3951</v>
      </c>
      <c r="D1321" s="44" t="s">
        <v>147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3955</v>
      </c>
      <c r="C1322" s="44" t="s">
        <v>3956</v>
      </c>
      <c r="D1322" s="44" t="s">
        <v>147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3957</v>
      </c>
      <c r="C1323" s="44" t="s">
        <v>3958</v>
      </c>
      <c r="D1323" s="44" t="s">
        <v>147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3959</v>
      </c>
      <c r="C1324" s="44" t="s">
        <v>3960</v>
      </c>
      <c r="D1324" s="44" t="s">
        <v>147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3961</v>
      </c>
      <c r="C1325" s="44" t="s">
        <v>3958</v>
      </c>
      <c r="D1325" s="44" t="s">
        <v>147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3962</v>
      </c>
      <c r="C1326" s="44" t="s">
        <v>3963</v>
      </c>
      <c r="D1326" s="44" t="s">
        <v>147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3964</v>
      </c>
      <c r="C1327" s="44" t="s">
        <v>3965</v>
      </c>
      <c r="D1327" s="44" t="s">
        <v>147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3966</v>
      </c>
      <c r="C1328" s="44" t="s">
        <v>3967</v>
      </c>
      <c r="D1328" s="44" t="s">
        <v>147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3968</v>
      </c>
      <c r="C1329" s="44" t="s">
        <v>3965</v>
      </c>
      <c r="D1329" s="44" t="s">
        <v>147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3969</v>
      </c>
      <c r="C1330" s="44" t="s">
        <v>3970</v>
      </c>
      <c r="D1330" s="44" t="s">
        <v>147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1</v>
      </c>
      <c r="B1331" s="52" t="s">
        <v>3971</v>
      </c>
      <c r="C1331" s="44" t="s">
        <v>3972</v>
      </c>
      <c r="D1331" s="44" t="s">
        <v>147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</v>
      </c>
      <c r="B1332" s="52" t="s">
        <v>3973</v>
      </c>
      <c r="C1332" s="44" t="s">
        <v>3974</v>
      </c>
      <c r="D1332" s="44" t="s">
        <v>147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1</v>
      </c>
      <c r="B1333" s="52" t="s">
        <v>3975</v>
      </c>
      <c r="C1333" s="44" t="s">
        <v>3972</v>
      </c>
      <c r="D1333" s="44" t="s">
        <v>147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1</v>
      </c>
      <c r="B1334" s="52" t="s">
        <v>3976</v>
      </c>
      <c r="C1334" s="44" t="s">
        <v>3977</v>
      </c>
      <c r="D1334" s="44" t="s">
        <v>147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1</v>
      </c>
      <c r="B1335" s="52" t="s">
        <v>3978</v>
      </c>
      <c r="C1335" s="44" t="s">
        <v>3979</v>
      </c>
      <c r="D1335" s="44" t="s">
        <v>147</v>
      </c>
      <c r="E1335" s="44" t="s">
        <v>51</v>
      </c>
      <c r="G1335" s="44">
        <v>855</v>
      </c>
      <c r="H1335" s="44" t="s">
        <v>2537</v>
      </c>
    </row>
    <row r="1336" spans="1:8">
      <c r="A1336" s="31">
        <f>COUNTIF('BOM Atual ZPCS12'!F:F,B1336)+(1-(SUMIF(Invoice!$A:$A,$B1336,Invoice!$B:$B)/100000000000))</f>
        <v>1</v>
      </c>
      <c r="B1336" s="52" t="s">
        <v>3980</v>
      </c>
      <c r="C1336" s="44" t="s">
        <v>3979</v>
      </c>
      <c r="D1336" s="44" t="s">
        <v>147</v>
      </c>
      <c r="E1336" s="44" t="s">
        <v>51</v>
      </c>
      <c r="G1336" s="44">
        <v>855</v>
      </c>
      <c r="H1336" s="44" t="s">
        <v>2537</v>
      </c>
    </row>
    <row r="1337" spans="1:8">
      <c r="A1337" s="31">
        <f>COUNTIF('BOM Atual ZPCS12'!F:F,B1337)+(1-(SUMIF(Invoice!$A:$A,$B1337,Invoice!$B:$B)/100000000000))</f>
        <v>1</v>
      </c>
      <c r="B1337" s="52" t="s">
        <v>3981</v>
      </c>
      <c r="C1337" s="44" t="s">
        <v>3982</v>
      </c>
      <c r="D1337" s="44" t="s">
        <v>147</v>
      </c>
      <c r="E1337" s="44" t="s">
        <v>51</v>
      </c>
      <c r="G1337" s="44">
        <v>855</v>
      </c>
      <c r="H1337" s="44" t="s">
        <v>2537</v>
      </c>
    </row>
    <row r="1338" spans="1:8">
      <c r="A1338" s="31">
        <f>COUNTIF('BOM Atual ZPCS12'!F:F,B1338)+(1-(SUMIF(Invoice!$A:$A,$B1338,Invoice!$B:$B)/100000000000))</f>
        <v>1</v>
      </c>
      <c r="B1338" s="52" t="s">
        <v>3983</v>
      </c>
      <c r="C1338" s="44" t="s">
        <v>3984</v>
      </c>
      <c r="D1338" s="44" t="s">
        <v>147</v>
      </c>
      <c r="E1338" s="44" t="s">
        <v>51</v>
      </c>
      <c r="G1338" s="44">
        <v>855</v>
      </c>
      <c r="H1338" s="44" t="s">
        <v>2537</v>
      </c>
    </row>
    <row r="1339" spans="1:8">
      <c r="A1339" s="31">
        <f>COUNTIF('BOM Atual ZPCS12'!F:F,B1339)+(1-(SUMIF(Invoice!$A:$A,$B1339,Invoice!$B:$B)/100000000000))</f>
        <v>1</v>
      </c>
      <c r="B1339" s="52" t="s">
        <v>3985</v>
      </c>
      <c r="C1339" s="44" t="s">
        <v>3986</v>
      </c>
      <c r="D1339" s="44" t="s">
        <v>147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3987</v>
      </c>
      <c r="C1340" s="44" t="s">
        <v>3988</v>
      </c>
      <c r="D1340" s="44" t="s">
        <v>147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3989</v>
      </c>
      <c r="C1341" s="44" t="s">
        <v>3990</v>
      </c>
      <c r="D1341" s="44" t="s">
        <v>147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3991</v>
      </c>
      <c r="C1342" s="44" t="s">
        <v>3992</v>
      </c>
      <c r="D1342" s="44" t="s">
        <v>147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1</v>
      </c>
      <c r="B1343" s="52" t="s">
        <v>3993</v>
      </c>
      <c r="C1343" s="44" t="s">
        <v>3994</v>
      </c>
      <c r="D1343" s="44" t="s">
        <v>147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</v>
      </c>
      <c r="B1344" s="52" t="s">
        <v>3995</v>
      </c>
      <c r="C1344" s="44" t="s">
        <v>3996</v>
      </c>
      <c r="D1344" s="44" t="s">
        <v>147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1</v>
      </c>
      <c r="B1345" s="52" t="s">
        <v>3997</v>
      </c>
      <c r="C1345" s="44" t="s">
        <v>3998</v>
      </c>
      <c r="D1345" s="44" t="s">
        <v>147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1</v>
      </c>
      <c r="B1346" s="52" t="s">
        <v>3999</v>
      </c>
      <c r="C1346" s="44" t="s">
        <v>4000</v>
      </c>
      <c r="D1346" s="44" t="s">
        <v>147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</v>
      </c>
      <c r="B1347" s="52" t="s">
        <v>4001</v>
      </c>
      <c r="C1347" s="44" t="s">
        <v>4002</v>
      </c>
      <c r="D1347" s="44" t="s">
        <v>147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1</v>
      </c>
      <c r="B1348" s="52" t="s">
        <v>4003</v>
      </c>
      <c r="C1348" s="44" t="s">
        <v>4004</v>
      </c>
      <c r="D1348" s="44" t="s">
        <v>147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1</v>
      </c>
      <c r="B1349" s="52" t="s">
        <v>4005</v>
      </c>
      <c r="C1349" s="44" t="s">
        <v>4002</v>
      </c>
      <c r="D1349" s="44" t="s">
        <v>147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1</v>
      </c>
      <c r="B1350" s="52" t="s">
        <v>4006</v>
      </c>
      <c r="C1350" s="44" t="s">
        <v>4007</v>
      </c>
      <c r="D1350" s="44" t="s">
        <v>147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4008</v>
      </c>
      <c r="C1351" s="44" t="s">
        <v>4009</v>
      </c>
      <c r="D1351" s="44" t="s">
        <v>147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4010</v>
      </c>
      <c r="C1352" s="44" t="s">
        <v>4011</v>
      </c>
      <c r="D1352" s="44" t="s">
        <v>147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4012</v>
      </c>
      <c r="C1353" s="44" t="s">
        <v>4013</v>
      </c>
      <c r="D1353" s="44" t="s">
        <v>147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4014</v>
      </c>
      <c r="C1354" s="44" t="s">
        <v>4015</v>
      </c>
      <c r="D1354" s="44" t="s">
        <v>147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4016</v>
      </c>
      <c r="C1355" s="44" t="s">
        <v>4017</v>
      </c>
      <c r="D1355" s="44" t="s">
        <v>147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4018</v>
      </c>
      <c r="C1356" s="44" t="s">
        <v>4019</v>
      </c>
      <c r="D1356" s="44" t="s">
        <v>147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4020</v>
      </c>
      <c r="C1357" s="44" t="s">
        <v>4021</v>
      </c>
      <c r="D1357" s="44" t="s">
        <v>147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4022</v>
      </c>
      <c r="C1358" s="44" t="s">
        <v>4023</v>
      </c>
      <c r="D1358" s="44" t="s">
        <v>147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</v>
      </c>
      <c r="B1359" s="52" t="s">
        <v>4024</v>
      </c>
      <c r="C1359" s="44" t="s">
        <v>4025</v>
      </c>
      <c r="D1359" s="44" t="s">
        <v>147</v>
      </c>
      <c r="E1359" s="44" t="s">
        <v>51</v>
      </c>
      <c r="G1359" s="44">
        <v>861</v>
      </c>
      <c r="H1359" s="44" t="s">
        <v>2537</v>
      </c>
    </row>
    <row r="1360" spans="1:8">
      <c r="A1360" s="31">
        <f>COUNTIF('BOM Atual ZPCS12'!F:F,B1360)+(1-(SUMIF(Invoice!$A:$A,$B1360,Invoice!$B:$B)/100000000000))</f>
        <v>1</v>
      </c>
      <c r="B1360" s="52" t="s">
        <v>4026</v>
      </c>
      <c r="C1360" s="44" t="s">
        <v>4025</v>
      </c>
      <c r="D1360" s="44" t="s">
        <v>147</v>
      </c>
      <c r="E1360" s="44" t="s">
        <v>51</v>
      </c>
      <c r="G1360" s="44">
        <v>861</v>
      </c>
      <c r="H1360" s="44" t="s">
        <v>2537</v>
      </c>
    </row>
    <row r="1361" spans="1:8">
      <c r="A1361" s="31">
        <f>COUNTIF('BOM Atual ZPCS12'!F:F,B1361)+(1-(SUMIF(Invoice!$A:$A,$B1361,Invoice!$B:$B)/100000000000))</f>
        <v>1</v>
      </c>
      <c r="B1361" s="52" t="s">
        <v>4027</v>
      </c>
      <c r="C1361" s="44" t="s">
        <v>4025</v>
      </c>
      <c r="D1361" s="44" t="s">
        <v>147</v>
      </c>
      <c r="E1361" s="44" t="s">
        <v>51</v>
      </c>
      <c r="G1361" s="44">
        <v>861</v>
      </c>
      <c r="H1361" s="44" t="s">
        <v>2537</v>
      </c>
    </row>
    <row r="1362" spans="1:8">
      <c r="A1362" s="31">
        <f>COUNTIF('BOM Atual ZPCS12'!F:F,B1362)+(1-(SUMIF(Invoice!$A:$A,$B1362,Invoice!$B:$B)/100000000000))</f>
        <v>1</v>
      </c>
      <c r="B1362" s="52" t="s">
        <v>4028</v>
      </c>
      <c r="C1362" s="44" t="s">
        <v>4029</v>
      </c>
      <c r="D1362" s="44" t="s">
        <v>147</v>
      </c>
      <c r="E1362" s="44" t="s">
        <v>51</v>
      </c>
      <c r="G1362" s="44">
        <v>861</v>
      </c>
      <c r="H1362" s="44" t="s">
        <v>2537</v>
      </c>
    </row>
    <row r="1363" spans="1:8">
      <c r="A1363" s="31">
        <f>COUNTIF('BOM Atual ZPCS12'!F:F,B1363)+(1-(SUMIF(Invoice!$A:$A,$B1363,Invoice!$B:$B)/100000000000))</f>
        <v>1</v>
      </c>
      <c r="B1363" s="52" t="s">
        <v>4030</v>
      </c>
      <c r="C1363" s="44" t="s">
        <v>4031</v>
      </c>
      <c r="D1363" s="44" t="s">
        <v>147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</v>
      </c>
      <c r="B1364" s="52" t="s">
        <v>4032</v>
      </c>
      <c r="C1364" s="44" t="s">
        <v>4031</v>
      </c>
      <c r="D1364" s="44" t="s">
        <v>147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1</v>
      </c>
      <c r="B1365" s="52" t="s">
        <v>4033</v>
      </c>
      <c r="C1365" s="44" t="s">
        <v>4034</v>
      </c>
      <c r="D1365" s="44" t="s">
        <v>147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1</v>
      </c>
      <c r="B1366" s="52" t="s">
        <v>4035</v>
      </c>
      <c r="C1366" s="44" t="s">
        <v>4036</v>
      </c>
      <c r="D1366" s="44" t="s">
        <v>147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1</v>
      </c>
      <c r="B1367" s="52" t="s">
        <v>4037</v>
      </c>
      <c r="C1367" s="44" t="s">
        <v>4038</v>
      </c>
      <c r="D1367" s="44" t="s">
        <v>147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1</v>
      </c>
      <c r="B1368" s="52" t="s">
        <v>4039</v>
      </c>
      <c r="C1368" s="44" t="s">
        <v>4040</v>
      </c>
      <c r="D1368" s="44" t="s">
        <v>147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1</v>
      </c>
      <c r="B1369" s="52" t="s">
        <v>4041</v>
      </c>
      <c r="C1369" s="44" t="s">
        <v>4038</v>
      </c>
      <c r="D1369" s="44" t="s">
        <v>147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</v>
      </c>
      <c r="B1370" s="52" t="s">
        <v>4042</v>
      </c>
      <c r="C1370" s="44" t="s">
        <v>4043</v>
      </c>
      <c r="D1370" s="44" t="s">
        <v>147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4044</v>
      </c>
      <c r="C1371" s="44" t="s">
        <v>4045</v>
      </c>
      <c r="D1371" s="44" t="s">
        <v>147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4046</v>
      </c>
      <c r="C1372" s="44" t="s">
        <v>4047</v>
      </c>
      <c r="D1372" s="44" t="s">
        <v>147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4048</v>
      </c>
      <c r="C1373" s="44" t="s">
        <v>4049</v>
      </c>
      <c r="D1373" s="44" t="s">
        <v>147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4050</v>
      </c>
      <c r="C1374" s="44" t="s">
        <v>4051</v>
      </c>
      <c r="D1374" s="44" t="s">
        <v>147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1</v>
      </c>
      <c r="B1375" s="52" t="s">
        <v>4052</v>
      </c>
      <c r="C1375" s="44" t="s">
        <v>4053</v>
      </c>
      <c r="D1375" s="44" t="s">
        <v>147</v>
      </c>
      <c r="E1375" s="44" t="s">
        <v>51</v>
      </c>
      <c r="G1375" s="44">
        <v>865</v>
      </c>
      <c r="H1375" s="44" t="s">
        <v>2537</v>
      </c>
    </row>
    <row r="1376" spans="1:8">
      <c r="A1376" s="31">
        <f>COUNTIF('BOM Atual ZPCS12'!F:F,B1376)+(1-(SUMIF(Invoice!$A:$A,$B1376,Invoice!$B:$B)/100000000000))</f>
        <v>1</v>
      </c>
      <c r="B1376" s="52" t="s">
        <v>4054</v>
      </c>
      <c r="C1376" s="44" t="s">
        <v>4055</v>
      </c>
      <c r="D1376" s="44" t="s">
        <v>147</v>
      </c>
      <c r="E1376" s="44" t="s">
        <v>51</v>
      </c>
      <c r="G1376" s="44">
        <v>865</v>
      </c>
      <c r="H1376" s="44" t="s">
        <v>2537</v>
      </c>
    </row>
    <row r="1377" spans="1:8">
      <c r="A1377" s="31">
        <f>COUNTIF('BOM Atual ZPCS12'!F:F,B1377)+(1-(SUMIF(Invoice!$A:$A,$B1377,Invoice!$B:$B)/100000000000))</f>
        <v>1</v>
      </c>
      <c r="B1377" s="52" t="s">
        <v>4056</v>
      </c>
      <c r="C1377" s="44" t="s">
        <v>4057</v>
      </c>
      <c r="D1377" s="44" t="s">
        <v>147</v>
      </c>
      <c r="E1377" s="44" t="s">
        <v>51</v>
      </c>
      <c r="G1377" s="44">
        <v>865</v>
      </c>
      <c r="H1377" s="44" t="s">
        <v>2537</v>
      </c>
    </row>
    <row r="1378" spans="1:8">
      <c r="A1378" s="31">
        <f>COUNTIF('BOM Atual ZPCS12'!F:F,B1378)+(1-(SUMIF(Invoice!$A:$A,$B1378,Invoice!$B:$B)/100000000000))</f>
        <v>1</v>
      </c>
      <c r="B1378" s="52" t="s">
        <v>4058</v>
      </c>
      <c r="C1378" s="44" t="s">
        <v>4059</v>
      </c>
      <c r="D1378" s="44" t="s">
        <v>147</v>
      </c>
      <c r="E1378" s="44" t="s">
        <v>51</v>
      </c>
      <c r="G1378" s="44">
        <v>865</v>
      </c>
      <c r="H1378" s="44" t="s">
        <v>2537</v>
      </c>
    </row>
    <row r="1379" spans="1:8">
      <c r="A1379" s="31">
        <f>COUNTIF('BOM Atual ZPCS12'!F:F,B1379)+(1-(SUMIF(Invoice!$A:$A,$B1379,Invoice!$B:$B)/100000000000))</f>
        <v>1</v>
      </c>
      <c r="B1379" s="52" t="s">
        <v>4060</v>
      </c>
      <c r="C1379" s="44" t="s">
        <v>4061</v>
      </c>
      <c r="D1379" s="44" t="s">
        <v>147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4062</v>
      </c>
      <c r="C1380" s="44" t="s">
        <v>4063</v>
      </c>
      <c r="D1380" s="44" t="s">
        <v>147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4064</v>
      </c>
      <c r="C1381" s="44" t="s">
        <v>4061</v>
      </c>
      <c r="D1381" s="44" t="s">
        <v>147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4065</v>
      </c>
      <c r="C1382" s="44" t="s">
        <v>4066</v>
      </c>
      <c r="D1382" s="44" t="s">
        <v>147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1</v>
      </c>
      <c r="B1383" s="52" t="s">
        <v>4067</v>
      </c>
      <c r="C1383" s="44" t="s">
        <v>4068</v>
      </c>
      <c r="D1383" s="44" t="s">
        <v>147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</v>
      </c>
      <c r="B1384" s="52" t="s">
        <v>4069</v>
      </c>
      <c r="C1384" s="44" t="s">
        <v>4070</v>
      </c>
      <c r="D1384" s="44" t="s">
        <v>147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1</v>
      </c>
      <c r="B1385" s="52" t="s">
        <v>4071</v>
      </c>
      <c r="C1385" s="44" t="s">
        <v>4068</v>
      </c>
      <c r="D1385" s="44" t="s">
        <v>147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1</v>
      </c>
      <c r="B1386" s="52" t="s">
        <v>4072</v>
      </c>
      <c r="C1386" s="44" t="s">
        <v>4073</v>
      </c>
      <c r="D1386" s="44" t="s">
        <v>147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</v>
      </c>
      <c r="B1387" s="52" t="s">
        <v>4074</v>
      </c>
      <c r="C1387" s="44" t="s">
        <v>4075</v>
      </c>
      <c r="D1387" s="44" t="s">
        <v>147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1</v>
      </c>
      <c r="B1388" s="52" t="s">
        <v>4076</v>
      </c>
      <c r="C1388" s="44" t="s">
        <v>4077</v>
      </c>
      <c r="D1388" s="44" t="s">
        <v>147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1</v>
      </c>
      <c r="B1389" s="52" t="s">
        <v>4078</v>
      </c>
      <c r="C1389" s="44" t="s">
        <v>4079</v>
      </c>
      <c r="D1389" s="44" t="s">
        <v>147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1</v>
      </c>
      <c r="B1390" s="52" t="s">
        <v>4080</v>
      </c>
      <c r="C1390" s="44" t="s">
        <v>4081</v>
      </c>
      <c r="D1390" s="44" t="s">
        <v>147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4082</v>
      </c>
      <c r="C1391" s="44" t="s">
        <v>4083</v>
      </c>
      <c r="D1391" s="44" t="s">
        <v>147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4084</v>
      </c>
      <c r="C1392" s="44" t="s">
        <v>4085</v>
      </c>
      <c r="D1392" s="44" t="s">
        <v>147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4086</v>
      </c>
      <c r="C1393" s="44" t="s">
        <v>4087</v>
      </c>
      <c r="D1393" s="44" t="s">
        <v>147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4088</v>
      </c>
      <c r="C1394" s="44" t="s">
        <v>4089</v>
      </c>
      <c r="D1394" s="44" t="s">
        <v>147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</v>
      </c>
      <c r="B1395" s="52" t="s">
        <v>4090</v>
      </c>
      <c r="C1395" s="44" t="s">
        <v>4091</v>
      </c>
      <c r="D1395" s="44" t="s">
        <v>147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1</v>
      </c>
      <c r="B1396" s="52" t="s">
        <v>4092</v>
      </c>
      <c r="C1396" s="44" t="s">
        <v>4093</v>
      </c>
      <c r="D1396" s="44" t="s">
        <v>147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1</v>
      </c>
      <c r="B1397" s="52" t="s">
        <v>4094</v>
      </c>
      <c r="C1397" s="44" t="s">
        <v>4091</v>
      </c>
      <c r="D1397" s="44" t="s">
        <v>147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1</v>
      </c>
      <c r="B1398" s="52" t="s">
        <v>4095</v>
      </c>
      <c r="C1398" s="44" t="s">
        <v>4096</v>
      </c>
      <c r="D1398" s="44" t="s">
        <v>147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4097</v>
      </c>
      <c r="C1399" s="44" t="s">
        <v>4098</v>
      </c>
      <c r="D1399" s="44" t="s">
        <v>147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4099</v>
      </c>
      <c r="C1400" s="44" t="s">
        <v>4100</v>
      </c>
      <c r="D1400" s="44" t="s">
        <v>147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4101</v>
      </c>
      <c r="C1401" s="44" t="s">
        <v>4102</v>
      </c>
      <c r="D1401" s="44" t="s">
        <v>147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4103</v>
      </c>
      <c r="C1402" s="44" t="s">
        <v>4104</v>
      </c>
      <c r="D1402" s="44" t="s">
        <v>147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1.9999997999999999</v>
      </c>
      <c r="B1403" s="52" t="s">
        <v>1242</v>
      </c>
      <c r="C1403" s="44" t="s">
        <v>4105</v>
      </c>
      <c r="D1403" s="44" t="s">
        <v>147</v>
      </c>
      <c r="E1403" s="44" t="s">
        <v>51</v>
      </c>
      <c r="G1403" s="44">
        <v>872</v>
      </c>
      <c r="H1403" s="44" t="s">
        <v>2537</v>
      </c>
    </row>
    <row r="1404" spans="1:8">
      <c r="A1404" s="31">
        <f>COUNTIF('BOM Atual ZPCS12'!F:F,B1404)+(1-(SUMIF(Invoice!$A:$A,$B1404,Invoice!$B:$B)/100000000000))</f>
        <v>2</v>
      </c>
      <c r="B1404" s="52" t="s">
        <v>1245</v>
      </c>
      <c r="C1404" s="44" t="s">
        <v>4106</v>
      </c>
      <c r="D1404" s="44" t="s">
        <v>147</v>
      </c>
      <c r="E1404" s="44" t="s">
        <v>51</v>
      </c>
      <c r="G1404" s="44">
        <v>872</v>
      </c>
      <c r="H1404" s="44" t="s">
        <v>2537</v>
      </c>
    </row>
    <row r="1405" spans="1:8">
      <c r="A1405" s="31">
        <f>COUNTIF('BOM Atual ZPCS12'!F:F,B1405)+(1-(SUMIF(Invoice!$A:$A,$B1405,Invoice!$B:$B)/100000000000))</f>
        <v>1</v>
      </c>
      <c r="B1405" s="52" t="s">
        <v>4107</v>
      </c>
      <c r="C1405" s="44" t="s">
        <v>4105</v>
      </c>
      <c r="D1405" s="44" t="s">
        <v>147</v>
      </c>
      <c r="E1405" s="44" t="s">
        <v>51</v>
      </c>
      <c r="G1405" s="44">
        <v>872</v>
      </c>
      <c r="H1405" s="44" t="s">
        <v>2537</v>
      </c>
    </row>
    <row r="1406" spans="1:8">
      <c r="A1406" s="31">
        <f>COUNTIF('BOM Atual ZPCS12'!F:F,B1406)+(1-(SUMIF(Invoice!$A:$A,$B1406,Invoice!$B:$B)/100000000000))</f>
        <v>2</v>
      </c>
      <c r="B1406" s="52" t="s">
        <v>1247</v>
      </c>
      <c r="C1406" s="44" t="s">
        <v>1248</v>
      </c>
      <c r="D1406" s="44" t="s">
        <v>147</v>
      </c>
      <c r="E1406" s="44" t="s">
        <v>51</v>
      </c>
      <c r="G1406" s="44">
        <v>872</v>
      </c>
      <c r="H1406" s="44" t="s">
        <v>2537</v>
      </c>
    </row>
    <row r="1407" spans="1:8">
      <c r="A1407" s="31">
        <f>COUNTIF('BOM Atual ZPCS12'!F:F,B1407)+(1-(SUMIF(Invoice!$A:$A,$B1407,Invoice!$B:$B)/100000000000))</f>
        <v>1.9999999499999999</v>
      </c>
      <c r="B1407" s="52" t="s">
        <v>1279</v>
      </c>
      <c r="C1407" s="44" t="s">
        <v>1280</v>
      </c>
      <c r="D1407" s="44" t="s">
        <v>147</v>
      </c>
      <c r="E1407" s="44" t="s">
        <v>51</v>
      </c>
      <c r="G1407" s="44">
        <v>873</v>
      </c>
      <c r="H1407" s="44" t="s">
        <v>2537</v>
      </c>
    </row>
    <row r="1408" spans="1:8">
      <c r="A1408" s="31">
        <f>COUNTIF('BOM Atual ZPCS12'!F:F,B1408)+(1-(SUMIF(Invoice!$A:$A,$B1408,Invoice!$B:$B)/100000000000))</f>
        <v>2</v>
      </c>
      <c r="B1408" s="52" t="s">
        <v>1282</v>
      </c>
      <c r="C1408" s="44" t="s">
        <v>1283</v>
      </c>
      <c r="D1408" s="44" t="s">
        <v>147</v>
      </c>
      <c r="E1408" s="44" t="s">
        <v>51</v>
      </c>
      <c r="G1408" s="44">
        <v>873</v>
      </c>
      <c r="H1408" s="44" t="s">
        <v>2537</v>
      </c>
    </row>
    <row r="1409" spans="1:8">
      <c r="A1409" s="31">
        <f>COUNTIF('BOM Atual ZPCS12'!F:F,B1409)+(1-(SUMIF(Invoice!$A:$A,$B1409,Invoice!$B:$B)/100000000000))</f>
        <v>1</v>
      </c>
      <c r="B1409" s="52" t="s">
        <v>4108</v>
      </c>
      <c r="C1409" s="44" t="s">
        <v>4109</v>
      </c>
      <c r="D1409" s="44" t="s">
        <v>147</v>
      </c>
      <c r="E1409" s="44" t="s">
        <v>51</v>
      </c>
      <c r="G1409" s="44">
        <v>873</v>
      </c>
      <c r="H1409" s="44" t="s">
        <v>2537</v>
      </c>
    </row>
    <row r="1410" spans="1:8">
      <c r="A1410" s="31">
        <f>COUNTIF('BOM Atual ZPCS12'!F:F,B1410)+(1-(SUMIF(Invoice!$A:$A,$B1410,Invoice!$B:$B)/100000000000))</f>
        <v>2</v>
      </c>
      <c r="B1410" s="52" t="s">
        <v>1284</v>
      </c>
      <c r="C1410" s="44" t="s">
        <v>1285</v>
      </c>
      <c r="D1410" s="44" t="s">
        <v>147</v>
      </c>
      <c r="E1410" s="44" t="s">
        <v>51</v>
      </c>
      <c r="G1410" s="44">
        <v>873</v>
      </c>
      <c r="H1410" s="44" t="s">
        <v>2537</v>
      </c>
    </row>
    <row r="1411" spans="1:8">
      <c r="A1411" s="31">
        <f>COUNTIF('BOM Atual ZPCS12'!F:F,B1411)+(1-(SUMIF(Invoice!$A:$A,$B1411,Invoice!$B:$B)/100000000000))</f>
        <v>2</v>
      </c>
      <c r="B1411" s="52" t="s">
        <v>1293</v>
      </c>
      <c r="C1411" s="44" t="s">
        <v>1294</v>
      </c>
      <c r="D1411" s="44" t="s">
        <v>147</v>
      </c>
      <c r="E1411" s="44" t="s">
        <v>51</v>
      </c>
      <c r="G1411" s="44">
        <v>874</v>
      </c>
      <c r="H1411" s="44" t="s">
        <v>2537</v>
      </c>
    </row>
    <row r="1412" spans="1:8">
      <c r="A1412" s="31">
        <f>COUNTIF('BOM Atual ZPCS12'!F:F,B1412)+(1-(SUMIF(Invoice!$A:$A,$B1412,Invoice!$B:$B)/100000000000))</f>
        <v>1.9999999499999999</v>
      </c>
      <c r="B1412" s="52" t="s">
        <v>1296</v>
      </c>
      <c r="C1412" s="44" t="s">
        <v>1297</v>
      </c>
      <c r="D1412" s="44" t="s">
        <v>147</v>
      </c>
      <c r="E1412" s="44" t="s">
        <v>51</v>
      </c>
      <c r="G1412" s="44">
        <v>874</v>
      </c>
      <c r="H1412" s="44" t="s">
        <v>2537</v>
      </c>
    </row>
    <row r="1413" spans="1:8">
      <c r="A1413" s="31">
        <f>COUNTIF('BOM Atual ZPCS12'!F:F,B1413)+(1-(SUMIF(Invoice!$A:$A,$B1413,Invoice!$B:$B)/100000000000))</f>
        <v>1</v>
      </c>
      <c r="B1413" s="52" t="s">
        <v>4110</v>
      </c>
      <c r="C1413" s="44" t="s">
        <v>4111</v>
      </c>
      <c r="D1413" s="44" t="s">
        <v>147</v>
      </c>
      <c r="E1413" s="44" t="s">
        <v>51</v>
      </c>
      <c r="G1413" s="44">
        <v>874</v>
      </c>
      <c r="H1413" s="44" t="s">
        <v>2537</v>
      </c>
    </row>
    <row r="1414" spans="1:8">
      <c r="A1414" s="31">
        <f>COUNTIF('BOM Atual ZPCS12'!F:F,B1414)+(1-(SUMIF(Invoice!$A:$A,$B1414,Invoice!$B:$B)/100000000000))</f>
        <v>2</v>
      </c>
      <c r="B1414" s="52" t="s">
        <v>1298</v>
      </c>
      <c r="C1414" s="44" t="s">
        <v>1299</v>
      </c>
      <c r="D1414" s="44" t="s">
        <v>147</v>
      </c>
      <c r="E1414" s="44" t="s">
        <v>51</v>
      </c>
      <c r="G1414" s="44">
        <v>874</v>
      </c>
      <c r="H1414" s="44" t="s">
        <v>2537</v>
      </c>
    </row>
    <row r="1415" spans="1:8">
      <c r="A1415" s="31">
        <f>COUNTIF('BOM Atual ZPCS12'!F:F,B1415)+(1-(SUMIF(Invoice!$A:$A,$B1415,Invoice!$B:$B)/100000000000))</f>
        <v>1.9999999499999999</v>
      </c>
      <c r="B1415" s="52" t="s">
        <v>1300</v>
      </c>
      <c r="C1415" s="44" t="s">
        <v>1301</v>
      </c>
      <c r="D1415" s="44" t="s">
        <v>147</v>
      </c>
      <c r="E1415" s="44" t="s">
        <v>51</v>
      </c>
      <c r="G1415" s="44">
        <v>875</v>
      </c>
      <c r="H1415" s="44" t="s">
        <v>2537</v>
      </c>
    </row>
    <row r="1416" spans="1:8">
      <c r="A1416" s="31">
        <f>COUNTIF('BOM Atual ZPCS12'!F:F,B1416)+(1-(SUMIF(Invoice!$A:$A,$B1416,Invoice!$B:$B)/100000000000))</f>
        <v>2</v>
      </c>
      <c r="B1416" s="52" t="s">
        <v>1303</v>
      </c>
      <c r="C1416" s="44" t="s">
        <v>1304</v>
      </c>
      <c r="D1416" s="44" t="s">
        <v>147</v>
      </c>
      <c r="E1416" s="44" t="s">
        <v>51</v>
      </c>
      <c r="G1416" s="44">
        <v>875</v>
      </c>
      <c r="H1416" s="44" t="s">
        <v>2537</v>
      </c>
    </row>
    <row r="1417" spans="1:8">
      <c r="A1417" s="31">
        <f>COUNTIF('BOM Atual ZPCS12'!F:F,B1417)+(1-(SUMIF(Invoice!$A:$A,$B1417,Invoice!$B:$B)/100000000000))</f>
        <v>1</v>
      </c>
      <c r="B1417" s="52" t="s">
        <v>4112</v>
      </c>
      <c r="C1417" s="44" t="s">
        <v>4113</v>
      </c>
      <c r="D1417" s="44" t="s">
        <v>147</v>
      </c>
      <c r="E1417" s="44" t="s">
        <v>51</v>
      </c>
      <c r="G1417" s="44">
        <v>875</v>
      </c>
      <c r="H1417" s="44" t="s">
        <v>2537</v>
      </c>
    </row>
    <row r="1418" spans="1:8">
      <c r="A1418" s="31">
        <f>COUNTIF('BOM Atual ZPCS12'!F:F,B1418)+(1-(SUMIF(Invoice!$A:$A,$B1418,Invoice!$B:$B)/100000000000))</f>
        <v>2</v>
      </c>
      <c r="B1418" s="52" t="s">
        <v>1305</v>
      </c>
      <c r="C1418" s="44" t="s">
        <v>1306</v>
      </c>
      <c r="D1418" s="44" t="s">
        <v>147</v>
      </c>
      <c r="E1418" s="44" t="s">
        <v>51</v>
      </c>
      <c r="G1418" s="44">
        <v>875</v>
      </c>
      <c r="H1418" s="44" t="s">
        <v>2537</v>
      </c>
    </row>
    <row r="1419" spans="1:8">
      <c r="A1419" s="31">
        <f>COUNTIF('BOM Atual ZPCS12'!F:F,B1419)+(1-(SUMIF(Invoice!$A:$A,$B1419,Invoice!$B:$B)/100000000000))</f>
        <v>1.9999999499999999</v>
      </c>
      <c r="B1419" s="52" t="s">
        <v>1328</v>
      </c>
      <c r="C1419" s="44" t="s">
        <v>4114</v>
      </c>
      <c r="D1419" s="44" t="s">
        <v>147</v>
      </c>
      <c r="E1419" s="44" t="s">
        <v>51</v>
      </c>
      <c r="G1419" s="44">
        <v>876</v>
      </c>
      <c r="H1419" s="44" t="s">
        <v>2537</v>
      </c>
    </row>
    <row r="1420" spans="1:8">
      <c r="A1420" s="31">
        <f>COUNTIF('BOM Atual ZPCS12'!F:F,B1420)+(1-(SUMIF(Invoice!$A:$A,$B1420,Invoice!$B:$B)/100000000000))</f>
        <v>2</v>
      </c>
      <c r="B1420" s="52" t="s">
        <v>1331</v>
      </c>
      <c r="C1420" s="44" t="s">
        <v>1332</v>
      </c>
      <c r="D1420" s="44" t="s">
        <v>147</v>
      </c>
      <c r="E1420" s="44" t="s">
        <v>51</v>
      </c>
      <c r="G1420" s="44">
        <v>876</v>
      </c>
      <c r="H1420" s="44" t="s">
        <v>2537</v>
      </c>
    </row>
    <row r="1421" spans="1:8">
      <c r="A1421" s="31">
        <f>COUNTIF('BOM Atual ZPCS12'!F:F,B1421)+(1-(SUMIF(Invoice!$A:$A,$B1421,Invoice!$B:$B)/100000000000))</f>
        <v>1</v>
      </c>
      <c r="B1421" s="52" t="s">
        <v>4115</v>
      </c>
      <c r="C1421" s="44" t="s">
        <v>4114</v>
      </c>
      <c r="D1421" s="44" t="s">
        <v>147</v>
      </c>
      <c r="E1421" s="44" t="s">
        <v>51</v>
      </c>
      <c r="G1421" s="44">
        <v>876</v>
      </c>
      <c r="H1421" s="44" t="s">
        <v>2537</v>
      </c>
    </row>
    <row r="1422" spans="1:8">
      <c r="A1422" s="31">
        <f>COUNTIF('BOM Atual ZPCS12'!F:F,B1422)+(1-(SUMIF(Invoice!$A:$A,$B1422,Invoice!$B:$B)/100000000000))</f>
        <v>2</v>
      </c>
      <c r="B1422" s="52" t="s">
        <v>1333</v>
      </c>
      <c r="C1422" s="44" t="s">
        <v>1334</v>
      </c>
      <c r="D1422" s="44" t="s">
        <v>147</v>
      </c>
      <c r="E1422" s="44" t="s">
        <v>51</v>
      </c>
      <c r="G1422" s="44">
        <v>876</v>
      </c>
      <c r="H1422" s="44" t="s">
        <v>2537</v>
      </c>
    </row>
    <row r="1423" spans="1:8">
      <c r="A1423" s="31">
        <f>COUNTIF('BOM Atual ZPCS12'!F:F,B1423)+(1-(SUMIF(Invoice!$A:$A,$B1423,Invoice!$B:$B)/100000000000))</f>
        <v>2</v>
      </c>
      <c r="B1423" s="52" t="s">
        <v>1403</v>
      </c>
      <c r="C1423" s="44" t="s">
        <v>1404</v>
      </c>
      <c r="D1423" s="44" t="s">
        <v>147</v>
      </c>
      <c r="E1423" s="44" t="s">
        <v>51</v>
      </c>
      <c r="G1423" s="44">
        <v>877</v>
      </c>
      <c r="H1423" s="44" t="s">
        <v>2537</v>
      </c>
    </row>
    <row r="1424" spans="1:8">
      <c r="A1424" s="31">
        <f>COUNTIF('BOM Atual ZPCS12'!F:F,B1424)+(1-(SUMIF(Invoice!$A:$A,$B1424,Invoice!$B:$B)/100000000000))</f>
        <v>2</v>
      </c>
      <c r="B1424" s="52" t="s">
        <v>1406</v>
      </c>
      <c r="C1424" s="44" t="s">
        <v>4116</v>
      </c>
      <c r="D1424" s="44" t="s">
        <v>147</v>
      </c>
      <c r="E1424" s="44" t="s">
        <v>51</v>
      </c>
      <c r="G1424" s="44">
        <v>877</v>
      </c>
      <c r="H1424" s="44" t="s">
        <v>2537</v>
      </c>
    </row>
    <row r="1425" spans="1:8">
      <c r="A1425" s="31">
        <f>COUNTIF('BOM Atual ZPCS12'!F:F,B1425)+(1-(SUMIF(Invoice!$A:$A,$B1425,Invoice!$B:$B)/100000000000))</f>
        <v>2</v>
      </c>
      <c r="B1425" s="52" t="s">
        <v>1408</v>
      </c>
      <c r="C1425" s="44" t="s">
        <v>1409</v>
      </c>
      <c r="D1425" s="44" t="s">
        <v>147</v>
      </c>
      <c r="E1425" s="44" t="s">
        <v>51</v>
      </c>
      <c r="G1425" s="44">
        <v>877</v>
      </c>
      <c r="H1425" s="44" t="s">
        <v>2537</v>
      </c>
    </row>
    <row r="1426" spans="1:8">
      <c r="A1426" s="31">
        <f>COUNTIF('BOM Atual ZPCS12'!F:F,B1426)+(1-(SUMIF(Invoice!$A:$A,$B1426,Invoice!$B:$B)/100000000000))</f>
        <v>1</v>
      </c>
      <c r="B1426" s="52" t="s">
        <v>4117</v>
      </c>
      <c r="C1426" s="44" t="s">
        <v>4118</v>
      </c>
      <c r="D1426" s="44" t="s">
        <v>147</v>
      </c>
      <c r="E1426" s="44" t="s">
        <v>51</v>
      </c>
      <c r="G1426" s="44">
        <v>877</v>
      </c>
      <c r="H1426" s="44" t="s">
        <v>2537</v>
      </c>
    </row>
    <row r="1427" spans="1:8">
      <c r="A1427" s="31">
        <f>COUNTIF('BOM Atual ZPCS12'!F:F,B1427)+(1-(SUMIF(Invoice!$A:$A,$B1427,Invoice!$B:$B)/100000000000))</f>
        <v>1.9999994000000001</v>
      </c>
      <c r="B1427" s="52" t="s">
        <v>1410</v>
      </c>
      <c r="C1427" s="44" t="s">
        <v>1411</v>
      </c>
      <c r="D1427" s="44" t="s">
        <v>147</v>
      </c>
      <c r="E1427" s="44" t="s">
        <v>51</v>
      </c>
      <c r="G1427" s="44">
        <v>877</v>
      </c>
      <c r="H1427" s="44" t="s">
        <v>2537</v>
      </c>
    </row>
    <row r="1428" spans="1:8">
      <c r="A1428" s="31">
        <f>COUNTIF('BOM Atual ZPCS12'!F:F,B1428)+(1-(SUMIF(Invoice!$A:$A,$B1428,Invoice!$B:$B)/100000000000))</f>
        <v>1</v>
      </c>
      <c r="B1428" s="52" t="s">
        <v>4119</v>
      </c>
      <c r="C1428" s="44" t="s">
        <v>4120</v>
      </c>
      <c r="D1428" s="44" t="s">
        <v>147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4121</v>
      </c>
      <c r="C1429" s="44" t="s">
        <v>4122</v>
      </c>
      <c r="D1429" s="44" t="s">
        <v>147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4123</v>
      </c>
      <c r="C1430" s="44" t="s">
        <v>4124</v>
      </c>
      <c r="D1430" s="44" t="s">
        <v>147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1.9999999000000002</v>
      </c>
      <c r="B1431" s="52" t="s">
        <v>1450</v>
      </c>
      <c r="C1431" s="44" t="s">
        <v>1451</v>
      </c>
      <c r="D1431" s="44" t="s">
        <v>147</v>
      </c>
      <c r="E1431" s="44" t="s">
        <v>51</v>
      </c>
      <c r="G1431" s="44">
        <v>879</v>
      </c>
      <c r="H1431" s="44" t="s">
        <v>2537</v>
      </c>
    </row>
    <row r="1432" spans="1:8">
      <c r="A1432" s="31">
        <f>COUNTIF('BOM Atual ZPCS12'!F:F,B1432)+(1-(SUMIF(Invoice!$A:$A,$B1432,Invoice!$B:$B)/100000000000))</f>
        <v>2</v>
      </c>
      <c r="B1432" s="52" t="s">
        <v>1453</v>
      </c>
      <c r="C1432" s="44" t="s">
        <v>4125</v>
      </c>
      <c r="D1432" s="44" t="s">
        <v>147</v>
      </c>
      <c r="E1432" s="44" t="s">
        <v>51</v>
      </c>
      <c r="G1432" s="44">
        <v>879</v>
      </c>
      <c r="H1432" s="44" t="s">
        <v>2537</v>
      </c>
    </row>
    <row r="1433" spans="1:8">
      <c r="A1433" s="31">
        <f>COUNTIF('BOM Atual ZPCS12'!F:F,B1433)+(1-(SUMIF(Invoice!$A:$A,$B1433,Invoice!$B:$B)/100000000000))</f>
        <v>2</v>
      </c>
      <c r="B1433" s="52" t="s">
        <v>1455</v>
      </c>
      <c r="C1433" s="44" t="s">
        <v>4125</v>
      </c>
      <c r="D1433" s="44" t="s">
        <v>147</v>
      </c>
      <c r="E1433" s="44" t="s">
        <v>51</v>
      </c>
      <c r="G1433" s="44">
        <v>879</v>
      </c>
      <c r="H1433" s="44" t="s">
        <v>2537</v>
      </c>
    </row>
    <row r="1434" spans="1:8">
      <c r="A1434" s="31">
        <f>COUNTIF('BOM Atual ZPCS12'!F:F,B1434)+(1-(SUMIF(Invoice!$A:$A,$B1434,Invoice!$B:$B)/100000000000))</f>
        <v>2</v>
      </c>
      <c r="B1434" s="52" t="s">
        <v>1456</v>
      </c>
      <c r="C1434" s="44" t="s">
        <v>4126</v>
      </c>
      <c r="D1434" s="44" t="s">
        <v>147</v>
      </c>
      <c r="E1434" s="44" t="s">
        <v>51</v>
      </c>
      <c r="G1434" s="44">
        <v>879</v>
      </c>
      <c r="H1434" s="44" t="s">
        <v>2537</v>
      </c>
    </row>
    <row r="1435" spans="1:8">
      <c r="A1435" s="31">
        <f>COUNTIF('BOM Atual ZPCS12'!F:F,B1435)+(1-(SUMIF(Invoice!$A:$A,$B1435,Invoice!$B:$B)/100000000000))</f>
        <v>2</v>
      </c>
      <c r="B1435" s="52" t="s">
        <v>1458</v>
      </c>
      <c r="C1435" s="44" t="s">
        <v>4126</v>
      </c>
      <c r="D1435" s="44" t="s">
        <v>147</v>
      </c>
      <c r="E1435" s="44" t="s">
        <v>51</v>
      </c>
      <c r="G1435" s="44">
        <v>879</v>
      </c>
      <c r="H1435" s="44" t="s">
        <v>2537</v>
      </c>
    </row>
    <row r="1436" spans="1:8">
      <c r="A1436" s="31">
        <f>COUNTIF('BOM Atual ZPCS12'!F:F,B1436)+(1-(SUMIF(Invoice!$A:$A,$B1436,Invoice!$B:$B)/100000000000))</f>
        <v>1</v>
      </c>
      <c r="B1436" s="52" t="s">
        <v>4127</v>
      </c>
      <c r="C1436" s="44" t="s">
        <v>4128</v>
      </c>
      <c r="D1436" s="44" t="s">
        <v>147</v>
      </c>
      <c r="E1436" s="44" t="s">
        <v>51</v>
      </c>
      <c r="G1436" s="44">
        <v>880</v>
      </c>
      <c r="H1436" s="44" t="s">
        <v>2537</v>
      </c>
    </row>
    <row r="1437" spans="1:8">
      <c r="A1437" s="31">
        <f>COUNTIF('BOM Atual ZPCS12'!F:F,B1437)+(1-(SUMIF(Invoice!$A:$A,$B1437,Invoice!$B:$B)/100000000000))</f>
        <v>1</v>
      </c>
      <c r="B1437" s="52" t="s">
        <v>4129</v>
      </c>
      <c r="C1437" s="44" t="s">
        <v>4130</v>
      </c>
      <c r="D1437" s="44" t="s">
        <v>147</v>
      </c>
      <c r="E1437" s="44" t="s">
        <v>51</v>
      </c>
      <c r="G1437" s="44">
        <v>880</v>
      </c>
      <c r="H1437" s="44" t="s">
        <v>2537</v>
      </c>
    </row>
    <row r="1438" spans="1:8">
      <c r="A1438" s="31">
        <f>COUNTIF('BOM Atual ZPCS12'!F:F,B1438)+(1-(SUMIF(Invoice!$A:$A,$B1438,Invoice!$B:$B)/100000000000))</f>
        <v>1</v>
      </c>
      <c r="B1438" s="52" t="s">
        <v>4131</v>
      </c>
      <c r="C1438" s="44" t="s">
        <v>4132</v>
      </c>
      <c r="D1438" s="44" t="s">
        <v>147</v>
      </c>
      <c r="E1438" s="44" t="s">
        <v>51</v>
      </c>
      <c r="G1438" s="44">
        <v>880</v>
      </c>
      <c r="H1438" s="44" t="s">
        <v>2537</v>
      </c>
    </row>
    <row r="1439" spans="1:8">
      <c r="A1439" s="31">
        <f>COUNTIF('BOM Atual ZPCS12'!F:F,B1439)+(1-(SUMIF(Invoice!$A:$A,$B1439,Invoice!$B:$B)/100000000000))</f>
        <v>1</v>
      </c>
      <c r="B1439" s="52" t="s">
        <v>4133</v>
      </c>
      <c r="C1439" s="44" t="s">
        <v>4134</v>
      </c>
      <c r="D1439" s="44" t="s">
        <v>147</v>
      </c>
      <c r="E1439" s="44" t="s">
        <v>51</v>
      </c>
      <c r="G1439" s="44">
        <v>880</v>
      </c>
      <c r="H1439" s="44" t="s">
        <v>2537</v>
      </c>
    </row>
    <row r="1440" spans="1:8">
      <c r="A1440" s="31">
        <f>COUNTIF('BOM Atual ZPCS12'!F:F,B1440)+(1-(SUMIF(Invoice!$A:$A,$B1440,Invoice!$B:$B)/100000000000))</f>
        <v>1</v>
      </c>
      <c r="B1440" s="52" t="s">
        <v>4135</v>
      </c>
      <c r="C1440" s="44" t="s">
        <v>4136</v>
      </c>
      <c r="D1440" s="44" t="s">
        <v>147</v>
      </c>
      <c r="E1440" s="44" t="s">
        <v>51</v>
      </c>
      <c r="G1440" s="44">
        <v>880</v>
      </c>
      <c r="H1440" s="44" t="s">
        <v>2537</v>
      </c>
    </row>
    <row r="1441" spans="1:8">
      <c r="A1441" s="31">
        <f>COUNTIF('BOM Atual ZPCS12'!F:F,B1441)+(1-(SUMIF(Invoice!$A:$A,$B1441,Invoice!$B:$B)/100000000000))</f>
        <v>1</v>
      </c>
      <c r="B1441" s="52" t="s">
        <v>4137</v>
      </c>
      <c r="C1441" s="44" t="s">
        <v>4138</v>
      </c>
      <c r="D1441" s="44" t="s">
        <v>147</v>
      </c>
      <c r="E1441" s="44" t="s">
        <v>51</v>
      </c>
      <c r="G1441" s="44">
        <v>881</v>
      </c>
      <c r="H1441" s="44" t="s">
        <v>2537</v>
      </c>
    </row>
    <row r="1442" spans="1:8">
      <c r="A1442" s="31">
        <f>COUNTIF('BOM Atual ZPCS12'!F:F,B1442)+(1-(SUMIF(Invoice!$A:$A,$B1442,Invoice!$B:$B)/100000000000))</f>
        <v>1</v>
      </c>
      <c r="B1442" s="52" t="s">
        <v>4139</v>
      </c>
      <c r="C1442" s="44" t="s">
        <v>4140</v>
      </c>
      <c r="D1442" s="44" t="s">
        <v>147</v>
      </c>
      <c r="E1442" s="44" t="s">
        <v>51</v>
      </c>
      <c r="G1442" s="44">
        <v>881</v>
      </c>
      <c r="H1442" s="44" t="s">
        <v>2537</v>
      </c>
    </row>
    <row r="1443" spans="1:8">
      <c r="A1443" s="31">
        <f>COUNTIF('BOM Atual ZPCS12'!F:F,B1443)+(1-(SUMIF(Invoice!$A:$A,$B1443,Invoice!$B:$B)/100000000000))</f>
        <v>1</v>
      </c>
      <c r="B1443" s="52" t="s">
        <v>4141</v>
      </c>
      <c r="C1443" s="44" t="s">
        <v>4140</v>
      </c>
      <c r="D1443" s="44" t="s">
        <v>147</v>
      </c>
      <c r="E1443" s="44" t="s">
        <v>51</v>
      </c>
      <c r="G1443" s="44">
        <v>881</v>
      </c>
      <c r="H1443" s="44" t="s">
        <v>2537</v>
      </c>
    </row>
    <row r="1444" spans="1:8">
      <c r="A1444" s="31">
        <f>COUNTIF('BOM Atual ZPCS12'!F:F,B1444)+(1-(SUMIF(Invoice!$A:$A,$B1444,Invoice!$B:$B)/100000000000))</f>
        <v>1</v>
      </c>
      <c r="B1444" s="52" t="s">
        <v>4142</v>
      </c>
      <c r="C1444" s="44" t="s">
        <v>4140</v>
      </c>
      <c r="D1444" s="44" t="s">
        <v>147</v>
      </c>
      <c r="E1444" s="44" t="s">
        <v>51</v>
      </c>
      <c r="G1444" s="44">
        <v>881</v>
      </c>
      <c r="H1444" s="44" t="s">
        <v>2537</v>
      </c>
    </row>
    <row r="1445" spans="1:8">
      <c r="A1445" s="31">
        <f>COUNTIF('BOM Atual ZPCS12'!F:F,B1445)+(1-(SUMIF(Invoice!$A:$A,$B1445,Invoice!$B:$B)/100000000000))</f>
        <v>1</v>
      </c>
      <c r="B1445" s="52" t="s">
        <v>4143</v>
      </c>
      <c r="C1445" s="44" t="s">
        <v>4140</v>
      </c>
      <c r="D1445" s="44" t="s">
        <v>147</v>
      </c>
      <c r="E1445" s="44" t="s">
        <v>51</v>
      </c>
      <c r="G1445" s="44">
        <v>881</v>
      </c>
      <c r="H1445" s="44" t="s">
        <v>2537</v>
      </c>
    </row>
    <row r="1446" spans="1:8">
      <c r="A1446" s="31">
        <f>COUNTIF('BOM Atual ZPCS12'!F:F,B1446)+(1-(SUMIF(Invoice!$A:$A,$B1446,Invoice!$B:$B)/100000000000))</f>
        <v>1</v>
      </c>
      <c r="B1446" s="52" t="s">
        <v>4144</v>
      </c>
      <c r="C1446" s="44" t="s">
        <v>4140</v>
      </c>
      <c r="D1446" s="44" t="s">
        <v>147</v>
      </c>
      <c r="E1446" s="44" t="s">
        <v>51</v>
      </c>
      <c r="G1446" s="44">
        <v>881</v>
      </c>
      <c r="H1446" s="44" t="s">
        <v>2537</v>
      </c>
    </row>
    <row r="1447" spans="1:8">
      <c r="A1447" s="31">
        <f>COUNTIF('BOM Atual ZPCS12'!F:F,B1447)+(1-(SUMIF(Invoice!$A:$A,$B1447,Invoice!$B:$B)/100000000000))</f>
        <v>1</v>
      </c>
      <c r="B1447" s="52" t="s">
        <v>4145</v>
      </c>
      <c r="C1447" s="44" t="s">
        <v>4146</v>
      </c>
      <c r="D1447" s="44" t="s">
        <v>147</v>
      </c>
      <c r="E1447" s="44" t="s">
        <v>51</v>
      </c>
      <c r="G1447" s="44">
        <v>881</v>
      </c>
      <c r="H1447" s="44" t="s">
        <v>2537</v>
      </c>
    </row>
    <row r="1448" spans="1:8">
      <c r="A1448" s="31">
        <f>COUNTIF('BOM Atual ZPCS12'!F:F,B1448)+(1-(SUMIF(Invoice!$A:$A,$B1448,Invoice!$B:$B)/100000000000))</f>
        <v>2</v>
      </c>
      <c r="B1448" s="52" t="s">
        <v>1473</v>
      </c>
      <c r="C1448" s="44" t="s">
        <v>1474</v>
      </c>
      <c r="D1448" s="44" t="s">
        <v>147</v>
      </c>
      <c r="E1448" s="44" t="s">
        <v>51</v>
      </c>
      <c r="G1448" s="44">
        <v>882</v>
      </c>
      <c r="H1448" s="44" t="s">
        <v>2537</v>
      </c>
    </row>
    <row r="1449" spans="1:8">
      <c r="A1449" s="31">
        <f>COUNTIF('BOM Atual ZPCS12'!F:F,B1449)+(1-(SUMIF(Invoice!$A:$A,$B1449,Invoice!$B:$B)/100000000000))</f>
        <v>2</v>
      </c>
      <c r="B1449" s="52" t="s">
        <v>1476</v>
      </c>
      <c r="C1449" s="44" t="s">
        <v>1477</v>
      </c>
      <c r="D1449" s="44" t="s">
        <v>147</v>
      </c>
      <c r="E1449" s="44" t="s">
        <v>51</v>
      </c>
      <c r="G1449" s="44">
        <v>882</v>
      </c>
      <c r="H1449" s="44" t="s">
        <v>2537</v>
      </c>
    </row>
    <row r="1450" spans="1:8">
      <c r="A1450" s="31">
        <f>COUNTIF('BOM Atual ZPCS12'!F:F,B1450)+(1-(SUMIF(Invoice!$A:$A,$B1450,Invoice!$B:$B)/100000000000))</f>
        <v>1.9999999000000002</v>
      </c>
      <c r="B1450" s="52" t="s">
        <v>1478</v>
      </c>
      <c r="C1450" s="44" t="s">
        <v>1479</v>
      </c>
      <c r="D1450" s="44" t="s">
        <v>147</v>
      </c>
      <c r="E1450" s="44" t="s">
        <v>51</v>
      </c>
      <c r="G1450" s="44">
        <v>882</v>
      </c>
      <c r="H1450" s="44" t="s">
        <v>2537</v>
      </c>
    </row>
    <row r="1451" spans="1:8">
      <c r="A1451" s="31">
        <f>COUNTIF('BOM Atual ZPCS12'!F:F,B1451)+(1-(SUMIF(Invoice!$A:$A,$B1451,Invoice!$B:$B)/100000000000))</f>
        <v>2</v>
      </c>
      <c r="B1451" s="52" t="s">
        <v>1480</v>
      </c>
      <c r="C1451" s="44" t="s">
        <v>1481</v>
      </c>
      <c r="D1451" s="44" t="s">
        <v>147</v>
      </c>
      <c r="E1451" s="44" t="s">
        <v>51</v>
      </c>
      <c r="G1451" s="44">
        <v>882</v>
      </c>
      <c r="H1451" s="44" t="s">
        <v>2537</v>
      </c>
    </row>
    <row r="1452" spans="1:8">
      <c r="A1452" s="31">
        <f>COUNTIF('BOM Atual ZPCS12'!F:F,B1452)+(1-(SUMIF(Invoice!$A:$A,$B1452,Invoice!$B:$B)/100000000000))</f>
        <v>2</v>
      </c>
      <c r="B1452" s="52" t="s">
        <v>1482</v>
      </c>
      <c r="C1452" s="44" t="s">
        <v>1483</v>
      </c>
      <c r="D1452" s="44" t="s">
        <v>147</v>
      </c>
      <c r="E1452" s="44" t="s">
        <v>51</v>
      </c>
      <c r="G1452" s="44">
        <v>882</v>
      </c>
      <c r="H1452" s="44" t="s">
        <v>2537</v>
      </c>
    </row>
    <row r="1453" spans="1:8">
      <c r="A1453" s="31">
        <f>COUNTIF('BOM Atual ZPCS12'!F:F,B1453)+(1-(SUMIF(Invoice!$A:$A,$B1453,Invoice!$B:$B)/100000000000))</f>
        <v>1</v>
      </c>
      <c r="B1453" s="52" t="s">
        <v>4147</v>
      </c>
      <c r="C1453" s="44" t="s">
        <v>4148</v>
      </c>
      <c r="D1453" s="44" t="s">
        <v>147</v>
      </c>
      <c r="E1453" s="44" t="s">
        <v>51</v>
      </c>
      <c r="G1453" s="44">
        <v>883</v>
      </c>
      <c r="H1453" s="44" t="s">
        <v>2537</v>
      </c>
    </row>
    <row r="1454" spans="1:8">
      <c r="A1454" s="31">
        <f>COUNTIF('BOM Atual ZPCS12'!F:F,B1454)+(1-(SUMIF(Invoice!$A:$A,$B1454,Invoice!$B:$B)/100000000000))</f>
        <v>1</v>
      </c>
      <c r="B1454" s="52" t="s">
        <v>4149</v>
      </c>
      <c r="C1454" s="44" t="s">
        <v>4150</v>
      </c>
      <c r="D1454" s="44" t="s">
        <v>147</v>
      </c>
      <c r="E1454" s="44" t="s">
        <v>51</v>
      </c>
      <c r="G1454" s="44">
        <v>883</v>
      </c>
      <c r="H1454" s="44" t="s">
        <v>2537</v>
      </c>
    </row>
    <row r="1455" spans="1:8">
      <c r="A1455" s="31">
        <f>COUNTIF('BOM Atual ZPCS12'!F:F,B1455)+(1-(SUMIF(Invoice!$A:$A,$B1455,Invoice!$B:$B)/100000000000))</f>
        <v>1</v>
      </c>
      <c r="B1455" s="52" t="s">
        <v>4151</v>
      </c>
      <c r="C1455" s="44" t="s">
        <v>4150</v>
      </c>
      <c r="D1455" s="44" t="s">
        <v>147</v>
      </c>
      <c r="E1455" s="44" t="s">
        <v>51</v>
      </c>
      <c r="G1455" s="44">
        <v>883</v>
      </c>
      <c r="H1455" s="44" t="s">
        <v>2537</v>
      </c>
    </row>
    <row r="1456" spans="1:8">
      <c r="A1456" s="31">
        <f>COUNTIF('BOM Atual ZPCS12'!F:F,B1456)+(1-(SUMIF(Invoice!$A:$A,$B1456,Invoice!$B:$B)/100000000000))</f>
        <v>1</v>
      </c>
      <c r="B1456" s="52" t="s">
        <v>4152</v>
      </c>
      <c r="C1456" s="44" t="s">
        <v>4150</v>
      </c>
      <c r="D1456" s="44" t="s">
        <v>147</v>
      </c>
      <c r="E1456" s="44" t="s">
        <v>51</v>
      </c>
      <c r="G1456" s="44">
        <v>883</v>
      </c>
      <c r="H1456" s="44" t="s">
        <v>2537</v>
      </c>
    </row>
    <row r="1457" spans="1:8">
      <c r="A1457" s="31">
        <f>COUNTIF('BOM Atual ZPCS12'!F:F,B1457)+(1-(SUMIF(Invoice!$A:$A,$B1457,Invoice!$B:$B)/100000000000))</f>
        <v>1</v>
      </c>
      <c r="B1457" s="52" t="s">
        <v>4153</v>
      </c>
      <c r="C1457" s="44" t="s">
        <v>4154</v>
      </c>
      <c r="D1457" s="44" t="s">
        <v>147</v>
      </c>
      <c r="E1457" s="44" t="s">
        <v>51</v>
      </c>
      <c r="G1457" s="44">
        <v>883</v>
      </c>
      <c r="H1457" s="44" t="s">
        <v>2537</v>
      </c>
    </row>
    <row r="1458" spans="1:8">
      <c r="A1458" s="31">
        <f>COUNTIF('BOM Atual ZPCS12'!F:F,B1458)+(1-(SUMIF(Invoice!$A:$A,$B1458,Invoice!$B:$B)/100000000000))</f>
        <v>1</v>
      </c>
      <c r="B1458" s="52" t="s">
        <v>4155</v>
      </c>
      <c r="C1458" s="44" t="s">
        <v>4148</v>
      </c>
      <c r="D1458" s="44" t="s">
        <v>147</v>
      </c>
      <c r="E1458" s="44" t="s">
        <v>51</v>
      </c>
      <c r="G1458" s="44">
        <v>883</v>
      </c>
      <c r="H1458" s="44" t="s">
        <v>2537</v>
      </c>
    </row>
    <row r="1459" spans="1:8">
      <c r="A1459" s="31">
        <f>COUNTIF('BOM Atual ZPCS12'!F:F,B1459)+(1-(SUMIF(Invoice!$A:$A,$B1459,Invoice!$B:$B)/100000000000))</f>
        <v>1</v>
      </c>
      <c r="B1459" s="52" t="s">
        <v>4156</v>
      </c>
      <c r="C1459" s="44" t="s">
        <v>4157</v>
      </c>
      <c r="D1459" s="44" t="s">
        <v>147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4158</v>
      </c>
      <c r="C1460" s="44" t="s">
        <v>4159</v>
      </c>
      <c r="D1460" s="44" t="s">
        <v>147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4160</v>
      </c>
      <c r="C1461" s="44" t="s">
        <v>4161</v>
      </c>
      <c r="D1461" s="44" t="s">
        <v>147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4162</v>
      </c>
      <c r="C1462" s="44" t="s">
        <v>4163</v>
      </c>
      <c r="D1462" s="44" t="s">
        <v>147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4164</v>
      </c>
      <c r="C1463" s="44" t="s">
        <v>4165</v>
      </c>
      <c r="D1463" s="44" t="s">
        <v>147</v>
      </c>
      <c r="E1463" s="44" t="s">
        <v>51</v>
      </c>
      <c r="G1463" s="44">
        <v>885</v>
      </c>
      <c r="H1463" s="44" t="s">
        <v>2537</v>
      </c>
    </row>
    <row r="1464" spans="1:8">
      <c r="A1464" s="31">
        <f>COUNTIF('BOM Atual ZPCS12'!F:F,B1464)+(1-(SUMIF(Invoice!$A:$A,$B1464,Invoice!$B:$B)/100000000000))</f>
        <v>1</v>
      </c>
      <c r="B1464" s="52" t="s">
        <v>4166</v>
      </c>
      <c r="C1464" s="44" t="s">
        <v>4165</v>
      </c>
      <c r="D1464" s="44" t="s">
        <v>147</v>
      </c>
      <c r="E1464" s="44" t="s">
        <v>51</v>
      </c>
      <c r="G1464" s="44">
        <v>885</v>
      </c>
      <c r="H1464" s="44" t="s">
        <v>2537</v>
      </c>
    </row>
    <row r="1465" spans="1:8">
      <c r="A1465" s="31">
        <f>COUNTIF('BOM Atual ZPCS12'!F:F,B1465)+(1-(SUMIF(Invoice!$A:$A,$B1465,Invoice!$B:$B)/100000000000))</f>
        <v>1</v>
      </c>
      <c r="B1465" s="52" t="s">
        <v>4167</v>
      </c>
      <c r="C1465" s="44" t="s">
        <v>4165</v>
      </c>
      <c r="D1465" s="44" t="s">
        <v>147</v>
      </c>
      <c r="E1465" s="44" t="s">
        <v>51</v>
      </c>
      <c r="G1465" s="44">
        <v>885</v>
      </c>
      <c r="H1465" s="44" t="s">
        <v>2537</v>
      </c>
    </row>
    <row r="1466" spans="1:8">
      <c r="A1466" s="31">
        <f>COUNTIF('BOM Atual ZPCS12'!F:F,B1466)+(1-(SUMIF(Invoice!$A:$A,$B1466,Invoice!$B:$B)/100000000000))</f>
        <v>1</v>
      </c>
      <c r="B1466" s="52" t="s">
        <v>4168</v>
      </c>
      <c r="C1466" s="44" t="s">
        <v>4165</v>
      </c>
      <c r="D1466" s="44" t="s">
        <v>147</v>
      </c>
      <c r="E1466" s="44" t="s">
        <v>51</v>
      </c>
      <c r="G1466" s="44">
        <v>885</v>
      </c>
      <c r="H1466" s="44" t="s">
        <v>2537</v>
      </c>
    </row>
    <row r="1467" spans="1:8">
      <c r="A1467" s="31">
        <f>COUNTIF('BOM Atual ZPCS12'!F:F,B1467)+(1-(SUMIF(Invoice!$A:$A,$B1467,Invoice!$B:$B)/100000000000))</f>
        <v>1</v>
      </c>
      <c r="B1467" s="52" t="s">
        <v>4169</v>
      </c>
      <c r="C1467" s="44" t="s">
        <v>4170</v>
      </c>
      <c r="D1467" s="44" t="s">
        <v>147</v>
      </c>
      <c r="E1467" s="44" t="s">
        <v>51</v>
      </c>
      <c r="G1467" s="44">
        <v>885</v>
      </c>
      <c r="H1467" s="44" t="s">
        <v>2537</v>
      </c>
    </row>
    <row r="1468" spans="1:8">
      <c r="A1468" s="31">
        <f>COUNTIF('BOM Atual ZPCS12'!F:F,B1468)+(1-(SUMIF(Invoice!$A:$A,$B1468,Invoice!$B:$B)/100000000000))</f>
        <v>1</v>
      </c>
      <c r="B1468" s="52" t="s">
        <v>4171</v>
      </c>
      <c r="C1468" s="44" t="s">
        <v>4172</v>
      </c>
      <c r="D1468" s="44" t="s">
        <v>147</v>
      </c>
      <c r="E1468" s="44" t="s">
        <v>51</v>
      </c>
      <c r="G1468" s="44">
        <v>885</v>
      </c>
      <c r="H1468" s="44" t="s">
        <v>2537</v>
      </c>
    </row>
    <row r="1469" spans="1:8">
      <c r="A1469" s="31">
        <f>COUNTIF('BOM Atual ZPCS12'!F:F,B1469)+(1-(SUMIF(Invoice!$A:$A,$B1469,Invoice!$B:$B)/100000000000))</f>
        <v>1</v>
      </c>
      <c r="B1469" s="52" t="s">
        <v>4173</v>
      </c>
      <c r="C1469" s="44" t="s">
        <v>4174</v>
      </c>
      <c r="D1469" s="44" t="s">
        <v>147</v>
      </c>
      <c r="E1469" s="44" t="s">
        <v>51</v>
      </c>
      <c r="G1469" s="44">
        <v>886</v>
      </c>
      <c r="H1469" s="44" t="s">
        <v>2537</v>
      </c>
    </row>
    <row r="1470" spans="1:8">
      <c r="A1470" s="31">
        <f>COUNTIF('BOM Atual ZPCS12'!F:F,B1470)+(1-(SUMIF(Invoice!$A:$A,$B1470,Invoice!$B:$B)/100000000000))</f>
        <v>1</v>
      </c>
      <c r="B1470" s="52" t="s">
        <v>4175</v>
      </c>
      <c r="C1470" s="44" t="s">
        <v>4174</v>
      </c>
      <c r="D1470" s="44" t="s">
        <v>147</v>
      </c>
      <c r="E1470" s="44" t="s">
        <v>51</v>
      </c>
      <c r="G1470" s="44">
        <v>886</v>
      </c>
      <c r="H1470" s="44" t="s">
        <v>2537</v>
      </c>
    </row>
    <row r="1471" spans="1:8">
      <c r="A1471" s="31">
        <f>COUNTIF('BOM Atual ZPCS12'!F:F,B1471)+(1-(SUMIF(Invoice!$A:$A,$B1471,Invoice!$B:$B)/100000000000))</f>
        <v>1</v>
      </c>
      <c r="B1471" s="52" t="s">
        <v>4176</v>
      </c>
      <c r="C1471" s="44" t="s">
        <v>4174</v>
      </c>
      <c r="D1471" s="44" t="s">
        <v>147</v>
      </c>
      <c r="E1471" s="44" t="s">
        <v>51</v>
      </c>
      <c r="G1471" s="44">
        <v>886</v>
      </c>
      <c r="H1471" s="44" t="s">
        <v>2537</v>
      </c>
    </row>
    <row r="1472" spans="1:8">
      <c r="A1472" s="31">
        <f>COUNTIF('BOM Atual ZPCS12'!F:F,B1472)+(1-(SUMIF(Invoice!$A:$A,$B1472,Invoice!$B:$B)/100000000000))</f>
        <v>1</v>
      </c>
      <c r="B1472" s="52" t="s">
        <v>4177</v>
      </c>
      <c r="C1472" s="44" t="s">
        <v>4174</v>
      </c>
      <c r="D1472" s="44" t="s">
        <v>147</v>
      </c>
      <c r="E1472" s="44" t="s">
        <v>51</v>
      </c>
      <c r="G1472" s="44">
        <v>886</v>
      </c>
      <c r="H1472" s="44" t="s">
        <v>2537</v>
      </c>
    </row>
    <row r="1473" spans="1:8">
      <c r="A1473" s="31">
        <f>COUNTIF('BOM Atual ZPCS12'!F:F,B1473)+(1-(SUMIF(Invoice!$A:$A,$B1473,Invoice!$B:$B)/100000000000))</f>
        <v>1</v>
      </c>
      <c r="B1473" s="52" t="s">
        <v>4178</v>
      </c>
      <c r="C1473" s="44" t="s">
        <v>4179</v>
      </c>
      <c r="D1473" s="44" t="s">
        <v>147</v>
      </c>
      <c r="E1473" s="44" t="s">
        <v>51</v>
      </c>
      <c r="G1473" s="44">
        <v>886</v>
      </c>
      <c r="H1473" s="44" t="s">
        <v>2537</v>
      </c>
    </row>
    <row r="1474" spans="1:8">
      <c r="A1474" s="31">
        <f>COUNTIF('BOM Atual ZPCS12'!F:F,B1474)+(1-(SUMIF(Invoice!$A:$A,$B1474,Invoice!$B:$B)/100000000000))</f>
        <v>1</v>
      </c>
      <c r="B1474" s="52" t="s">
        <v>4180</v>
      </c>
      <c r="C1474" s="44" t="s">
        <v>4174</v>
      </c>
      <c r="D1474" s="44" t="s">
        <v>147</v>
      </c>
      <c r="E1474" s="44" t="s">
        <v>51</v>
      </c>
      <c r="G1474" s="44">
        <v>886</v>
      </c>
      <c r="H1474" s="44" t="s">
        <v>2537</v>
      </c>
    </row>
    <row r="1475" spans="1:8">
      <c r="A1475" s="31">
        <f>COUNTIF('BOM Atual ZPCS12'!F:F,B1475)+(1-(SUMIF(Invoice!$A:$A,$B1475,Invoice!$B:$B)/100000000000))</f>
        <v>1</v>
      </c>
      <c r="B1475" s="52" t="s">
        <v>4181</v>
      </c>
      <c r="C1475" s="44" t="s">
        <v>4182</v>
      </c>
      <c r="D1475" s="44" t="s">
        <v>147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1</v>
      </c>
      <c r="B1476" s="52" t="s">
        <v>4183</v>
      </c>
      <c r="C1476" s="44" t="s">
        <v>4184</v>
      </c>
      <c r="D1476" s="44" t="s">
        <v>147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1</v>
      </c>
      <c r="B1477" s="52" t="s">
        <v>4185</v>
      </c>
      <c r="C1477" s="44" t="s">
        <v>4184</v>
      </c>
      <c r="D1477" s="44" t="s">
        <v>147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1</v>
      </c>
      <c r="B1478" s="52" t="s">
        <v>4186</v>
      </c>
      <c r="C1478" s="44" t="s">
        <v>4184</v>
      </c>
      <c r="D1478" s="44" t="s">
        <v>147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1</v>
      </c>
      <c r="B1479" s="52" t="s">
        <v>4187</v>
      </c>
      <c r="C1479" s="44" t="s">
        <v>4188</v>
      </c>
      <c r="D1479" s="44" t="s">
        <v>147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</v>
      </c>
      <c r="B1480" s="52" t="s">
        <v>4189</v>
      </c>
      <c r="C1480" s="44" t="s">
        <v>4184</v>
      </c>
      <c r="D1480" s="44" t="s">
        <v>147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4190</v>
      </c>
      <c r="C1481" s="44" t="s">
        <v>4191</v>
      </c>
      <c r="D1481" s="44" t="s">
        <v>147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4192</v>
      </c>
      <c r="C1482" s="44" t="s">
        <v>4193</v>
      </c>
      <c r="D1482" s="44" t="s">
        <v>147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4194</v>
      </c>
      <c r="C1483" s="44" t="s">
        <v>4191</v>
      </c>
      <c r="D1483" s="44" t="s">
        <v>147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4195</v>
      </c>
      <c r="C1484" s="44" t="s">
        <v>4193</v>
      </c>
      <c r="D1484" s="44" t="s">
        <v>147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4196</v>
      </c>
      <c r="C1485" s="44" t="s">
        <v>4197</v>
      </c>
      <c r="D1485" s="44" t="s">
        <v>147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4198</v>
      </c>
      <c r="C1486" s="44" t="s">
        <v>4199</v>
      </c>
      <c r="D1486" s="44" t="s">
        <v>147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4200</v>
      </c>
      <c r="C1487" s="44" t="s">
        <v>4201</v>
      </c>
      <c r="D1487" s="44" t="s">
        <v>147</v>
      </c>
      <c r="E1487" s="44" t="s">
        <v>51</v>
      </c>
      <c r="G1487" s="44">
        <v>889</v>
      </c>
      <c r="H1487" s="44" t="s">
        <v>2537</v>
      </c>
    </row>
    <row r="1488" spans="1:8">
      <c r="A1488" s="31">
        <f>COUNTIF('BOM Atual ZPCS12'!F:F,B1488)+(1-(SUMIF(Invoice!$A:$A,$B1488,Invoice!$B:$B)/100000000000))</f>
        <v>2</v>
      </c>
      <c r="B1488" s="52" t="s">
        <v>1621</v>
      </c>
      <c r="C1488" s="44" t="s">
        <v>4201</v>
      </c>
      <c r="D1488" s="44" t="s">
        <v>147</v>
      </c>
      <c r="E1488" s="44" t="s">
        <v>51</v>
      </c>
      <c r="G1488" s="44">
        <v>889</v>
      </c>
      <c r="H1488" s="44" t="s">
        <v>2537</v>
      </c>
    </row>
    <row r="1489" spans="1:8">
      <c r="A1489" s="31">
        <f>COUNTIF('BOM Atual ZPCS12'!F:F,B1489)+(1-(SUMIF(Invoice!$A:$A,$B1489,Invoice!$B:$B)/100000000000))</f>
        <v>2</v>
      </c>
      <c r="B1489" s="52" t="s">
        <v>1624</v>
      </c>
      <c r="C1489" s="44" t="s">
        <v>4202</v>
      </c>
      <c r="D1489" s="44" t="s">
        <v>147</v>
      </c>
      <c r="E1489" s="44" t="s">
        <v>51</v>
      </c>
      <c r="G1489" s="44">
        <v>889</v>
      </c>
      <c r="H1489" s="44" t="s">
        <v>2537</v>
      </c>
    </row>
    <row r="1490" spans="1:8">
      <c r="A1490" s="31">
        <f>COUNTIF('BOM Atual ZPCS12'!F:F,B1490)+(1-(SUMIF(Invoice!$A:$A,$B1490,Invoice!$B:$B)/100000000000))</f>
        <v>2</v>
      </c>
      <c r="B1490" s="52" t="s">
        <v>1626</v>
      </c>
      <c r="C1490" s="44" t="s">
        <v>4202</v>
      </c>
      <c r="D1490" s="44" t="s">
        <v>147</v>
      </c>
      <c r="E1490" s="44" t="s">
        <v>51</v>
      </c>
      <c r="G1490" s="44">
        <v>889</v>
      </c>
      <c r="H1490" s="44" t="s">
        <v>2537</v>
      </c>
    </row>
    <row r="1491" spans="1:8">
      <c r="A1491" s="31">
        <f>COUNTIF('BOM Atual ZPCS12'!F:F,B1491)+(1-(SUMIF(Invoice!$A:$A,$B1491,Invoice!$B:$B)/100000000000))</f>
        <v>2</v>
      </c>
      <c r="B1491" s="52" t="s">
        <v>1627</v>
      </c>
      <c r="C1491" s="44" t="s">
        <v>4201</v>
      </c>
      <c r="D1491" s="44" t="s">
        <v>147</v>
      </c>
      <c r="E1491" s="44" t="s">
        <v>51</v>
      </c>
      <c r="G1491" s="44">
        <v>889</v>
      </c>
      <c r="H1491" s="44" t="s">
        <v>2537</v>
      </c>
    </row>
    <row r="1492" spans="1:8">
      <c r="A1492" s="31">
        <f>COUNTIF('BOM Atual ZPCS12'!F:F,B1492)+(1-(SUMIF(Invoice!$A:$A,$B1492,Invoice!$B:$B)/100000000000))</f>
        <v>1.9999999000000002</v>
      </c>
      <c r="B1492" s="52" t="s">
        <v>1628</v>
      </c>
      <c r="C1492" s="44" t="s">
        <v>4201</v>
      </c>
      <c r="D1492" s="44" t="s">
        <v>147</v>
      </c>
      <c r="E1492" s="44" t="s">
        <v>51</v>
      </c>
      <c r="G1492" s="44">
        <v>889</v>
      </c>
      <c r="H1492" s="44" t="s">
        <v>2537</v>
      </c>
    </row>
    <row r="1493" spans="1:8">
      <c r="A1493" s="31">
        <f>COUNTIF('BOM Atual ZPCS12'!F:F,B1493)+(1-(SUMIF(Invoice!$A:$A,$B1493,Invoice!$B:$B)/100000000000))</f>
        <v>1</v>
      </c>
      <c r="B1493" s="52" t="s">
        <v>4203</v>
      </c>
      <c r="C1493" s="44" t="s">
        <v>4204</v>
      </c>
      <c r="D1493" s="44" t="s">
        <v>147</v>
      </c>
      <c r="E1493" s="44" t="s">
        <v>51</v>
      </c>
      <c r="G1493" s="44">
        <v>891</v>
      </c>
      <c r="H1493" s="44" t="s">
        <v>2537</v>
      </c>
    </row>
    <row r="1494" spans="1:8">
      <c r="A1494" s="31">
        <f>COUNTIF('BOM Atual ZPCS12'!F:F,B1494)+(1-(SUMIF(Invoice!$A:$A,$B1494,Invoice!$B:$B)/100000000000))</f>
        <v>1.9999999000000002</v>
      </c>
      <c r="B1494" s="52" t="s">
        <v>1659</v>
      </c>
      <c r="C1494" s="44" t="s">
        <v>1660</v>
      </c>
      <c r="D1494" s="44" t="s">
        <v>147</v>
      </c>
      <c r="E1494" s="44" t="s">
        <v>51</v>
      </c>
      <c r="G1494" s="44">
        <v>891</v>
      </c>
      <c r="H1494" s="44" t="s">
        <v>2537</v>
      </c>
    </row>
    <row r="1495" spans="1:8">
      <c r="A1495" s="31">
        <f>COUNTIF('BOM Atual ZPCS12'!F:F,B1495)+(1-(SUMIF(Invoice!$A:$A,$B1495,Invoice!$B:$B)/100000000000))</f>
        <v>2</v>
      </c>
      <c r="B1495" s="52" t="s">
        <v>1662</v>
      </c>
      <c r="C1495" s="44" t="s">
        <v>1663</v>
      </c>
      <c r="D1495" s="44" t="s">
        <v>147</v>
      </c>
      <c r="E1495" s="44" t="s">
        <v>51</v>
      </c>
      <c r="G1495" s="44">
        <v>891</v>
      </c>
      <c r="H1495" s="44" t="s">
        <v>2537</v>
      </c>
    </row>
    <row r="1496" spans="1:8">
      <c r="A1496" s="31">
        <f>COUNTIF('BOM Atual ZPCS12'!F:F,B1496)+(1-(SUMIF(Invoice!$A:$A,$B1496,Invoice!$B:$B)/100000000000))</f>
        <v>2</v>
      </c>
      <c r="B1496" s="52" t="s">
        <v>1664</v>
      </c>
      <c r="C1496" s="44" t="s">
        <v>1665</v>
      </c>
      <c r="D1496" s="44" t="s">
        <v>147</v>
      </c>
      <c r="E1496" s="44" t="s">
        <v>51</v>
      </c>
      <c r="G1496" s="44">
        <v>891</v>
      </c>
      <c r="H1496" s="44" t="s">
        <v>2537</v>
      </c>
    </row>
    <row r="1497" spans="1:8">
      <c r="A1497" s="31">
        <f>COUNTIF('BOM Atual ZPCS12'!F:F,B1497)+(1-(SUMIF(Invoice!$A:$A,$B1497,Invoice!$B:$B)/100000000000))</f>
        <v>2</v>
      </c>
      <c r="B1497" s="52" t="s">
        <v>1666</v>
      </c>
      <c r="C1497" s="44" t="s">
        <v>1667</v>
      </c>
      <c r="D1497" s="44" t="s">
        <v>147</v>
      </c>
      <c r="E1497" s="44" t="s">
        <v>51</v>
      </c>
      <c r="G1497" s="44">
        <v>891</v>
      </c>
      <c r="H1497" s="44" t="s">
        <v>2537</v>
      </c>
    </row>
    <row r="1498" spans="1:8">
      <c r="A1498" s="31">
        <f>COUNTIF('BOM Atual ZPCS12'!F:F,B1498)+(1-(SUMIF(Invoice!$A:$A,$B1498,Invoice!$B:$B)/100000000000))</f>
        <v>2</v>
      </c>
      <c r="B1498" s="52" t="s">
        <v>1668</v>
      </c>
      <c r="C1498" s="44" t="s">
        <v>1669</v>
      </c>
      <c r="D1498" s="44" t="s">
        <v>147</v>
      </c>
      <c r="E1498" s="44" t="s">
        <v>51</v>
      </c>
      <c r="G1498" s="44">
        <v>891</v>
      </c>
      <c r="H1498" s="44" t="s">
        <v>2537</v>
      </c>
    </row>
    <row r="1499" spans="1:8">
      <c r="A1499" s="31">
        <f>COUNTIF('BOM Atual ZPCS12'!F:F,B1499)+(1-(SUMIF(Invoice!$A:$A,$B1499,Invoice!$B:$B)/100000000000))</f>
        <v>1</v>
      </c>
      <c r="B1499" s="52" t="s">
        <v>4205</v>
      </c>
      <c r="C1499" s="44" t="s">
        <v>4206</v>
      </c>
      <c r="D1499" s="44" t="s">
        <v>147</v>
      </c>
      <c r="E1499" s="44" t="s">
        <v>51</v>
      </c>
      <c r="G1499" s="44">
        <v>892</v>
      </c>
      <c r="H1499" s="44" t="s">
        <v>2537</v>
      </c>
    </row>
    <row r="1500" spans="1:8">
      <c r="A1500" s="31">
        <f>COUNTIF('BOM Atual ZPCS12'!F:F,B1500)+(1-(SUMIF(Invoice!$A:$A,$B1500,Invoice!$B:$B)/100000000000))</f>
        <v>2</v>
      </c>
      <c r="B1500" s="52" t="s">
        <v>1679</v>
      </c>
      <c r="C1500" s="44" t="s">
        <v>4206</v>
      </c>
      <c r="D1500" s="44" t="s">
        <v>147</v>
      </c>
      <c r="E1500" s="44" t="s">
        <v>51</v>
      </c>
      <c r="G1500" s="44">
        <v>892</v>
      </c>
      <c r="H1500" s="44" t="s">
        <v>2537</v>
      </c>
    </row>
    <row r="1501" spans="1:8">
      <c r="A1501" s="31">
        <f>COUNTIF('BOM Atual ZPCS12'!F:F,B1501)+(1-(SUMIF(Invoice!$A:$A,$B1501,Invoice!$B:$B)/100000000000))</f>
        <v>1.9999994999999999</v>
      </c>
      <c r="B1501" s="52" t="s">
        <v>1682</v>
      </c>
      <c r="C1501" s="44" t="s">
        <v>4206</v>
      </c>
      <c r="D1501" s="44" t="s">
        <v>147</v>
      </c>
      <c r="E1501" s="44" t="s">
        <v>51</v>
      </c>
      <c r="G1501" s="44">
        <v>892</v>
      </c>
      <c r="H1501" s="44" t="s">
        <v>2537</v>
      </c>
    </row>
    <row r="1502" spans="1:8">
      <c r="A1502" s="31">
        <f>COUNTIF('BOM Atual ZPCS12'!F:F,B1502)+(1-(SUMIF(Invoice!$A:$A,$B1502,Invoice!$B:$B)/100000000000))</f>
        <v>1.9999997999999999</v>
      </c>
      <c r="B1502" s="52" t="s">
        <v>1683</v>
      </c>
      <c r="C1502" s="44" t="s">
        <v>4206</v>
      </c>
      <c r="D1502" s="44" t="s">
        <v>147</v>
      </c>
      <c r="E1502" s="44" t="s">
        <v>51</v>
      </c>
      <c r="G1502" s="44">
        <v>892</v>
      </c>
      <c r="H1502" s="44" t="s">
        <v>2537</v>
      </c>
    </row>
    <row r="1503" spans="1:8">
      <c r="A1503" s="31">
        <f>COUNTIF('BOM Atual ZPCS12'!F:F,B1503)+(1-(SUMIF(Invoice!$A:$A,$B1503,Invoice!$B:$B)/100000000000))</f>
        <v>2</v>
      </c>
      <c r="B1503" s="52" t="s">
        <v>1684</v>
      </c>
      <c r="C1503" s="44" t="s">
        <v>4206</v>
      </c>
      <c r="D1503" s="44" t="s">
        <v>147</v>
      </c>
      <c r="E1503" s="44" t="s">
        <v>51</v>
      </c>
      <c r="G1503" s="44">
        <v>892</v>
      </c>
      <c r="H1503" s="44" t="s">
        <v>2537</v>
      </c>
    </row>
    <row r="1504" spans="1:8">
      <c r="A1504" s="31">
        <f>COUNTIF('BOM Atual ZPCS12'!F:F,B1504)+(1-(SUMIF(Invoice!$A:$A,$B1504,Invoice!$B:$B)/100000000000))</f>
        <v>2</v>
      </c>
      <c r="B1504" s="52" t="s">
        <v>1685</v>
      </c>
      <c r="C1504" s="44" t="s">
        <v>1686</v>
      </c>
      <c r="D1504" s="44" t="s">
        <v>147</v>
      </c>
      <c r="E1504" s="44" t="s">
        <v>51</v>
      </c>
      <c r="G1504" s="44">
        <v>892</v>
      </c>
      <c r="H1504" s="44" t="s">
        <v>2537</v>
      </c>
    </row>
    <row r="1505" spans="1:8">
      <c r="A1505" s="31">
        <f>COUNTIF('BOM Atual ZPCS12'!F:F,B1505)+(1-(SUMIF(Invoice!$A:$A,$B1505,Invoice!$B:$B)/100000000000))</f>
        <v>2</v>
      </c>
      <c r="B1505" s="52" t="s">
        <v>1712</v>
      </c>
      <c r="C1505" s="44" t="s">
        <v>1713</v>
      </c>
      <c r="D1505" s="44" t="s">
        <v>147</v>
      </c>
      <c r="E1505" s="44" t="s">
        <v>51</v>
      </c>
      <c r="G1505" s="44">
        <v>893</v>
      </c>
      <c r="H1505" s="44" t="s">
        <v>2537</v>
      </c>
    </row>
    <row r="1506" spans="1:8">
      <c r="A1506" s="31">
        <f>COUNTIF('BOM Atual ZPCS12'!F:F,B1506)+(1-(SUMIF(Invoice!$A:$A,$B1506,Invoice!$B:$B)/100000000000))</f>
        <v>1</v>
      </c>
      <c r="B1506" s="52" t="s">
        <v>4207</v>
      </c>
      <c r="C1506" s="44" t="s">
        <v>4208</v>
      </c>
      <c r="D1506" s="44" t="s">
        <v>147</v>
      </c>
      <c r="E1506" s="44" t="s">
        <v>51</v>
      </c>
      <c r="G1506" s="44">
        <v>893</v>
      </c>
      <c r="H1506" s="44" t="s">
        <v>2537</v>
      </c>
    </row>
    <row r="1507" spans="1:8">
      <c r="A1507" s="31">
        <f>COUNTIF('BOM Atual ZPCS12'!F:F,B1507)+(1-(SUMIF(Invoice!$A:$A,$B1507,Invoice!$B:$B)/100000000000))</f>
        <v>1.99999996</v>
      </c>
      <c r="B1507" s="52" t="s">
        <v>1715</v>
      </c>
      <c r="C1507" s="44" t="s">
        <v>1716</v>
      </c>
      <c r="D1507" s="44" t="s">
        <v>147</v>
      </c>
      <c r="E1507" s="44" t="s">
        <v>51</v>
      </c>
      <c r="G1507" s="44">
        <v>893</v>
      </c>
      <c r="H1507" s="44" t="s">
        <v>2537</v>
      </c>
    </row>
    <row r="1508" spans="1:8">
      <c r="A1508" s="31">
        <f>COUNTIF('BOM Atual ZPCS12'!F:F,B1508)+(1-(SUMIF(Invoice!$A:$A,$B1508,Invoice!$B:$B)/100000000000))</f>
        <v>1</v>
      </c>
      <c r="B1508" s="52" t="s">
        <v>4209</v>
      </c>
      <c r="C1508" s="44" t="s">
        <v>4210</v>
      </c>
      <c r="D1508" s="44" t="s">
        <v>147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1</v>
      </c>
      <c r="B1509" s="52" t="s">
        <v>4211</v>
      </c>
      <c r="C1509" s="44" t="s">
        <v>4212</v>
      </c>
      <c r="D1509" s="44" t="s">
        <v>147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1</v>
      </c>
      <c r="B1510" s="52" t="s">
        <v>4213</v>
      </c>
      <c r="C1510" s="44" t="s">
        <v>4210</v>
      </c>
      <c r="D1510" s="44" t="s">
        <v>147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1</v>
      </c>
      <c r="B1511" s="52" t="s">
        <v>4214</v>
      </c>
      <c r="C1511" s="44" t="s">
        <v>4215</v>
      </c>
      <c r="D1511" s="44" t="s">
        <v>147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</v>
      </c>
      <c r="B1512" s="52" t="s">
        <v>4216</v>
      </c>
      <c r="C1512" s="44" t="s">
        <v>4217</v>
      </c>
      <c r="D1512" s="44" t="s">
        <v>147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1</v>
      </c>
      <c r="B1513" s="52" t="s">
        <v>4218</v>
      </c>
      <c r="C1513" s="44" t="s">
        <v>4219</v>
      </c>
      <c r="D1513" s="44" t="s">
        <v>147</v>
      </c>
      <c r="E1513" s="44" t="s">
        <v>51</v>
      </c>
      <c r="G1513" s="44">
        <v>895</v>
      </c>
      <c r="H1513" s="44" t="s">
        <v>2537</v>
      </c>
    </row>
    <row r="1514" spans="1:8">
      <c r="A1514" s="31">
        <f>COUNTIF('BOM Atual ZPCS12'!F:F,B1514)+(1-(SUMIF(Invoice!$A:$A,$B1514,Invoice!$B:$B)/100000000000))</f>
        <v>1</v>
      </c>
      <c r="B1514" s="52" t="s">
        <v>4220</v>
      </c>
      <c r="C1514" s="44" t="s">
        <v>4219</v>
      </c>
      <c r="D1514" s="44" t="s">
        <v>147</v>
      </c>
      <c r="E1514" s="44" t="s">
        <v>51</v>
      </c>
      <c r="G1514" s="44">
        <v>895</v>
      </c>
      <c r="H1514" s="44" t="s">
        <v>2537</v>
      </c>
    </row>
    <row r="1515" spans="1:8">
      <c r="A1515" s="31">
        <f>COUNTIF('BOM Atual ZPCS12'!F:F,B1515)+(1-(SUMIF(Invoice!$A:$A,$B1515,Invoice!$B:$B)/100000000000))</f>
        <v>1</v>
      </c>
      <c r="B1515" s="52" t="s">
        <v>4221</v>
      </c>
      <c r="C1515" s="44" t="s">
        <v>4219</v>
      </c>
      <c r="D1515" s="44" t="s">
        <v>147</v>
      </c>
      <c r="E1515" s="44" t="s">
        <v>51</v>
      </c>
      <c r="G1515" s="44">
        <v>895</v>
      </c>
      <c r="H1515" s="44" t="s">
        <v>2537</v>
      </c>
    </row>
    <row r="1516" spans="1:8">
      <c r="A1516" s="31">
        <f>COUNTIF('BOM Atual ZPCS12'!F:F,B1516)+(1-(SUMIF(Invoice!$A:$A,$B1516,Invoice!$B:$B)/100000000000))</f>
        <v>1</v>
      </c>
      <c r="B1516" s="52" t="s">
        <v>4222</v>
      </c>
      <c r="C1516" s="44" t="s">
        <v>4219</v>
      </c>
      <c r="D1516" s="44" t="s">
        <v>147</v>
      </c>
      <c r="E1516" s="44" t="s">
        <v>51</v>
      </c>
      <c r="G1516" s="44">
        <v>895</v>
      </c>
      <c r="H1516" s="44" t="s">
        <v>2537</v>
      </c>
    </row>
    <row r="1517" spans="1:8">
      <c r="A1517" s="31">
        <f>COUNTIF('BOM Atual ZPCS12'!F:F,B1517)+(1-(SUMIF(Invoice!$A:$A,$B1517,Invoice!$B:$B)/100000000000))</f>
        <v>1</v>
      </c>
      <c r="B1517" s="52" t="s">
        <v>4223</v>
      </c>
      <c r="C1517" s="44" t="s">
        <v>4224</v>
      </c>
      <c r="D1517" s="44" t="s">
        <v>147</v>
      </c>
      <c r="E1517" s="44" t="s">
        <v>51</v>
      </c>
      <c r="G1517" s="44">
        <v>895</v>
      </c>
      <c r="H1517" s="44" t="s">
        <v>2537</v>
      </c>
    </row>
    <row r="1518" spans="1:8">
      <c r="A1518" s="31">
        <f>COUNTIF('BOM Atual ZPCS12'!F:F,B1518)+(1-(SUMIF(Invoice!$A:$A,$B1518,Invoice!$B:$B)/100000000000))</f>
        <v>2</v>
      </c>
      <c r="B1518" s="52" t="s">
        <v>1910</v>
      </c>
      <c r="C1518" s="44" t="s">
        <v>1911</v>
      </c>
      <c r="D1518" s="44" t="s">
        <v>147</v>
      </c>
      <c r="E1518" s="44" t="s">
        <v>51</v>
      </c>
      <c r="G1518" s="44">
        <v>897</v>
      </c>
      <c r="H1518" s="44" t="s">
        <v>2537</v>
      </c>
    </row>
    <row r="1519" spans="1:8">
      <c r="A1519" s="31">
        <f>COUNTIF('BOM Atual ZPCS12'!F:F,B1519)+(1-(SUMIF(Invoice!$A:$A,$B1519,Invoice!$B:$B)/100000000000))</f>
        <v>2</v>
      </c>
      <c r="B1519" s="52" t="s">
        <v>1913</v>
      </c>
      <c r="C1519" s="44" t="s">
        <v>1914</v>
      </c>
      <c r="D1519" s="44" t="s">
        <v>147</v>
      </c>
      <c r="E1519" s="44" t="s">
        <v>51</v>
      </c>
      <c r="G1519" s="44">
        <v>897</v>
      </c>
      <c r="H1519" s="44" t="s">
        <v>2537</v>
      </c>
    </row>
    <row r="1520" spans="1:8">
      <c r="A1520" s="31">
        <f>COUNTIF('BOM Atual ZPCS12'!F:F,B1520)+(1-(SUMIF(Invoice!$A:$A,$B1520,Invoice!$B:$B)/100000000000))</f>
        <v>2</v>
      </c>
      <c r="B1520" s="52" t="s">
        <v>1915</v>
      </c>
      <c r="C1520" s="44" t="s">
        <v>1916</v>
      </c>
      <c r="D1520" s="44" t="s">
        <v>147</v>
      </c>
      <c r="E1520" s="44" t="s">
        <v>51</v>
      </c>
      <c r="G1520" s="44">
        <v>897</v>
      </c>
      <c r="H1520" s="44" t="s">
        <v>2537</v>
      </c>
    </row>
    <row r="1521" spans="1:8">
      <c r="A1521" s="31">
        <f>COUNTIF('BOM Atual ZPCS12'!F:F,B1521)+(1-(SUMIF(Invoice!$A:$A,$B1521,Invoice!$B:$B)/100000000000))</f>
        <v>1.99999996</v>
      </c>
      <c r="B1521" s="52" t="s">
        <v>1917</v>
      </c>
      <c r="C1521" s="44" t="s">
        <v>1918</v>
      </c>
      <c r="D1521" s="44" t="s">
        <v>147</v>
      </c>
      <c r="E1521" s="44" t="s">
        <v>51</v>
      </c>
      <c r="G1521" s="44">
        <v>897</v>
      </c>
      <c r="H1521" s="44" t="s">
        <v>2537</v>
      </c>
    </row>
    <row r="1522" spans="1:8">
      <c r="A1522" s="31">
        <f>COUNTIF('BOM Atual ZPCS12'!F:F,B1522)+(1-(SUMIF(Invoice!$A:$A,$B1522,Invoice!$B:$B)/100000000000))</f>
        <v>2</v>
      </c>
      <c r="B1522" s="52" t="s">
        <v>1919</v>
      </c>
      <c r="C1522" s="44" t="s">
        <v>1920</v>
      </c>
      <c r="D1522" s="44" t="s">
        <v>147</v>
      </c>
      <c r="E1522" s="44" t="s">
        <v>51</v>
      </c>
      <c r="G1522" s="44">
        <v>897</v>
      </c>
      <c r="H1522" s="44" t="s">
        <v>2537</v>
      </c>
    </row>
    <row r="1523" spans="1:8">
      <c r="A1523" s="31">
        <f>COUNTIF('BOM Atual ZPCS12'!F:F,B1523)+(1-(SUMIF(Invoice!$A:$A,$B1523,Invoice!$B:$B)/100000000000))</f>
        <v>1.9999994999999999</v>
      </c>
      <c r="B1523" s="52" t="s">
        <v>1817</v>
      </c>
      <c r="C1523" s="44" t="s">
        <v>1818</v>
      </c>
      <c r="D1523" s="44" t="s">
        <v>147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2</v>
      </c>
      <c r="B1524" s="52" t="s">
        <v>1820</v>
      </c>
      <c r="C1524" s="44" t="s">
        <v>4225</v>
      </c>
      <c r="D1524" s="44" t="s">
        <v>147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2</v>
      </c>
      <c r="B1525" s="52" t="s">
        <v>1822</v>
      </c>
      <c r="C1525" s="44" t="s">
        <v>4225</v>
      </c>
      <c r="D1525" s="44" t="s">
        <v>147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4226</v>
      </c>
      <c r="C1526" s="44" t="s">
        <v>4227</v>
      </c>
      <c r="D1526" s="44" t="s">
        <v>147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4228</v>
      </c>
      <c r="C1527" s="44" t="s">
        <v>4229</v>
      </c>
      <c r="D1527" s="44" t="s">
        <v>147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4230</v>
      </c>
      <c r="C1528" s="44" t="s">
        <v>4231</v>
      </c>
      <c r="D1528" s="44" t="s">
        <v>147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4232</v>
      </c>
      <c r="C1529" s="44" t="s">
        <v>4233</v>
      </c>
      <c r="D1529" s="44" t="s">
        <v>147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</v>
      </c>
      <c r="B1530" s="52" t="s">
        <v>4234</v>
      </c>
      <c r="C1530" s="44" t="s">
        <v>4235</v>
      </c>
      <c r="D1530" s="44" t="s">
        <v>147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1</v>
      </c>
      <c r="B1531" s="52" t="s">
        <v>4236</v>
      </c>
      <c r="C1531" s="44" t="s">
        <v>4237</v>
      </c>
      <c r="D1531" s="44" t="s">
        <v>147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</v>
      </c>
      <c r="B1532" s="52" t="s">
        <v>4238</v>
      </c>
      <c r="C1532" s="44" t="s">
        <v>4239</v>
      </c>
      <c r="D1532" s="44" t="s">
        <v>147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1</v>
      </c>
      <c r="B1533" s="52" t="s">
        <v>4240</v>
      </c>
      <c r="C1533" s="44" t="s">
        <v>4241</v>
      </c>
      <c r="D1533" s="44" t="s">
        <v>147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1</v>
      </c>
      <c r="B1534" s="52" t="s">
        <v>4242</v>
      </c>
      <c r="C1534" s="44" t="s">
        <v>4243</v>
      </c>
      <c r="D1534" s="44" t="s">
        <v>147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</v>
      </c>
      <c r="B1535" s="52" t="s">
        <v>4244</v>
      </c>
      <c r="C1535" s="44" t="s">
        <v>4245</v>
      </c>
      <c r="D1535" s="44" t="s">
        <v>147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1950</v>
      </c>
      <c r="C1536" s="44" t="s">
        <v>1951</v>
      </c>
      <c r="D1536" s="44" t="s">
        <v>147</v>
      </c>
      <c r="E1536" s="44" t="s">
        <v>51</v>
      </c>
      <c r="G1536" s="44">
        <v>905</v>
      </c>
      <c r="H1536" s="44" t="s">
        <v>2537</v>
      </c>
    </row>
    <row r="1537" spans="1:8">
      <c r="A1537" s="31">
        <f>COUNTIF('BOM Atual ZPCS12'!F:F,B1537)+(1-(SUMIF(Invoice!$A:$A,$B1537,Invoice!$B:$B)/100000000000))</f>
        <v>1.9999999900000001</v>
      </c>
      <c r="B1537" s="52" t="s">
        <v>1953</v>
      </c>
      <c r="C1537" s="44" t="s">
        <v>1954</v>
      </c>
      <c r="D1537" s="44" t="s">
        <v>147</v>
      </c>
      <c r="E1537" s="44" t="s">
        <v>51</v>
      </c>
      <c r="G1537" s="44">
        <v>905</v>
      </c>
      <c r="H1537" s="44" t="s">
        <v>2537</v>
      </c>
    </row>
    <row r="1538" spans="1:8">
      <c r="A1538" s="31">
        <f>COUNTIF('BOM Atual ZPCS12'!F:F,B1538)+(1-(SUMIF(Invoice!$A:$A,$B1538,Invoice!$B:$B)/100000000000))</f>
        <v>2</v>
      </c>
      <c r="B1538" s="52" t="s">
        <v>1955</v>
      </c>
      <c r="C1538" s="44" t="s">
        <v>1956</v>
      </c>
      <c r="D1538" s="44" t="s">
        <v>147</v>
      </c>
      <c r="E1538" s="44" t="s">
        <v>51</v>
      </c>
      <c r="G1538" s="44">
        <v>905</v>
      </c>
      <c r="H1538" s="44" t="s">
        <v>2537</v>
      </c>
    </row>
    <row r="1539" spans="1:8">
      <c r="A1539" s="31">
        <f>COUNTIF('BOM Atual ZPCS12'!F:F,B1539)+(1-(SUMIF(Invoice!$A:$A,$B1539,Invoice!$B:$B)/100000000000))</f>
        <v>2</v>
      </c>
      <c r="B1539" s="52" t="s">
        <v>1957</v>
      </c>
      <c r="C1539" s="44" t="s">
        <v>1958</v>
      </c>
      <c r="D1539" s="44" t="s">
        <v>147</v>
      </c>
      <c r="E1539" s="44" t="s">
        <v>51</v>
      </c>
      <c r="G1539" s="44">
        <v>905</v>
      </c>
      <c r="H1539" s="44" t="s">
        <v>2537</v>
      </c>
    </row>
    <row r="1540" spans="1:8">
      <c r="A1540" s="31">
        <f>COUNTIF('BOM Atual ZPCS12'!F:F,B1540)+(1-(SUMIF(Invoice!$A:$A,$B1540,Invoice!$B:$B)/100000000000))</f>
        <v>2</v>
      </c>
      <c r="B1540" s="52" t="s">
        <v>2006</v>
      </c>
      <c r="C1540" s="44" t="s">
        <v>2007</v>
      </c>
      <c r="D1540" s="44" t="s">
        <v>147</v>
      </c>
      <c r="E1540" s="44" t="s">
        <v>51</v>
      </c>
      <c r="G1540" s="44">
        <v>905</v>
      </c>
      <c r="H1540" s="44" t="s">
        <v>2537</v>
      </c>
    </row>
    <row r="1541" spans="1:8">
      <c r="A1541" s="31">
        <f>COUNTIF('BOM Atual ZPCS12'!F:F,B1541)+(1-(SUMIF(Invoice!$A:$A,$B1541,Invoice!$B:$B)/100000000000))</f>
        <v>1.9999999100000001</v>
      </c>
      <c r="B1541" s="52" t="s">
        <v>2009</v>
      </c>
      <c r="C1541" s="44" t="s">
        <v>2010</v>
      </c>
      <c r="D1541" s="44" t="s">
        <v>147</v>
      </c>
      <c r="E1541" s="44" t="s">
        <v>51</v>
      </c>
      <c r="G1541" s="44">
        <v>905</v>
      </c>
      <c r="H1541" s="44" t="s">
        <v>2537</v>
      </c>
    </row>
    <row r="1542" spans="1:8">
      <c r="A1542" s="31">
        <f>COUNTIF('BOM Atual ZPCS12'!F:F,B1542)+(1-(SUMIF(Invoice!$A:$A,$B1542,Invoice!$B:$B)/100000000000))</f>
        <v>2</v>
      </c>
      <c r="B1542" s="52" t="s">
        <v>2011</v>
      </c>
      <c r="C1542" s="44" t="s">
        <v>2012</v>
      </c>
      <c r="D1542" s="44" t="s">
        <v>147</v>
      </c>
      <c r="E1542" s="44" t="s">
        <v>51</v>
      </c>
      <c r="G1542" s="44">
        <v>905</v>
      </c>
      <c r="H1542" s="44" t="s">
        <v>2537</v>
      </c>
    </row>
    <row r="1543" spans="1:8">
      <c r="A1543" s="31">
        <f>COUNTIF('BOM Atual ZPCS12'!F:F,B1543)+(1-(SUMIF(Invoice!$A:$A,$B1543,Invoice!$B:$B)/100000000000))</f>
        <v>1</v>
      </c>
      <c r="B1543" s="52" t="s">
        <v>4246</v>
      </c>
      <c r="C1543" s="44" t="s">
        <v>4247</v>
      </c>
      <c r="D1543" s="44" t="s">
        <v>147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1</v>
      </c>
      <c r="B1544" s="52" t="s">
        <v>4248</v>
      </c>
      <c r="C1544" s="44" t="s">
        <v>4249</v>
      </c>
      <c r="D1544" s="44" t="s">
        <v>147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1.9999999900000001</v>
      </c>
      <c r="B1545" s="52" t="s">
        <v>1959</v>
      </c>
      <c r="C1545" s="44" t="s">
        <v>1960</v>
      </c>
      <c r="D1545" s="44" t="s">
        <v>147</v>
      </c>
      <c r="E1545" s="44" t="s">
        <v>51</v>
      </c>
      <c r="G1545" s="44">
        <v>907</v>
      </c>
      <c r="H1545" s="44" t="s">
        <v>2537</v>
      </c>
    </row>
    <row r="1546" spans="1:8">
      <c r="A1546" s="31">
        <f>COUNTIF('BOM Atual ZPCS12'!F:F,B1546)+(1-(SUMIF(Invoice!$A:$A,$B1546,Invoice!$B:$B)/100000000000))</f>
        <v>2</v>
      </c>
      <c r="B1546" s="52" t="s">
        <v>1962</v>
      </c>
      <c r="C1546" s="44" t="s">
        <v>1963</v>
      </c>
      <c r="D1546" s="44" t="s">
        <v>147</v>
      </c>
      <c r="E1546" s="44" t="s">
        <v>51</v>
      </c>
      <c r="G1546" s="44">
        <v>907</v>
      </c>
      <c r="H1546" s="44" t="s">
        <v>2537</v>
      </c>
    </row>
    <row r="1547" spans="1:8">
      <c r="A1547" s="31">
        <f>COUNTIF('BOM Atual ZPCS12'!F:F,B1547)+(1-(SUMIF(Invoice!$A:$A,$B1547,Invoice!$B:$B)/100000000000))</f>
        <v>1.99999993</v>
      </c>
      <c r="B1547" s="52" t="s">
        <v>2013</v>
      </c>
      <c r="C1547" s="44" t="s">
        <v>2014</v>
      </c>
      <c r="D1547" s="44" t="s">
        <v>147</v>
      </c>
      <c r="E1547" s="44" t="s">
        <v>51</v>
      </c>
      <c r="G1547" s="44">
        <v>907</v>
      </c>
      <c r="H1547" s="44" t="s">
        <v>2537</v>
      </c>
    </row>
    <row r="1548" spans="1:8">
      <c r="A1548" s="31">
        <f>COUNTIF('BOM Atual ZPCS12'!F:F,B1548)+(1-(SUMIF(Invoice!$A:$A,$B1548,Invoice!$B:$B)/100000000000))</f>
        <v>2</v>
      </c>
      <c r="B1548" s="52" t="s">
        <v>2016</v>
      </c>
      <c r="C1548" s="44" t="s">
        <v>2017</v>
      </c>
      <c r="D1548" s="44" t="s">
        <v>147</v>
      </c>
      <c r="E1548" s="44" t="s">
        <v>51</v>
      </c>
      <c r="G1548" s="44">
        <v>907</v>
      </c>
      <c r="H1548" s="44" t="s">
        <v>2537</v>
      </c>
    </row>
    <row r="1549" spans="1:8">
      <c r="A1549" s="31">
        <f>COUNTIF('BOM Atual ZPCS12'!F:F,B1549)+(1-(SUMIF(Invoice!$A:$A,$B1549,Invoice!$B:$B)/100000000000))</f>
        <v>2</v>
      </c>
      <c r="B1549" s="52" t="s">
        <v>2018</v>
      </c>
      <c r="C1549" s="44" t="s">
        <v>2019</v>
      </c>
      <c r="D1549" s="44" t="s">
        <v>147</v>
      </c>
      <c r="E1549" s="44" t="s">
        <v>51</v>
      </c>
      <c r="G1549" s="44">
        <v>907</v>
      </c>
      <c r="H1549" s="44" t="s">
        <v>2537</v>
      </c>
    </row>
    <row r="1550" spans="1:8">
      <c r="A1550" s="31">
        <f>COUNTIF('BOM Atual ZPCS12'!F:F,B1550)+(1-(SUMIF(Invoice!$A:$A,$B1550,Invoice!$B:$B)/100000000000))</f>
        <v>1</v>
      </c>
      <c r="B1550" s="52" t="s">
        <v>4250</v>
      </c>
      <c r="C1550" s="44" t="s">
        <v>4251</v>
      </c>
      <c r="D1550" s="44" t="s">
        <v>147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</v>
      </c>
      <c r="B1551" s="52" t="s">
        <v>4252</v>
      </c>
      <c r="C1551" s="44" t="s">
        <v>4253</v>
      </c>
      <c r="D1551" s="44" t="s">
        <v>147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1</v>
      </c>
      <c r="B1552" s="52" t="s">
        <v>4254</v>
      </c>
      <c r="C1552" s="44" t="s">
        <v>4255</v>
      </c>
      <c r="D1552" s="44" t="s">
        <v>147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</v>
      </c>
      <c r="B1553" s="52" t="s">
        <v>4256</v>
      </c>
      <c r="C1553" s="44" t="s">
        <v>4257</v>
      </c>
      <c r="D1553" s="44" t="s">
        <v>147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1</v>
      </c>
      <c r="B1554" s="52" t="s">
        <v>4258</v>
      </c>
      <c r="C1554" s="44" t="s">
        <v>4259</v>
      </c>
      <c r="D1554" s="44" t="s">
        <v>147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1</v>
      </c>
      <c r="B1555" s="52" t="s">
        <v>4260</v>
      </c>
      <c r="C1555" s="44" t="s">
        <v>4261</v>
      </c>
      <c r="D1555" s="44" t="s">
        <v>147</v>
      </c>
      <c r="E1555" s="44" t="s">
        <v>51</v>
      </c>
      <c r="G1555" s="44">
        <v>910</v>
      </c>
      <c r="H1555" s="44" t="s">
        <v>2537</v>
      </c>
    </row>
    <row r="1556" spans="1:8">
      <c r="A1556" s="31">
        <f>COUNTIF('BOM Atual ZPCS12'!F:F,B1556)+(1-(SUMIF(Invoice!$A:$A,$B1556,Invoice!$B:$B)/100000000000))</f>
        <v>1</v>
      </c>
      <c r="B1556" s="52" t="s">
        <v>4262</v>
      </c>
      <c r="C1556" s="44" t="s">
        <v>4263</v>
      </c>
      <c r="D1556" s="44" t="s">
        <v>147</v>
      </c>
      <c r="E1556" s="44" t="s">
        <v>51</v>
      </c>
      <c r="G1556" s="44">
        <v>910</v>
      </c>
      <c r="H1556" s="44" t="s">
        <v>2537</v>
      </c>
    </row>
    <row r="1557" spans="1:8">
      <c r="A1557" s="31">
        <f>COUNTIF('BOM Atual ZPCS12'!F:F,B1557)+(1-(SUMIF(Invoice!$A:$A,$B1557,Invoice!$B:$B)/100000000000))</f>
        <v>1</v>
      </c>
      <c r="B1557" s="52" t="s">
        <v>4264</v>
      </c>
      <c r="C1557" s="44" t="s">
        <v>4265</v>
      </c>
      <c r="D1557" s="44" t="s">
        <v>147</v>
      </c>
      <c r="E1557" s="44" t="s">
        <v>51</v>
      </c>
      <c r="G1557" s="44">
        <v>910</v>
      </c>
      <c r="H1557" s="44" t="s">
        <v>2537</v>
      </c>
    </row>
    <row r="1558" spans="1:8">
      <c r="A1558" s="31">
        <f>COUNTIF('BOM Atual ZPCS12'!F:F,B1558)+(1-(SUMIF(Invoice!$A:$A,$B1558,Invoice!$B:$B)/100000000000))</f>
        <v>2</v>
      </c>
      <c r="B1558" s="52" t="s">
        <v>1969</v>
      </c>
      <c r="C1558" s="44" t="s">
        <v>1970</v>
      </c>
      <c r="D1558" s="44" t="s">
        <v>147</v>
      </c>
      <c r="E1558" s="44" t="s">
        <v>51</v>
      </c>
      <c r="G1558" s="44">
        <v>910</v>
      </c>
      <c r="H1558" s="44" t="s">
        <v>2537</v>
      </c>
    </row>
    <row r="1559" spans="1:8">
      <c r="A1559" s="31">
        <f>COUNTIF('BOM Atual ZPCS12'!F:F,B1559)+(1-(SUMIF(Invoice!$A:$A,$B1559,Invoice!$B:$B)/100000000000))</f>
        <v>2</v>
      </c>
      <c r="B1559" s="52" t="s">
        <v>1972</v>
      </c>
      <c r="C1559" s="44" t="s">
        <v>1973</v>
      </c>
      <c r="D1559" s="44" t="s">
        <v>147</v>
      </c>
      <c r="E1559" s="44" t="s">
        <v>51</v>
      </c>
      <c r="G1559" s="44">
        <v>910</v>
      </c>
      <c r="H1559" s="44" t="s">
        <v>2537</v>
      </c>
    </row>
    <row r="1560" spans="1:8">
      <c r="A1560" s="31">
        <f>COUNTIF('BOM Atual ZPCS12'!F:F,B1560)+(1-(SUMIF(Invoice!$A:$A,$B1560,Invoice!$B:$B)/100000000000))</f>
        <v>1.9999999800000001</v>
      </c>
      <c r="B1560" s="52" t="s">
        <v>1974</v>
      </c>
      <c r="C1560" s="44" t="s">
        <v>1975</v>
      </c>
      <c r="D1560" s="44" t="s">
        <v>147</v>
      </c>
      <c r="E1560" s="44" t="s">
        <v>51</v>
      </c>
      <c r="G1560" s="44">
        <v>910</v>
      </c>
      <c r="H1560" s="44" t="s">
        <v>2537</v>
      </c>
    </row>
    <row r="1561" spans="1:8">
      <c r="A1561" s="31">
        <f>COUNTIF('BOM Atual ZPCS12'!F:F,B1561)+(1-(SUMIF(Invoice!$A:$A,$B1561,Invoice!$B:$B)/100000000000))</f>
        <v>1</v>
      </c>
      <c r="B1561" s="52" t="s">
        <v>4266</v>
      </c>
      <c r="C1561" s="44" t="s">
        <v>4267</v>
      </c>
      <c r="D1561" s="44" t="s">
        <v>147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</v>
      </c>
      <c r="B1562" s="52" t="s">
        <v>4268</v>
      </c>
      <c r="C1562" s="44" t="s">
        <v>4269</v>
      </c>
      <c r="D1562" s="44" t="s">
        <v>147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2</v>
      </c>
      <c r="B1563" s="52" t="s">
        <v>1992</v>
      </c>
      <c r="C1563" s="44" t="s">
        <v>1993</v>
      </c>
      <c r="D1563" s="44" t="s">
        <v>147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1995</v>
      </c>
      <c r="C1564" s="44" t="s">
        <v>1996</v>
      </c>
      <c r="D1564" s="44" t="s">
        <v>147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1.9999999819999998</v>
      </c>
      <c r="B1565" s="52" t="s">
        <v>1997</v>
      </c>
      <c r="C1565" s="44" t="s">
        <v>1998</v>
      </c>
      <c r="D1565" s="44" t="s">
        <v>147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1.9999999900000001</v>
      </c>
      <c r="B1566" s="52" t="s">
        <v>2020</v>
      </c>
      <c r="C1566" s="44" t="s">
        <v>4270</v>
      </c>
      <c r="D1566" s="44" t="s">
        <v>147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2023</v>
      </c>
      <c r="C1567" s="44" t="s">
        <v>4270</v>
      </c>
      <c r="D1567" s="44" t="s">
        <v>147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2024</v>
      </c>
      <c r="C1568" s="44" t="s">
        <v>4270</v>
      </c>
      <c r="D1568" s="44" t="s">
        <v>147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</v>
      </c>
      <c r="B1569" s="52" t="s">
        <v>4271</v>
      </c>
      <c r="C1569" s="44" t="s">
        <v>4272</v>
      </c>
      <c r="D1569" s="44" t="s">
        <v>147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1</v>
      </c>
      <c r="B1570" s="52" t="s">
        <v>4273</v>
      </c>
      <c r="C1570" s="44" t="s">
        <v>4274</v>
      </c>
      <c r="D1570" s="44" t="s">
        <v>147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1</v>
      </c>
      <c r="B1571" s="52" t="s">
        <v>4275</v>
      </c>
      <c r="C1571" s="44" t="s">
        <v>4276</v>
      </c>
      <c r="D1571" s="44" t="s">
        <v>147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</v>
      </c>
      <c r="B1572" s="52" t="s">
        <v>4277</v>
      </c>
      <c r="C1572" s="44" t="s">
        <v>4278</v>
      </c>
      <c r="D1572" s="44" t="s">
        <v>147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1</v>
      </c>
      <c r="B1573" s="52" t="s">
        <v>4279</v>
      </c>
      <c r="C1573" s="44" t="s">
        <v>4280</v>
      </c>
      <c r="D1573" s="44" t="s">
        <v>147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2051</v>
      </c>
      <c r="C1574" s="44" t="s">
        <v>2052</v>
      </c>
      <c r="D1574" s="44" t="s">
        <v>147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2054</v>
      </c>
      <c r="C1575" s="44" t="s">
        <v>2055</v>
      </c>
      <c r="D1575" s="44" t="s">
        <v>147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1.9999999874999999</v>
      </c>
      <c r="B1576" s="52" t="s">
        <v>2056</v>
      </c>
      <c r="C1576" s="44" t="s">
        <v>2057</v>
      </c>
      <c r="D1576" s="44" t="s">
        <v>147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1</v>
      </c>
      <c r="B1577" s="52" t="s">
        <v>4281</v>
      </c>
      <c r="C1577" s="44" t="s">
        <v>4282</v>
      </c>
      <c r="D1577" s="44" t="s">
        <v>147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1</v>
      </c>
      <c r="B1578" s="52" t="s">
        <v>4283</v>
      </c>
      <c r="C1578" s="44" t="s">
        <v>4284</v>
      </c>
      <c r="D1578" s="44" t="s">
        <v>147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</v>
      </c>
      <c r="B1579" s="52" t="s">
        <v>4285</v>
      </c>
      <c r="C1579" s="44" t="s">
        <v>4286</v>
      </c>
      <c r="D1579" s="44" t="s">
        <v>147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2</v>
      </c>
      <c r="B1580" s="52" t="s">
        <v>2058</v>
      </c>
      <c r="C1580" s="44" t="s">
        <v>2059</v>
      </c>
      <c r="D1580" s="44" t="s">
        <v>147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1.9999999625</v>
      </c>
      <c r="B1581" s="52" t="s">
        <v>2061</v>
      </c>
      <c r="C1581" s="44" t="s">
        <v>2062</v>
      </c>
      <c r="D1581" s="44" t="s">
        <v>147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2</v>
      </c>
      <c r="B1582" s="52" t="s">
        <v>2063</v>
      </c>
      <c r="C1582" s="44" t="s">
        <v>2064</v>
      </c>
      <c r="D1582" s="44" t="s">
        <v>147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4287</v>
      </c>
      <c r="C1583" s="44" t="s">
        <v>4288</v>
      </c>
      <c r="D1583" s="44" t="s">
        <v>147</v>
      </c>
      <c r="E1583" s="44" t="s">
        <v>51</v>
      </c>
      <c r="G1583" s="44">
        <v>921</v>
      </c>
      <c r="H1583" s="44" t="s">
        <v>2537</v>
      </c>
    </row>
    <row r="1584" spans="1:8">
      <c r="A1584" s="31">
        <f>COUNTIF('BOM Atual ZPCS12'!F:F,B1584)+(1-(SUMIF(Invoice!$A:$A,$B1584,Invoice!$B:$B)/100000000000))</f>
        <v>1</v>
      </c>
      <c r="B1584" s="52" t="s">
        <v>4289</v>
      </c>
      <c r="C1584" s="44" t="s">
        <v>4290</v>
      </c>
      <c r="D1584" s="44" t="s">
        <v>147</v>
      </c>
      <c r="E1584" s="44" t="s">
        <v>51</v>
      </c>
      <c r="G1584" s="44">
        <v>921</v>
      </c>
      <c r="H1584" s="44" t="s">
        <v>2537</v>
      </c>
    </row>
    <row r="1585" spans="1:8">
      <c r="A1585" s="31">
        <f>COUNTIF('BOM Atual ZPCS12'!F:F,B1585)+(1-(SUMIF(Invoice!$A:$A,$B1585,Invoice!$B:$B)/100000000000))</f>
        <v>1</v>
      </c>
      <c r="B1585" s="52" t="s">
        <v>4291</v>
      </c>
      <c r="C1585" s="44" t="s">
        <v>4292</v>
      </c>
      <c r="D1585" s="44" t="s">
        <v>147</v>
      </c>
      <c r="E1585" s="44" t="s">
        <v>51</v>
      </c>
      <c r="G1585" s="44">
        <v>921</v>
      </c>
      <c r="H1585" s="44" t="s">
        <v>2537</v>
      </c>
    </row>
    <row r="1586" spans="1:8">
      <c r="A1586" s="31">
        <f>COUNTIF('BOM Atual ZPCS12'!F:F,B1586)+(1-(SUMIF(Invoice!$A:$A,$B1586,Invoice!$B:$B)/100000000000))</f>
        <v>1</v>
      </c>
      <c r="B1586" s="52" t="s">
        <v>4293</v>
      </c>
      <c r="C1586" s="44" t="s">
        <v>4294</v>
      </c>
      <c r="D1586" s="44" t="s">
        <v>147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4295</v>
      </c>
      <c r="C1587" s="44" t="s">
        <v>4296</v>
      </c>
      <c r="D1587" s="44" t="s">
        <v>147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4297</v>
      </c>
      <c r="C1588" s="44" t="s">
        <v>4298</v>
      </c>
      <c r="D1588" s="44" t="s">
        <v>147</v>
      </c>
      <c r="E1588" s="44" t="s">
        <v>51</v>
      </c>
      <c r="G1588" s="44">
        <v>924</v>
      </c>
      <c r="H1588" s="44" t="s">
        <v>2537</v>
      </c>
    </row>
    <row r="1589" spans="1:8">
      <c r="A1589" s="31">
        <f>COUNTIF('BOM Atual ZPCS12'!F:F,B1589)+(1-(SUMIF(Invoice!$A:$A,$B1589,Invoice!$B:$B)/100000000000))</f>
        <v>1</v>
      </c>
      <c r="B1589" s="52" t="s">
        <v>4299</v>
      </c>
      <c r="C1589" s="44" t="s">
        <v>4300</v>
      </c>
      <c r="D1589" s="44" t="s">
        <v>147</v>
      </c>
      <c r="E1589" s="44" t="s">
        <v>51</v>
      </c>
      <c r="G1589" s="44">
        <v>924</v>
      </c>
      <c r="H1589" s="44" t="s">
        <v>2537</v>
      </c>
    </row>
    <row r="1590" spans="1:8">
      <c r="A1590" s="31">
        <f>COUNTIF('BOM Atual ZPCS12'!F:F,B1590)+(1-(SUMIF(Invoice!$A:$A,$B1590,Invoice!$B:$B)/100000000000))</f>
        <v>1</v>
      </c>
      <c r="B1590" s="52" t="s">
        <v>4301</v>
      </c>
      <c r="C1590" s="44" t="s">
        <v>4302</v>
      </c>
      <c r="D1590" s="44" t="s">
        <v>147</v>
      </c>
      <c r="E1590" s="44" t="s">
        <v>51</v>
      </c>
      <c r="G1590" s="44">
        <v>924</v>
      </c>
      <c r="H1590" s="44" t="s">
        <v>2537</v>
      </c>
    </row>
    <row r="1591" spans="1:8">
      <c r="A1591" s="31">
        <f>COUNTIF('BOM Atual ZPCS12'!F:F,B1591)+(1-(SUMIF(Invoice!$A:$A,$B1591,Invoice!$B:$B)/100000000000))</f>
        <v>1</v>
      </c>
      <c r="B1591" s="52" t="s">
        <v>4303</v>
      </c>
      <c r="C1591" s="44" t="s">
        <v>4304</v>
      </c>
      <c r="D1591" s="44" t="s">
        <v>147</v>
      </c>
      <c r="E1591" s="44" t="s">
        <v>51</v>
      </c>
      <c r="G1591" s="44">
        <v>924</v>
      </c>
      <c r="H1591" s="44" t="s">
        <v>2537</v>
      </c>
    </row>
    <row r="1592" spans="1:8">
      <c r="A1592" s="31">
        <f>COUNTIF('BOM Atual ZPCS12'!F:F,B1592)+(1-(SUMIF(Invoice!$A:$A,$B1592,Invoice!$B:$B)/100000000000))</f>
        <v>1.9999999399999999</v>
      </c>
      <c r="B1592" s="52" t="s">
        <v>395</v>
      </c>
      <c r="C1592" s="44" t="s">
        <v>4305</v>
      </c>
      <c r="D1592" s="44" t="s">
        <v>147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2</v>
      </c>
      <c r="B1593" s="52" t="s">
        <v>397</v>
      </c>
      <c r="C1593" s="44" t="s">
        <v>4306</v>
      </c>
      <c r="D1593" s="44" t="s">
        <v>147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4307</v>
      </c>
      <c r="C1594" s="44" t="s">
        <v>4308</v>
      </c>
      <c r="D1594" s="44" t="s">
        <v>147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4309</v>
      </c>
      <c r="C1595" s="44" t="s">
        <v>4310</v>
      </c>
      <c r="D1595" s="44" t="s">
        <v>147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1.9999999900000001</v>
      </c>
      <c r="B1596" s="52" t="s">
        <v>363</v>
      </c>
      <c r="C1596" s="44" t="s">
        <v>4311</v>
      </c>
      <c r="D1596" s="44" t="s">
        <v>147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2</v>
      </c>
      <c r="B1597" s="52" t="s">
        <v>365</v>
      </c>
      <c r="C1597" s="44" t="s">
        <v>366</v>
      </c>
      <c r="D1597" s="44" t="s">
        <v>147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1</v>
      </c>
      <c r="B1598" s="52" t="s">
        <v>4312</v>
      </c>
      <c r="C1598" s="44" t="s">
        <v>4313</v>
      </c>
      <c r="D1598" s="44" t="s">
        <v>147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</v>
      </c>
      <c r="B1599" s="52" t="s">
        <v>4314</v>
      </c>
      <c r="C1599" s="44" t="s">
        <v>4315</v>
      </c>
      <c r="D1599" s="44" t="s">
        <v>147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2</v>
      </c>
      <c r="B1600" s="52" t="s">
        <v>387</v>
      </c>
      <c r="C1600" s="44" t="s">
        <v>4316</v>
      </c>
      <c r="D1600" s="44" t="s">
        <v>147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2</v>
      </c>
      <c r="B1601" s="52" t="s">
        <v>389</v>
      </c>
      <c r="C1601" s="44" t="s">
        <v>4317</v>
      </c>
      <c r="D1601" s="44" t="s">
        <v>147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1.9999999900000001</v>
      </c>
      <c r="B1602" s="52" t="s">
        <v>391</v>
      </c>
      <c r="C1602" s="44" t="s">
        <v>4318</v>
      </c>
      <c r="D1602" s="44" t="s">
        <v>147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4319</v>
      </c>
      <c r="C1603" s="44" t="s">
        <v>4320</v>
      </c>
      <c r="D1603" s="44" t="s">
        <v>147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4321</v>
      </c>
      <c r="C1604" s="44" t="s">
        <v>4322</v>
      </c>
      <c r="D1604" s="44" t="s">
        <v>147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4323</v>
      </c>
      <c r="C1605" s="44" t="s">
        <v>4324</v>
      </c>
      <c r="D1605" s="44" t="s">
        <v>147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4325</v>
      </c>
      <c r="C1606" s="44" t="s">
        <v>4326</v>
      </c>
      <c r="D1606" s="44" t="s">
        <v>147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451</v>
      </c>
      <c r="C1607" s="44" t="s">
        <v>452</v>
      </c>
      <c r="D1607" s="44" t="s">
        <v>147</v>
      </c>
      <c r="E1607" s="44" t="s">
        <v>51</v>
      </c>
      <c r="G1607" s="44">
        <v>932</v>
      </c>
      <c r="H1607" s="44" t="s">
        <v>2537</v>
      </c>
    </row>
    <row r="1608" spans="1:8">
      <c r="A1608" s="31">
        <f>COUNTIF('BOM Atual ZPCS12'!F:F,B1608)+(1-(SUMIF(Invoice!$A:$A,$B1608,Invoice!$B:$B)/100000000000))</f>
        <v>1.99999996</v>
      </c>
      <c r="B1608" s="52" t="s">
        <v>453</v>
      </c>
      <c r="C1608" s="44" t="s">
        <v>4327</v>
      </c>
      <c r="D1608" s="44" t="s">
        <v>147</v>
      </c>
      <c r="E1608" s="44" t="s">
        <v>51</v>
      </c>
      <c r="G1608" s="44">
        <v>932</v>
      </c>
      <c r="H1608" s="44" t="s">
        <v>2537</v>
      </c>
    </row>
    <row r="1609" spans="1:8">
      <c r="A1609" s="31">
        <f>COUNTIF('BOM Atual ZPCS12'!F:F,B1609)+(1-(SUMIF(Invoice!$A:$A,$B1609,Invoice!$B:$B)/100000000000))</f>
        <v>2</v>
      </c>
      <c r="B1609" s="52" t="s">
        <v>455</v>
      </c>
      <c r="C1609" s="44" t="s">
        <v>4327</v>
      </c>
      <c r="D1609" s="44" t="s">
        <v>147</v>
      </c>
      <c r="E1609" s="44" t="s">
        <v>51</v>
      </c>
      <c r="G1609" s="44">
        <v>932</v>
      </c>
      <c r="H1609" s="44" t="s">
        <v>2537</v>
      </c>
    </row>
    <row r="1610" spans="1:8">
      <c r="A1610" s="31">
        <f>COUNTIF('BOM Atual ZPCS12'!F:F,B1610)+(1-(SUMIF(Invoice!$A:$A,$B1610,Invoice!$B:$B)/100000000000))</f>
        <v>2</v>
      </c>
      <c r="B1610" s="52" t="s">
        <v>456</v>
      </c>
      <c r="C1610" s="44" t="s">
        <v>457</v>
      </c>
      <c r="D1610" s="44" t="s">
        <v>147</v>
      </c>
      <c r="E1610" s="44" t="s">
        <v>51</v>
      </c>
      <c r="G1610" s="44">
        <v>932</v>
      </c>
      <c r="H1610" s="44" t="s">
        <v>2537</v>
      </c>
    </row>
    <row r="1611" spans="1:8">
      <c r="A1611" s="31">
        <f>COUNTIF('BOM Atual ZPCS12'!F:F,B1611)+(1-(SUMIF(Invoice!$A:$A,$B1611,Invoice!$B:$B)/100000000000))</f>
        <v>1</v>
      </c>
      <c r="B1611" s="52" t="s">
        <v>4328</v>
      </c>
      <c r="C1611" s="44" t="s">
        <v>4329</v>
      </c>
      <c r="D1611" s="44" t="s">
        <v>147</v>
      </c>
      <c r="E1611" s="44" t="s">
        <v>51</v>
      </c>
      <c r="G1611" s="44">
        <v>932</v>
      </c>
      <c r="H1611" s="44" t="s">
        <v>2537</v>
      </c>
    </row>
    <row r="1612" spans="1:8">
      <c r="A1612" s="31">
        <f>COUNTIF('BOM Atual ZPCS12'!F:F,B1612)+(1-(SUMIF(Invoice!$A:$A,$B1612,Invoice!$B:$B)/100000000000))</f>
        <v>1.99999981</v>
      </c>
      <c r="B1612" s="52" t="s">
        <v>504</v>
      </c>
      <c r="C1612" s="44" t="s">
        <v>4329</v>
      </c>
      <c r="D1612" s="44" t="s">
        <v>147</v>
      </c>
      <c r="E1612" s="44" t="s">
        <v>51</v>
      </c>
      <c r="G1612" s="44">
        <v>932</v>
      </c>
      <c r="H1612" s="44" t="s">
        <v>2537</v>
      </c>
    </row>
    <row r="1613" spans="1:8">
      <c r="A1613" s="31">
        <f>COUNTIF('BOM Atual ZPCS12'!F:F,B1613)+(1-(SUMIF(Invoice!$A:$A,$B1613,Invoice!$B:$B)/100000000000))</f>
        <v>2</v>
      </c>
      <c r="B1613" s="52" t="s">
        <v>506</v>
      </c>
      <c r="C1613" s="44" t="s">
        <v>4330</v>
      </c>
      <c r="D1613" s="44" t="s">
        <v>147</v>
      </c>
      <c r="E1613" s="44" t="s">
        <v>51</v>
      </c>
      <c r="G1613" s="44">
        <v>932</v>
      </c>
      <c r="H1613" s="44" t="s">
        <v>2537</v>
      </c>
    </row>
    <row r="1614" spans="1:8">
      <c r="A1614" s="31">
        <f>COUNTIF('BOM Atual ZPCS12'!F:F,B1614)+(1-(SUMIF(Invoice!$A:$A,$B1614,Invoice!$B:$B)/100000000000))</f>
        <v>1</v>
      </c>
      <c r="B1614" s="52" t="s">
        <v>4331</v>
      </c>
      <c r="C1614" s="44" t="s">
        <v>4332</v>
      </c>
      <c r="D1614" s="44" t="s">
        <v>147</v>
      </c>
      <c r="E1614" s="44" t="s">
        <v>51</v>
      </c>
      <c r="G1614" s="44">
        <v>932</v>
      </c>
      <c r="H1614" s="44" t="s">
        <v>2537</v>
      </c>
    </row>
    <row r="1615" spans="1:8">
      <c r="A1615" s="31">
        <f>COUNTIF('BOM Atual ZPCS12'!F:F,B1615)+(1-(SUMIF(Invoice!$A:$A,$B1615,Invoice!$B:$B)/100000000000))</f>
        <v>1</v>
      </c>
      <c r="B1615" s="52" t="s">
        <v>4333</v>
      </c>
      <c r="C1615" s="44" t="s">
        <v>4334</v>
      </c>
      <c r="D1615" s="44" t="s">
        <v>147</v>
      </c>
      <c r="E1615" s="44" t="s">
        <v>51</v>
      </c>
      <c r="G1615" s="44">
        <v>932</v>
      </c>
      <c r="H1615" s="44" t="s">
        <v>2537</v>
      </c>
    </row>
    <row r="1616" spans="1:8">
      <c r="A1616" s="31">
        <f>COUNTIF('BOM Atual ZPCS12'!F:F,B1616)+(1-(SUMIF(Invoice!$A:$A,$B1616,Invoice!$B:$B)/100000000000))</f>
        <v>1</v>
      </c>
      <c r="B1616" s="52" t="s">
        <v>4335</v>
      </c>
      <c r="C1616" s="44" t="s">
        <v>4336</v>
      </c>
      <c r="D1616" s="44" t="s">
        <v>147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4337</v>
      </c>
      <c r="C1617" s="44" t="s">
        <v>4338</v>
      </c>
      <c r="D1617" s="44" t="s">
        <v>147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4339</v>
      </c>
      <c r="C1618" s="44" t="s">
        <v>4340</v>
      </c>
      <c r="D1618" s="44" t="s">
        <v>147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4341</v>
      </c>
      <c r="C1619" s="44" t="s">
        <v>4342</v>
      </c>
      <c r="D1619" s="44" t="s">
        <v>147</v>
      </c>
      <c r="E1619" s="44" t="s">
        <v>51</v>
      </c>
      <c r="G1619" s="44">
        <v>936</v>
      </c>
      <c r="H1619" s="44" t="s">
        <v>2537</v>
      </c>
    </row>
    <row r="1620" spans="1:8">
      <c r="A1620" s="31">
        <f>COUNTIF('BOM Atual ZPCS12'!F:F,B1620)+(1-(SUMIF(Invoice!$A:$A,$B1620,Invoice!$B:$B)/100000000000))</f>
        <v>1.99999996</v>
      </c>
      <c r="B1620" s="52" t="s">
        <v>496</v>
      </c>
      <c r="C1620" s="44" t="s">
        <v>497</v>
      </c>
      <c r="D1620" s="44" t="s">
        <v>147</v>
      </c>
      <c r="E1620" s="44" t="s">
        <v>51</v>
      </c>
      <c r="G1620" s="44">
        <v>936</v>
      </c>
      <c r="H1620" s="44" t="s">
        <v>2537</v>
      </c>
    </row>
    <row r="1621" spans="1:8">
      <c r="A1621" s="31">
        <f>COUNTIF('BOM Atual ZPCS12'!F:F,B1621)+(1-(SUMIF(Invoice!$A:$A,$B1621,Invoice!$B:$B)/100000000000))</f>
        <v>1</v>
      </c>
      <c r="B1621" s="52" t="s">
        <v>4343</v>
      </c>
      <c r="C1621" s="44" t="s">
        <v>4344</v>
      </c>
      <c r="D1621" s="44" t="s">
        <v>147</v>
      </c>
      <c r="E1621" s="44" t="s">
        <v>51</v>
      </c>
      <c r="G1621" s="44">
        <v>936</v>
      </c>
      <c r="H1621" s="44" t="s">
        <v>2537</v>
      </c>
    </row>
    <row r="1622" spans="1:8">
      <c r="A1622" s="31">
        <f>COUNTIF('BOM Atual ZPCS12'!F:F,B1622)+(1-(SUMIF(Invoice!$A:$A,$B1622,Invoice!$B:$B)/100000000000))</f>
        <v>2</v>
      </c>
      <c r="B1622" s="52" t="s">
        <v>498</v>
      </c>
      <c r="C1622" s="44" t="s">
        <v>499</v>
      </c>
      <c r="D1622" s="44" t="s">
        <v>147</v>
      </c>
      <c r="E1622" s="44" t="s">
        <v>51</v>
      </c>
      <c r="G1622" s="44">
        <v>936</v>
      </c>
      <c r="H1622" s="44" t="s">
        <v>2537</v>
      </c>
    </row>
    <row r="1623" spans="1:8">
      <c r="A1623" s="31">
        <f>COUNTIF('BOM Atual ZPCS12'!F:F,B1623)+(1-(SUMIF(Invoice!$A:$A,$B1623,Invoice!$B:$B)/100000000000))</f>
        <v>1.9999999900000001</v>
      </c>
      <c r="B1623" s="52" t="s">
        <v>581</v>
      </c>
      <c r="C1623" s="44" t="s">
        <v>4345</v>
      </c>
      <c r="D1623" s="44" t="s">
        <v>147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2</v>
      </c>
      <c r="B1624" s="52" t="s">
        <v>583</v>
      </c>
      <c r="C1624" s="44" t="s">
        <v>584</v>
      </c>
      <c r="D1624" s="44" t="s">
        <v>147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4346</v>
      </c>
      <c r="C1625" s="44" t="s">
        <v>4347</v>
      </c>
      <c r="D1625" s="44" t="s">
        <v>147</v>
      </c>
      <c r="E1625" s="44" t="s">
        <v>51</v>
      </c>
      <c r="G1625" s="44">
        <v>938</v>
      </c>
      <c r="H1625" s="44" t="s">
        <v>2537</v>
      </c>
    </row>
    <row r="1626" spans="1:8">
      <c r="A1626" s="31">
        <f>COUNTIF('BOM Atual ZPCS12'!F:F,B1626)+(1-(SUMIF(Invoice!$A:$A,$B1626,Invoice!$B:$B)/100000000000))</f>
        <v>2</v>
      </c>
      <c r="B1626" s="52" t="s">
        <v>585</v>
      </c>
      <c r="C1626" s="44" t="s">
        <v>4348</v>
      </c>
      <c r="D1626" s="44" t="s">
        <v>147</v>
      </c>
      <c r="E1626" s="44" t="s">
        <v>51</v>
      </c>
      <c r="G1626" s="44">
        <v>938</v>
      </c>
      <c r="H1626" s="44" t="s">
        <v>2537</v>
      </c>
    </row>
    <row r="1627" spans="1:8">
      <c r="A1627" s="31">
        <f>COUNTIF('BOM Atual ZPCS12'!F:F,B1627)+(1-(SUMIF(Invoice!$A:$A,$B1627,Invoice!$B:$B)/100000000000))</f>
        <v>1.9999999900000001</v>
      </c>
      <c r="B1627" s="52" t="s">
        <v>587</v>
      </c>
      <c r="C1627" s="44" t="s">
        <v>588</v>
      </c>
      <c r="D1627" s="44" t="s">
        <v>147</v>
      </c>
      <c r="E1627" s="44" t="s">
        <v>51</v>
      </c>
      <c r="G1627" s="44">
        <v>938</v>
      </c>
      <c r="H1627" s="44" t="s">
        <v>2537</v>
      </c>
    </row>
    <row r="1628" spans="1:8">
      <c r="A1628" s="31">
        <f>COUNTIF('BOM Atual ZPCS12'!F:F,B1628)+(1-(SUMIF(Invoice!$A:$A,$B1628,Invoice!$B:$B)/100000000000))</f>
        <v>2</v>
      </c>
      <c r="B1628" s="52" t="s">
        <v>589</v>
      </c>
      <c r="C1628" s="44" t="s">
        <v>590</v>
      </c>
      <c r="D1628" s="44" t="s">
        <v>147</v>
      </c>
      <c r="E1628" s="44" t="s">
        <v>51</v>
      </c>
      <c r="G1628" s="44">
        <v>938</v>
      </c>
      <c r="H1628" s="44" t="s">
        <v>2537</v>
      </c>
    </row>
    <row r="1629" spans="1:8">
      <c r="A1629" s="31">
        <f>COUNTIF('BOM Atual ZPCS12'!F:F,B1629)+(1-(SUMIF(Invoice!$A:$A,$B1629,Invoice!$B:$B)/100000000000))</f>
        <v>2</v>
      </c>
      <c r="B1629" s="52" t="s">
        <v>591</v>
      </c>
      <c r="C1629" s="44" t="s">
        <v>4349</v>
      </c>
      <c r="D1629" s="44" t="s">
        <v>147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1.9999999800000001</v>
      </c>
      <c r="B1630" s="52" t="s">
        <v>593</v>
      </c>
      <c r="C1630" s="44" t="s">
        <v>594</v>
      </c>
      <c r="D1630" s="44" t="s">
        <v>147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2</v>
      </c>
      <c r="B1631" s="52" t="s">
        <v>595</v>
      </c>
      <c r="C1631" s="44" t="s">
        <v>4350</v>
      </c>
      <c r="D1631" s="44" t="s">
        <v>147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1.9999999900000001</v>
      </c>
      <c r="B1632" s="52" t="s">
        <v>597</v>
      </c>
      <c r="C1632" s="44" t="s">
        <v>4351</v>
      </c>
      <c r="D1632" s="44" t="s">
        <v>147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2</v>
      </c>
      <c r="B1633" s="52" t="s">
        <v>599</v>
      </c>
      <c r="C1633" s="44" t="s">
        <v>600</v>
      </c>
      <c r="D1633" s="44" t="s">
        <v>147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2</v>
      </c>
      <c r="B1634" s="52" t="s">
        <v>601</v>
      </c>
      <c r="C1634" s="44" t="s">
        <v>602</v>
      </c>
      <c r="D1634" s="44" t="s">
        <v>147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4352</v>
      </c>
      <c r="C1635" s="44" t="s">
        <v>4353</v>
      </c>
      <c r="D1635" s="44" t="s">
        <v>147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4354</v>
      </c>
      <c r="C1636" s="44" t="s">
        <v>4355</v>
      </c>
      <c r="D1636" s="44" t="s">
        <v>147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4356</v>
      </c>
      <c r="C1637" s="44" t="s">
        <v>4357</v>
      </c>
      <c r="D1637" s="44" t="s">
        <v>147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4358</v>
      </c>
      <c r="C1638" s="44" t="s">
        <v>4359</v>
      </c>
      <c r="D1638" s="44" t="s">
        <v>147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1.99999996</v>
      </c>
      <c r="B1639" s="52" t="s">
        <v>610</v>
      </c>
      <c r="C1639" s="44" t="s">
        <v>611</v>
      </c>
      <c r="D1639" s="44" t="s">
        <v>147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2</v>
      </c>
      <c r="B1640" s="52" t="s">
        <v>612</v>
      </c>
      <c r="C1640" s="44" t="s">
        <v>613</v>
      </c>
      <c r="D1640" s="44" t="s">
        <v>147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4360</v>
      </c>
      <c r="C1641" s="44" t="s">
        <v>4361</v>
      </c>
      <c r="D1641" s="44" t="s">
        <v>147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4362</v>
      </c>
      <c r="C1642" s="44" t="s">
        <v>4363</v>
      </c>
      <c r="D1642" s="44" t="s">
        <v>147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4364</v>
      </c>
      <c r="C1643" s="44" t="s">
        <v>4365</v>
      </c>
      <c r="D1643" s="44" t="s">
        <v>147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4366</v>
      </c>
      <c r="C1644" s="44" t="s">
        <v>4367</v>
      </c>
      <c r="D1644" s="44" t="s">
        <v>147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4368</v>
      </c>
      <c r="C1645" s="44" t="s">
        <v>4369</v>
      </c>
      <c r="D1645" s="44" t="s">
        <v>147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4370</v>
      </c>
      <c r="C1646" s="44" t="s">
        <v>4371</v>
      </c>
      <c r="D1646" s="44" t="s">
        <v>147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4372</v>
      </c>
      <c r="C1647" s="44" t="s">
        <v>4373</v>
      </c>
      <c r="D1647" s="44" t="s">
        <v>147</v>
      </c>
      <c r="E1647" s="44" t="s">
        <v>51</v>
      </c>
      <c r="G1647" s="44">
        <v>946</v>
      </c>
      <c r="H1647" s="44" t="s">
        <v>2537</v>
      </c>
    </row>
    <row r="1648" spans="1:8">
      <c r="A1648" s="31">
        <f>COUNTIF('BOM Atual ZPCS12'!F:F,B1648)+(1-(SUMIF(Invoice!$A:$A,$B1648,Invoice!$B:$B)/100000000000))</f>
        <v>1</v>
      </c>
      <c r="B1648" s="52" t="s">
        <v>4374</v>
      </c>
      <c r="C1648" s="44" t="s">
        <v>4375</v>
      </c>
      <c r="D1648" s="44" t="s">
        <v>147</v>
      </c>
      <c r="E1648" s="44" t="s">
        <v>51</v>
      </c>
      <c r="G1648" s="44">
        <v>946</v>
      </c>
      <c r="H1648" s="44" t="s">
        <v>2537</v>
      </c>
    </row>
    <row r="1649" spans="1:8">
      <c r="A1649" s="31">
        <f>COUNTIF('BOM Atual ZPCS12'!F:F,B1649)+(1-(SUMIF(Invoice!$A:$A,$B1649,Invoice!$B:$B)/100000000000))</f>
        <v>1</v>
      </c>
      <c r="B1649" s="52" t="s">
        <v>4376</v>
      </c>
      <c r="C1649" s="44" t="s">
        <v>4377</v>
      </c>
      <c r="D1649" s="44" t="s">
        <v>147</v>
      </c>
      <c r="E1649" s="44" t="s">
        <v>51</v>
      </c>
      <c r="G1649" s="44">
        <v>946</v>
      </c>
      <c r="H1649" s="44" t="s">
        <v>2537</v>
      </c>
    </row>
    <row r="1650" spans="1:8">
      <c r="A1650" s="31">
        <f>COUNTIF('BOM Atual ZPCS12'!F:F,B1650)+(1-(SUMIF(Invoice!$A:$A,$B1650,Invoice!$B:$B)/100000000000))</f>
        <v>1</v>
      </c>
      <c r="B1650" s="52" t="s">
        <v>4378</v>
      </c>
      <c r="C1650" s="44" t="s">
        <v>4379</v>
      </c>
      <c r="D1650" s="44" t="s">
        <v>147</v>
      </c>
      <c r="E1650" s="44" t="s">
        <v>51</v>
      </c>
      <c r="G1650" s="44">
        <v>947</v>
      </c>
      <c r="H1650" s="44" t="s">
        <v>2537</v>
      </c>
    </row>
    <row r="1651" spans="1:8">
      <c r="A1651" s="31">
        <f>COUNTIF('BOM Atual ZPCS12'!F:F,B1651)+(1-(SUMIF(Invoice!$A:$A,$B1651,Invoice!$B:$B)/100000000000))</f>
        <v>1</v>
      </c>
      <c r="B1651" s="52" t="s">
        <v>4380</v>
      </c>
      <c r="C1651" s="44" t="s">
        <v>4381</v>
      </c>
      <c r="D1651" s="44" t="s">
        <v>147</v>
      </c>
      <c r="E1651" s="44" t="s">
        <v>51</v>
      </c>
      <c r="G1651" s="44">
        <v>947</v>
      </c>
      <c r="H1651" s="44" t="s">
        <v>2537</v>
      </c>
    </row>
    <row r="1652" spans="1:8">
      <c r="A1652" s="31">
        <f>COUNTIF('BOM Atual ZPCS12'!F:F,B1652)+(1-(SUMIF(Invoice!$A:$A,$B1652,Invoice!$B:$B)/100000000000))</f>
        <v>1</v>
      </c>
      <c r="B1652" s="52" t="s">
        <v>4382</v>
      </c>
      <c r="C1652" s="44" t="s">
        <v>4383</v>
      </c>
      <c r="D1652" s="44" t="s">
        <v>147</v>
      </c>
      <c r="E1652" s="44" t="s">
        <v>51</v>
      </c>
      <c r="G1652" s="44">
        <v>947</v>
      </c>
      <c r="H1652" s="44" t="s">
        <v>2537</v>
      </c>
    </row>
    <row r="1653" spans="1:8">
      <c r="A1653" s="31">
        <f>COUNTIF('BOM Atual ZPCS12'!F:F,B1653)+(1-(SUMIF(Invoice!$A:$A,$B1653,Invoice!$B:$B)/100000000000))</f>
        <v>1</v>
      </c>
      <c r="B1653" s="52" t="s">
        <v>4384</v>
      </c>
      <c r="C1653" s="44" t="s">
        <v>4385</v>
      </c>
      <c r="D1653" s="44" t="s">
        <v>147</v>
      </c>
      <c r="E1653" s="44" t="s">
        <v>51</v>
      </c>
      <c r="G1653" s="44">
        <v>948</v>
      </c>
      <c r="H1653" s="44" t="s">
        <v>2537</v>
      </c>
    </row>
    <row r="1654" spans="1:8">
      <c r="A1654" s="31">
        <f>COUNTIF('BOM Atual ZPCS12'!F:F,B1654)+(1-(SUMIF(Invoice!$A:$A,$B1654,Invoice!$B:$B)/100000000000))</f>
        <v>1</v>
      </c>
      <c r="B1654" s="52" t="s">
        <v>4386</v>
      </c>
      <c r="C1654" s="44" t="s">
        <v>4387</v>
      </c>
      <c r="D1654" s="44" t="s">
        <v>147</v>
      </c>
      <c r="E1654" s="44" t="s">
        <v>51</v>
      </c>
      <c r="G1654" s="44">
        <v>948</v>
      </c>
      <c r="H1654" s="44" t="s">
        <v>2537</v>
      </c>
    </row>
    <row r="1655" spans="1:8">
      <c r="A1655" s="31">
        <f>COUNTIF('BOM Atual ZPCS12'!F:F,B1655)+(1-(SUMIF(Invoice!$A:$A,$B1655,Invoice!$B:$B)/100000000000))</f>
        <v>1</v>
      </c>
      <c r="B1655" s="52" t="s">
        <v>4388</v>
      </c>
      <c r="C1655" s="44" t="s">
        <v>4389</v>
      </c>
      <c r="D1655" s="44" t="s">
        <v>147</v>
      </c>
      <c r="E1655" s="44" t="s">
        <v>51</v>
      </c>
      <c r="G1655" s="44">
        <v>948</v>
      </c>
      <c r="H1655" s="44" t="s">
        <v>2537</v>
      </c>
    </row>
    <row r="1656" spans="1:8">
      <c r="A1656" s="31">
        <f>COUNTIF('BOM Atual ZPCS12'!F:F,B1656)+(1-(SUMIF(Invoice!$A:$A,$B1656,Invoice!$B:$B)/100000000000))</f>
        <v>1.9999999000000002</v>
      </c>
      <c r="B1656" s="52" t="s">
        <v>676</v>
      </c>
      <c r="C1656" s="44" t="s">
        <v>4390</v>
      </c>
      <c r="D1656" s="44" t="s">
        <v>147</v>
      </c>
      <c r="E1656" s="44" t="s">
        <v>51</v>
      </c>
      <c r="G1656" s="44">
        <v>949</v>
      </c>
      <c r="H1656" s="44" t="s">
        <v>2537</v>
      </c>
    </row>
    <row r="1657" spans="1:8">
      <c r="A1657" s="31">
        <f>COUNTIF('BOM Atual ZPCS12'!F:F,B1657)+(1-(SUMIF(Invoice!$A:$A,$B1657,Invoice!$B:$B)/100000000000))</f>
        <v>2</v>
      </c>
      <c r="B1657" s="52" t="s">
        <v>678</v>
      </c>
      <c r="C1657" s="44" t="s">
        <v>4391</v>
      </c>
      <c r="D1657" s="44" t="s">
        <v>147</v>
      </c>
      <c r="E1657" s="44" t="s">
        <v>51</v>
      </c>
      <c r="G1657" s="44">
        <v>949</v>
      </c>
      <c r="H1657" s="44" t="s">
        <v>2537</v>
      </c>
    </row>
    <row r="1658" spans="1:8">
      <c r="A1658" s="31">
        <f>COUNTIF('BOM Atual ZPCS12'!F:F,B1658)+(1-(SUMIF(Invoice!$A:$A,$B1658,Invoice!$B:$B)/100000000000))</f>
        <v>1</v>
      </c>
      <c r="B1658" s="52" t="s">
        <v>4392</v>
      </c>
      <c r="C1658" s="44" t="s">
        <v>4390</v>
      </c>
      <c r="D1658" s="44" t="s">
        <v>147</v>
      </c>
      <c r="E1658" s="44" t="s">
        <v>51</v>
      </c>
      <c r="G1658" s="44">
        <v>949</v>
      </c>
      <c r="H1658" s="44" t="s">
        <v>2537</v>
      </c>
    </row>
    <row r="1659" spans="1:8">
      <c r="A1659" s="31">
        <f>COUNTIF('BOM Atual ZPCS12'!F:F,B1659)+(1-(SUMIF(Invoice!$A:$A,$B1659,Invoice!$B:$B)/100000000000))</f>
        <v>2</v>
      </c>
      <c r="B1659" s="52" t="s">
        <v>680</v>
      </c>
      <c r="C1659" s="44" t="s">
        <v>681</v>
      </c>
      <c r="D1659" s="44" t="s">
        <v>147</v>
      </c>
      <c r="E1659" s="44" t="s">
        <v>51</v>
      </c>
      <c r="G1659" s="44">
        <v>949</v>
      </c>
      <c r="H1659" s="44" t="s">
        <v>2537</v>
      </c>
    </row>
    <row r="1660" spans="1:8">
      <c r="A1660" s="31">
        <f>COUNTIF('BOM Atual ZPCS12'!F:F,B1660)+(1-(SUMIF(Invoice!$A:$A,$B1660,Invoice!$B:$B)/100000000000))</f>
        <v>1</v>
      </c>
      <c r="B1660" s="52" t="s">
        <v>4393</v>
      </c>
      <c r="C1660" s="44" t="s">
        <v>4394</v>
      </c>
      <c r="D1660" s="44" t="s">
        <v>147</v>
      </c>
      <c r="E1660" s="44" t="s">
        <v>51</v>
      </c>
      <c r="G1660" s="44">
        <v>950</v>
      </c>
      <c r="H1660" s="44" t="s">
        <v>2537</v>
      </c>
    </row>
    <row r="1661" spans="1:8">
      <c r="A1661" s="31">
        <f>COUNTIF('BOM Atual ZPCS12'!F:F,B1661)+(1-(SUMIF(Invoice!$A:$A,$B1661,Invoice!$B:$B)/100000000000))</f>
        <v>1</v>
      </c>
      <c r="B1661" s="52" t="s">
        <v>4395</v>
      </c>
      <c r="C1661" s="44" t="s">
        <v>4396</v>
      </c>
      <c r="D1661" s="44" t="s">
        <v>147</v>
      </c>
      <c r="E1661" s="44" t="s">
        <v>51</v>
      </c>
      <c r="G1661" s="44">
        <v>950</v>
      </c>
      <c r="H1661" s="44" t="s">
        <v>2537</v>
      </c>
    </row>
    <row r="1662" spans="1:8">
      <c r="A1662" s="31">
        <f>COUNTIF('BOM Atual ZPCS12'!F:F,B1662)+(1-(SUMIF(Invoice!$A:$A,$B1662,Invoice!$B:$B)/100000000000))</f>
        <v>1</v>
      </c>
      <c r="B1662" s="52" t="s">
        <v>4397</v>
      </c>
      <c r="C1662" s="44" t="s">
        <v>4398</v>
      </c>
      <c r="D1662" s="44" t="s">
        <v>147</v>
      </c>
      <c r="E1662" s="44" t="s">
        <v>51</v>
      </c>
      <c r="G1662" s="44">
        <v>950</v>
      </c>
      <c r="H1662" s="44" t="s">
        <v>2537</v>
      </c>
    </row>
    <row r="1663" spans="1:8">
      <c r="A1663" s="31">
        <f>COUNTIF('BOM Atual ZPCS12'!F:F,B1663)+(1-(SUMIF(Invoice!$A:$A,$B1663,Invoice!$B:$B)/100000000000))</f>
        <v>1</v>
      </c>
      <c r="B1663" s="52" t="s">
        <v>4399</v>
      </c>
      <c r="C1663" s="44" t="s">
        <v>4400</v>
      </c>
      <c r="D1663" s="44" t="s">
        <v>147</v>
      </c>
      <c r="E1663" s="44" t="s">
        <v>51</v>
      </c>
      <c r="G1663" s="44">
        <v>950</v>
      </c>
      <c r="H1663" s="44" t="s">
        <v>2537</v>
      </c>
    </row>
    <row r="1664" spans="1:8">
      <c r="A1664" s="31">
        <f>COUNTIF('BOM Atual ZPCS12'!F:F,B1664)+(1-(SUMIF(Invoice!$A:$A,$B1664,Invoice!$B:$B)/100000000000))</f>
        <v>1</v>
      </c>
      <c r="B1664" s="52" t="s">
        <v>4401</v>
      </c>
      <c r="C1664" s="44" t="s">
        <v>4402</v>
      </c>
      <c r="D1664" s="44" t="s">
        <v>147</v>
      </c>
      <c r="E1664" s="44" t="s">
        <v>51</v>
      </c>
      <c r="G1664" s="44">
        <v>951</v>
      </c>
      <c r="H1664" s="44" t="s">
        <v>2537</v>
      </c>
    </row>
    <row r="1665" spans="1:8">
      <c r="A1665" s="31">
        <f>COUNTIF('BOM Atual ZPCS12'!F:F,B1665)+(1-(SUMIF(Invoice!$A:$A,$B1665,Invoice!$B:$B)/100000000000))</f>
        <v>1</v>
      </c>
      <c r="B1665" s="52" t="s">
        <v>4403</v>
      </c>
      <c r="C1665" s="44" t="s">
        <v>4404</v>
      </c>
      <c r="D1665" s="44" t="s">
        <v>147</v>
      </c>
      <c r="E1665" s="44" t="s">
        <v>51</v>
      </c>
      <c r="G1665" s="44">
        <v>951</v>
      </c>
      <c r="H1665" s="44" t="s">
        <v>2537</v>
      </c>
    </row>
    <row r="1666" spans="1:8">
      <c r="A1666" s="31">
        <f>COUNTIF('BOM Atual ZPCS12'!F:F,B1666)+(1-(SUMIF(Invoice!$A:$A,$B1666,Invoice!$B:$B)/100000000000))</f>
        <v>1</v>
      </c>
      <c r="B1666" s="52" t="s">
        <v>4405</v>
      </c>
      <c r="C1666" s="44" t="s">
        <v>4402</v>
      </c>
      <c r="D1666" s="44" t="s">
        <v>147</v>
      </c>
      <c r="E1666" s="44" t="s">
        <v>51</v>
      </c>
      <c r="G1666" s="44">
        <v>951</v>
      </c>
      <c r="H1666" s="44" t="s">
        <v>2537</v>
      </c>
    </row>
    <row r="1667" spans="1:8">
      <c r="A1667" s="31">
        <f>COUNTIF('BOM Atual ZPCS12'!F:F,B1667)+(1-(SUMIF(Invoice!$A:$A,$B1667,Invoice!$B:$B)/100000000000))</f>
        <v>1</v>
      </c>
      <c r="B1667" s="52" t="s">
        <v>4406</v>
      </c>
      <c r="C1667" s="44" t="s">
        <v>4407</v>
      </c>
      <c r="D1667" s="44" t="s">
        <v>147</v>
      </c>
      <c r="E1667" s="44" t="s">
        <v>51</v>
      </c>
      <c r="G1667" s="44">
        <v>951</v>
      </c>
      <c r="H1667" s="44" t="s">
        <v>2537</v>
      </c>
    </row>
    <row r="1668" spans="1:8">
      <c r="A1668" s="31">
        <f>COUNTIF('BOM Atual ZPCS12'!F:F,B1668)+(1-(SUMIF(Invoice!$A:$A,$B1668,Invoice!$B:$B)/100000000000))</f>
        <v>1</v>
      </c>
      <c r="B1668" s="52" t="s">
        <v>4408</v>
      </c>
      <c r="C1668" s="44" t="s">
        <v>4409</v>
      </c>
      <c r="D1668" s="44" t="s">
        <v>147</v>
      </c>
      <c r="E1668" s="44" t="s">
        <v>51</v>
      </c>
      <c r="G1668" s="44">
        <v>952</v>
      </c>
      <c r="H1668" s="44" t="s">
        <v>2537</v>
      </c>
    </row>
    <row r="1669" spans="1:8">
      <c r="A1669" s="31">
        <f>COUNTIF('BOM Atual ZPCS12'!F:F,B1669)+(1-(SUMIF(Invoice!$A:$A,$B1669,Invoice!$B:$B)/100000000000))</f>
        <v>1</v>
      </c>
      <c r="B1669" s="52" t="s">
        <v>4410</v>
      </c>
      <c r="C1669" s="44" t="s">
        <v>4411</v>
      </c>
      <c r="D1669" s="44" t="s">
        <v>147</v>
      </c>
      <c r="E1669" s="44" t="s">
        <v>51</v>
      </c>
      <c r="G1669" s="44">
        <v>952</v>
      </c>
      <c r="H1669" s="44" t="s">
        <v>2537</v>
      </c>
    </row>
    <row r="1670" spans="1:8">
      <c r="A1670" s="31">
        <f>COUNTIF('BOM Atual ZPCS12'!F:F,B1670)+(1-(SUMIF(Invoice!$A:$A,$B1670,Invoice!$B:$B)/100000000000))</f>
        <v>1</v>
      </c>
      <c r="B1670" s="52" t="s">
        <v>4412</v>
      </c>
      <c r="C1670" s="44" t="s">
        <v>4409</v>
      </c>
      <c r="D1670" s="44" t="s">
        <v>147</v>
      </c>
      <c r="E1670" s="44" t="s">
        <v>51</v>
      </c>
      <c r="G1670" s="44">
        <v>952</v>
      </c>
      <c r="H1670" s="44" t="s">
        <v>2537</v>
      </c>
    </row>
    <row r="1671" spans="1:8">
      <c r="A1671" s="31">
        <f>COUNTIF('BOM Atual ZPCS12'!F:F,B1671)+(1-(SUMIF(Invoice!$A:$A,$B1671,Invoice!$B:$B)/100000000000))</f>
        <v>1</v>
      </c>
      <c r="B1671" s="52" t="s">
        <v>4413</v>
      </c>
      <c r="C1671" s="44" t="s">
        <v>4414</v>
      </c>
      <c r="D1671" s="44" t="s">
        <v>147</v>
      </c>
      <c r="E1671" s="44" t="s">
        <v>51</v>
      </c>
      <c r="G1671" s="44">
        <v>952</v>
      </c>
      <c r="H1671" s="44" t="s">
        <v>2537</v>
      </c>
    </row>
    <row r="1672" spans="1:8">
      <c r="A1672" s="31">
        <f>COUNTIF('BOM Atual ZPCS12'!F:F,B1672)+(1-(SUMIF(Invoice!$A:$A,$B1672,Invoice!$B:$B)/100000000000))</f>
        <v>2</v>
      </c>
      <c r="B1672" s="52" t="s">
        <v>730</v>
      </c>
      <c r="C1672" s="44" t="s">
        <v>4415</v>
      </c>
      <c r="D1672" s="44" t="s">
        <v>147</v>
      </c>
      <c r="E1672" s="44" t="s">
        <v>51</v>
      </c>
      <c r="G1672" s="44">
        <v>953</v>
      </c>
      <c r="H1672" s="44" t="s">
        <v>2537</v>
      </c>
    </row>
    <row r="1673" spans="1:8">
      <c r="A1673" s="31">
        <f>COUNTIF('BOM Atual ZPCS12'!F:F,B1673)+(1-(SUMIF(Invoice!$A:$A,$B1673,Invoice!$B:$B)/100000000000))</f>
        <v>1.9999999000000002</v>
      </c>
      <c r="B1673" s="52" t="s">
        <v>732</v>
      </c>
      <c r="C1673" s="44" t="s">
        <v>4415</v>
      </c>
      <c r="D1673" s="44" t="s">
        <v>147</v>
      </c>
      <c r="E1673" s="44" t="s">
        <v>51</v>
      </c>
      <c r="G1673" s="44">
        <v>953</v>
      </c>
      <c r="H1673" s="44" t="s">
        <v>2537</v>
      </c>
    </row>
    <row r="1674" spans="1:8">
      <c r="A1674" s="31">
        <f>COUNTIF('BOM Atual ZPCS12'!F:F,B1674)+(1-(SUMIF(Invoice!$A:$A,$B1674,Invoice!$B:$B)/100000000000))</f>
        <v>1</v>
      </c>
      <c r="B1674" s="52" t="s">
        <v>4416</v>
      </c>
      <c r="C1674" s="44" t="s">
        <v>4417</v>
      </c>
      <c r="D1674" s="44" t="s">
        <v>147</v>
      </c>
      <c r="E1674" s="44" t="s">
        <v>51</v>
      </c>
      <c r="G1674" s="44">
        <v>953</v>
      </c>
      <c r="H1674" s="44" t="s">
        <v>2537</v>
      </c>
    </row>
    <row r="1675" spans="1:8">
      <c r="A1675" s="31">
        <f>COUNTIF('BOM Atual ZPCS12'!F:F,B1675)+(1-(SUMIF(Invoice!$A:$A,$B1675,Invoice!$B:$B)/100000000000))</f>
        <v>2</v>
      </c>
      <c r="B1675" s="52" t="s">
        <v>733</v>
      </c>
      <c r="C1675" s="44" t="s">
        <v>4418</v>
      </c>
      <c r="D1675" s="44" t="s">
        <v>147</v>
      </c>
      <c r="E1675" s="44" t="s">
        <v>51</v>
      </c>
      <c r="G1675" s="44">
        <v>953</v>
      </c>
      <c r="H1675" s="44" t="s">
        <v>2537</v>
      </c>
    </row>
    <row r="1676" spans="1:8">
      <c r="A1676" s="31">
        <f>COUNTIF('BOM Atual ZPCS12'!F:F,B1676)+(1-(SUMIF(Invoice!$A:$A,$B1676,Invoice!$B:$B)/100000000000))</f>
        <v>1</v>
      </c>
      <c r="B1676" s="52" t="s">
        <v>4419</v>
      </c>
      <c r="C1676" s="44" t="s">
        <v>4420</v>
      </c>
      <c r="D1676" s="44" t="s">
        <v>147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4421</v>
      </c>
      <c r="C1677" s="44" t="s">
        <v>4422</v>
      </c>
      <c r="D1677" s="44" t="s">
        <v>147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4423</v>
      </c>
      <c r="C1678" s="44" t="s">
        <v>4424</v>
      </c>
      <c r="D1678" s="44" t="s">
        <v>147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1.9999999000000002</v>
      </c>
      <c r="B1679" s="52" t="s">
        <v>765</v>
      </c>
      <c r="C1679" s="44" t="s">
        <v>4425</v>
      </c>
      <c r="D1679" s="44" t="s">
        <v>147</v>
      </c>
      <c r="E1679" s="44" t="s">
        <v>51</v>
      </c>
      <c r="G1679" s="44">
        <v>955</v>
      </c>
      <c r="H1679" s="44" t="s">
        <v>2537</v>
      </c>
    </row>
    <row r="1680" spans="1:8">
      <c r="A1680" s="31">
        <f>COUNTIF('BOM Atual ZPCS12'!F:F,B1680)+(1-(SUMIF(Invoice!$A:$A,$B1680,Invoice!$B:$B)/100000000000))</f>
        <v>2</v>
      </c>
      <c r="B1680" s="52" t="s">
        <v>767</v>
      </c>
      <c r="C1680" s="44" t="s">
        <v>4426</v>
      </c>
      <c r="D1680" s="44" t="s">
        <v>147</v>
      </c>
      <c r="E1680" s="44" t="s">
        <v>51</v>
      </c>
      <c r="G1680" s="44">
        <v>955</v>
      </c>
      <c r="H1680" s="44" t="s">
        <v>2537</v>
      </c>
    </row>
    <row r="1681" spans="1:8">
      <c r="A1681" s="31">
        <f>COUNTIF('BOM Atual ZPCS12'!F:F,B1681)+(1-(SUMIF(Invoice!$A:$A,$B1681,Invoice!$B:$B)/100000000000))</f>
        <v>1</v>
      </c>
      <c r="B1681" s="52" t="s">
        <v>4427</v>
      </c>
      <c r="C1681" s="44" t="s">
        <v>4425</v>
      </c>
      <c r="D1681" s="44" t="s">
        <v>147</v>
      </c>
      <c r="E1681" s="44" t="s">
        <v>51</v>
      </c>
      <c r="G1681" s="44">
        <v>955</v>
      </c>
      <c r="H1681" s="44" t="s">
        <v>2537</v>
      </c>
    </row>
    <row r="1682" spans="1:8">
      <c r="A1682" s="31">
        <f>COUNTIF('BOM Atual ZPCS12'!F:F,B1682)+(1-(SUMIF(Invoice!$A:$A,$B1682,Invoice!$B:$B)/100000000000))</f>
        <v>2</v>
      </c>
      <c r="B1682" s="52" t="s">
        <v>769</v>
      </c>
      <c r="C1682" s="44" t="s">
        <v>770</v>
      </c>
      <c r="D1682" s="44" t="s">
        <v>147</v>
      </c>
      <c r="E1682" s="44" t="s">
        <v>51</v>
      </c>
      <c r="G1682" s="44">
        <v>955</v>
      </c>
      <c r="H1682" s="44" t="s">
        <v>2537</v>
      </c>
    </row>
    <row r="1683" spans="1:8">
      <c r="A1683" s="31">
        <f>COUNTIF('BOM Atual ZPCS12'!F:F,B1683)+(1-(SUMIF(Invoice!$A:$A,$B1683,Invoice!$B:$B)/100000000000))</f>
        <v>2</v>
      </c>
      <c r="B1683" s="52" t="s">
        <v>771</v>
      </c>
      <c r="C1683" s="44" t="s">
        <v>4428</v>
      </c>
      <c r="D1683" s="44" t="s">
        <v>147</v>
      </c>
      <c r="E1683" s="44" t="s">
        <v>51</v>
      </c>
      <c r="G1683" s="44">
        <v>956</v>
      </c>
      <c r="H1683" s="44" t="s">
        <v>2537</v>
      </c>
    </row>
    <row r="1684" spans="1:8">
      <c r="A1684" s="31">
        <f>COUNTIF('BOM Atual ZPCS12'!F:F,B1684)+(1-(SUMIF(Invoice!$A:$A,$B1684,Invoice!$B:$B)/100000000000))</f>
        <v>2</v>
      </c>
      <c r="B1684" s="52" t="s">
        <v>773</v>
      </c>
      <c r="C1684" s="44" t="s">
        <v>4429</v>
      </c>
      <c r="D1684" s="44" t="s">
        <v>147</v>
      </c>
      <c r="E1684" s="44" t="s">
        <v>51</v>
      </c>
      <c r="G1684" s="44">
        <v>956</v>
      </c>
      <c r="H1684" s="44" t="s">
        <v>2537</v>
      </c>
    </row>
    <row r="1685" spans="1:8">
      <c r="A1685" s="31">
        <f>COUNTIF('BOM Atual ZPCS12'!F:F,B1685)+(1-(SUMIF(Invoice!$A:$A,$B1685,Invoice!$B:$B)/100000000000))</f>
        <v>1</v>
      </c>
      <c r="B1685" s="52" t="s">
        <v>4430</v>
      </c>
      <c r="C1685" s="44" t="s">
        <v>4428</v>
      </c>
      <c r="D1685" s="44" t="s">
        <v>147</v>
      </c>
      <c r="E1685" s="44" t="s">
        <v>51</v>
      </c>
      <c r="G1685" s="44">
        <v>956</v>
      </c>
      <c r="H1685" s="44" t="s">
        <v>2537</v>
      </c>
    </row>
    <row r="1686" spans="1:8">
      <c r="A1686" s="31">
        <f>COUNTIF('BOM Atual ZPCS12'!F:F,B1686)+(1-(SUMIF(Invoice!$A:$A,$B1686,Invoice!$B:$B)/100000000000))</f>
        <v>1.9999999000000002</v>
      </c>
      <c r="B1686" s="52" t="s">
        <v>775</v>
      </c>
      <c r="C1686" s="44" t="s">
        <v>776</v>
      </c>
      <c r="D1686" s="44" t="s">
        <v>147</v>
      </c>
      <c r="E1686" s="44" t="s">
        <v>51</v>
      </c>
      <c r="G1686" s="44">
        <v>956</v>
      </c>
      <c r="H1686" s="44" t="s">
        <v>2537</v>
      </c>
    </row>
    <row r="1687" spans="1:8">
      <c r="A1687" s="31">
        <f>COUNTIF('BOM Atual ZPCS12'!F:F,B1687)+(1-(SUMIF(Invoice!$A:$A,$B1687,Invoice!$B:$B)/100000000000))</f>
        <v>1</v>
      </c>
      <c r="B1687" s="52" t="s">
        <v>4431</v>
      </c>
      <c r="C1687" s="44" t="s">
        <v>4432</v>
      </c>
      <c r="D1687" s="44" t="s">
        <v>147</v>
      </c>
      <c r="E1687" s="44" t="s">
        <v>51</v>
      </c>
      <c r="G1687" s="44">
        <v>957</v>
      </c>
      <c r="H1687" s="44" t="s">
        <v>2537</v>
      </c>
    </row>
    <row r="1688" spans="1:8">
      <c r="A1688" s="31">
        <f>COUNTIF('BOM Atual ZPCS12'!F:F,B1688)+(1-(SUMIF(Invoice!$A:$A,$B1688,Invoice!$B:$B)/100000000000))</f>
        <v>1</v>
      </c>
      <c r="B1688" s="52" t="s">
        <v>4433</v>
      </c>
      <c r="C1688" s="44" t="s">
        <v>4434</v>
      </c>
      <c r="D1688" s="44" t="s">
        <v>147</v>
      </c>
      <c r="E1688" s="44" t="s">
        <v>51</v>
      </c>
      <c r="G1688" s="44">
        <v>957</v>
      </c>
      <c r="H1688" s="44" t="s">
        <v>2537</v>
      </c>
    </row>
    <row r="1689" spans="1:8">
      <c r="A1689" s="31">
        <f>COUNTIF('BOM Atual ZPCS12'!F:F,B1689)+(1-(SUMIF(Invoice!$A:$A,$B1689,Invoice!$B:$B)/100000000000))</f>
        <v>1</v>
      </c>
      <c r="B1689" s="52" t="s">
        <v>4435</v>
      </c>
      <c r="C1689" s="44" t="s">
        <v>4434</v>
      </c>
      <c r="D1689" s="44" t="s">
        <v>147</v>
      </c>
      <c r="E1689" s="44" t="s">
        <v>51</v>
      </c>
      <c r="G1689" s="44">
        <v>957</v>
      </c>
      <c r="H1689" s="44" t="s">
        <v>2537</v>
      </c>
    </row>
    <row r="1690" spans="1:8">
      <c r="A1690" s="31">
        <f>COUNTIF('BOM Atual ZPCS12'!F:F,B1690)+(1-(SUMIF(Invoice!$A:$A,$B1690,Invoice!$B:$B)/100000000000))</f>
        <v>1</v>
      </c>
      <c r="B1690" s="52" t="s">
        <v>4436</v>
      </c>
      <c r="C1690" s="44" t="s">
        <v>4437</v>
      </c>
      <c r="D1690" s="44" t="s">
        <v>147</v>
      </c>
      <c r="E1690" s="44" t="s">
        <v>51</v>
      </c>
      <c r="G1690" s="44">
        <v>957</v>
      </c>
      <c r="H1690" s="44" t="s">
        <v>2537</v>
      </c>
    </row>
    <row r="1691" spans="1:8">
      <c r="A1691" s="31">
        <f>COUNTIF('BOM Atual ZPCS12'!F:F,B1691)+(1-(SUMIF(Invoice!$A:$A,$B1691,Invoice!$B:$B)/100000000000))</f>
        <v>2</v>
      </c>
      <c r="B1691" s="52" t="s">
        <v>813</v>
      </c>
      <c r="C1691" s="44" t="s">
        <v>814</v>
      </c>
      <c r="D1691" s="44" t="s">
        <v>147</v>
      </c>
      <c r="E1691" s="44" t="s">
        <v>51</v>
      </c>
      <c r="G1691" s="44">
        <v>958</v>
      </c>
      <c r="H1691" s="44" t="s">
        <v>2537</v>
      </c>
    </row>
    <row r="1692" spans="1:8">
      <c r="A1692" s="31">
        <f>COUNTIF('BOM Atual ZPCS12'!F:F,B1692)+(1-(SUMIF(Invoice!$A:$A,$B1692,Invoice!$B:$B)/100000000000))</f>
        <v>1.9999999000000002</v>
      </c>
      <c r="B1692" s="52" t="s">
        <v>815</v>
      </c>
      <c r="C1692" s="44" t="s">
        <v>816</v>
      </c>
      <c r="D1692" s="44" t="s">
        <v>147</v>
      </c>
      <c r="E1692" s="44" t="s">
        <v>51</v>
      </c>
      <c r="G1692" s="44">
        <v>958</v>
      </c>
      <c r="H1692" s="44" t="s">
        <v>2537</v>
      </c>
    </row>
    <row r="1693" spans="1:8">
      <c r="A1693" s="31">
        <f>COUNTIF('BOM Atual ZPCS12'!F:F,B1693)+(1-(SUMIF(Invoice!$A:$A,$B1693,Invoice!$B:$B)/100000000000))</f>
        <v>1</v>
      </c>
      <c r="B1693" s="52" t="s">
        <v>4438</v>
      </c>
      <c r="C1693" s="44" t="s">
        <v>4439</v>
      </c>
      <c r="D1693" s="44" t="s">
        <v>147</v>
      </c>
      <c r="E1693" s="44" t="s">
        <v>51</v>
      </c>
      <c r="G1693" s="44">
        <v>958</v>
      </c>
      <c r="H1693" s="44" t="s">
        <v>2537</v>
      </c>
    </row>
    <row r="1694" spans="1:8">
      <c r="A1694" s="31">
        <f>COUNTIF('BOM Atual ZPCS12'!F:F,B1694)+(1-(SUMIF(Invoice!$A:$A,$B1694,Invoice!$B:$B)/100000000000))</f>
        <v>2</v>
      </c>
      <c r="B1694" s="52" t="s">
        <v>817</v>
      </c>
      <c r="C1694" s="44" t="s">
        <v>818</v>
      </c>
      <c r="D1694" s="44" t="s">
        <v>147</v>
      </c>
      <c r="E1694" s="44" t="s">
        <v>51</v>
      </c>
      <c r="G1694" s="44">
        <v>958</v>
      </c>
      <c r="H1694" s="44" t="s">
        <v>2537</v>
      </c>
    </row>
    <row r="1695" spans="1:8">
      <c r="A1695" s="31">
        <f>COUNTIF('BOM Atual ZPCS12'!F:F,B1695)+(1-(SUMIF(Invoice!$A:$A,$B1695,Invoice!$B:$B)/100000000000))</f>
        <v>1.9999997999999999</v>
      </c>
      <c r="B1695" s="52" t="s">
        <v>833</v>
      </c>
      <c r="C1695" s="44" t="s">
        <v>4440</v>
      </c>
      <c r="D1695" s="44" t="s">
        <v>147</v>
      </c>
      <c r="E1695" s="44" t="s">
        <v>51</v>
      </c>
      <c r="G1695" s="44">
        <v>959</v>
      </c>
      <c r="H1695" s="44" t="s">
        <v>2537</v>
      </c>
    </row>
    <row r="1696" spans="1:8">
      <c r="A1696" s="31">
        <f>COUNTIF('BOM Atual ZPCS12'!F:F,B1696)+(1-(SUMIF(Invoice!$A:$A,$B1696,Invoice!$B:$B)/100000000000))</f>
        <v>2</v>
      </c>
      <c r="B1696" s="52" t="s">
        <v>836</v>
      </c>
      <c r="C1696" s="44" t="s">
        <v>837</v>
      </c>
      <c r="D1696" s="44" t="s">
        <v>147</v>
      </c>
      <c r="E1696" s="44" t="s">
        <v>51</v>
      </c>
      <c r="G1696" s="44">
        <v>959</v>
      </c>
      <c r="H1696" s="44" t="s">
        <v>2537</v>
      </c>
    </row>
    <row r="1697" spans="1:8">
      <c r="A1697" s="31">
        <f>COUNTIF('BOM Atual ZPCS12'!F:F,B1697)+(1-(SUMIF(Invoice!$A:$A,$B1697,Invoice!$B:$B)/100000000000))</f>
        <v>1</v>
      </c>
      <c r="B1697" s="52" t="s">
        <v>4441</v>
      </c>
      <c r="C1697" s="44" t="s">
        <v>4440</v>
      </c>
      <c r="D1697" s="44" t="s">
        <v>147</v>
      </c>
      <c r="E1697" s="44" t="s">
        <v>51</v>
      </c>
      <c r="G1697" s="44">
        <v>959</v>
      </c>
      <c r="H1697" s="44" t="s">
        <v>2537</v>
      </c>
    </row>
    <row r="1698" spans="1:8">
      <c r="A1698" s="31">
        <f>COUNTIF('BOM Atual ZPCS12'!F:F,B1698)+(1-(SUMIF(Invoice!$A:$A,$B1698,Invoice!$B:$B)/100000000000))</f>
        <v>2</v>
      </c>
      <c r="B1698" s="52" t="s">
        <v>838</v>
      </c>
      <c r="C1698" s="44" t="s">
        <v>839</v>
      </c>
      <c r="D1698" s="44" t="s">
        <v>147</v>
      </c>
      <c r="E1698" s="44" t="s">
        <v>51</v>
      </c>
      <c r="G1698" s="44">
        <v>959</v>
      </c>
      <c r="H1698" s="44" t="s">
        <v>2537</v>
      </c>
    </row>
    <row r="1699" spans="1:8">
      <c r="A1699" s="31">
        <f>COUNTIF('BOM Atual ZPCS12'!F:F,B1699)+(1-(SUMIF(Invoice!$A:$A,$B1699,Invoice!$B:$B)/100000000000))</f>
        <v>2</v>
      </c>
      <c r="B1699" s="52" t="s">
        <v>854</v>
      </c>
      <c r="C1699" s="44" t="s">
        <v>855</v>
      </c>
      <c r="D1699" s="44" t="s">
        <v>147</v>
      </c>
      <c r="E1699" s="44" t="s">
        <v>51</v>
      </c>
      <c r="G1699" s="44">
        <v>960</v>
      </c>
      <c r="H1699" s="44" t="s">
        <v>2537</v>
      </c>
    </row>
    <row r="1700" spans="1:8">
      <c r="A1700" s="31">
        <f>COUNTIF('BOM Atual ZPCS12'!F:F,B1700)+(1-(SUMIF(Invoice!$A:$A,$B1700,Invoice!$B:$B)/100000000000))</f>
        <v>1.9999999000000002</v>
      </c>
      <c r="B1700" s="52" t="s">
        <v>857</v>
      </c>
      <c r="C1700" s="44" t="s">
        <v>858</v>
      </c>
      <c r="D1700" s="44" t="s">
        <v>147</v>
      </c>
      <c r="E1700" s="44" t="s">
        <v>51</v>
      </c>
      <c r="G1700" s="44">
        <v>960</v>
      </c>
      <c r="H1700" s="44" t="s">
        <v>2537</v>
      </c>
    </row>
    <row r="1701" spans="1:8">
      <c r="A1701" s="31">
        <f>COUNTIF('BOM Atual ZPCS12'!F:F,B1701)+(1-(SUMIF(Invoice!$A:$A,$B1701,Invoice!$B:$B)/100000000000))</f>
        <v>1</v>
      </c>
      <c r="B1701" s="52" t="s">
        <v>4442</v>
      </c>
      <c r="C1701" s="44" t="s">
        <v>4443</v>
      </c>
      <c r="D1701" s="44" t="s">
        <v>147</v>
      </c>
      <c r="E1701" s="44" t="s">
        <v>51</v>
      </c>
      <c r="G1701" s="44">
        <v>960</v>
      </c>
      <c r="H1701" s="44" t="s">
        <v>2537</v>
      </c>
    </row>
    <row r="1702" spans="1:8">
      <c r="A1702" s="31">
        <f>COUNTIF('BOM Atual ZPCS12'!F:F,B1702)+(1-(SUMIF(Invoice!$A:$A,$B1702,Invoice!$B:$B)/100000000000))</f>
        <v>1</v>
      </c>
      <c r="B1702" s="52" t="s">
        <v>4444</v>
      </c>
      <c r="C1702" s="44" t="s">
        <v>4445</v>
      </c>
      <c r="D1702" s="44" t="s">
        <v>147</v>
      </c>
      <c r="E1702" s="44" t="s">
        <v>51</v>
      </c>
      <c r="G1702" s="44">
        <v>961</v>
      </c>
      <c r="H1702" s="44" t="s">
        <v>2537</v>
      </c>
    </row>
    <row r="1703" spans="1:8">
      <c r="A1703" s="31">
        <f>COUNTIF('BOM Atual ZPCS12'!F:F,B1703)+(1-(SUMIF(Invoice!$A:$A,$B1703,Invoice!$B:$B)/100000000000))</f>
        <v>1</v>
      </c>
      <c r="B1703" s="52" t="s">
        <v>4446</v>
      </c>
      <c r="C1703" s="44" t="s">
        <v>4447</v>
      </c>
      <c r="D1703" s="44" t="s">
        <v>147</v>
      </c>
      <c r="E1703" s="44" t="s">
        <v>51</v>
      </c>
      <c r="G1703" s="44">
        <v>961</v>
      </c>
      <c r="H1703" s="44" t="s">
        <v>2537</v>
      </c>
    </row>
    <row r="1704" spans="1:8">
      <c r="A1704" s="31">
        <f>COUNTIF('BOM Atual ZPCS12'!F:F,B1704)+(1-(SUMIF(Invoice!$A:$A,$B1704,Invoice!$B:$B)/100000000000))</f>
        <v>1</v>
      </c>
      <c r="B1704" s="52" t="s">
        <v>4448</v>
      </c>
      <c r="C1704" s="44" t="s">
        <v>4445</v>
      </c>
      <c r="D1704" s="44" t="s">
        <v>147</v>
      </c>
      <c r="E1704" s="44" t="s">
        <v>51</v>
      </c>
      <c r="G1704" s="44">
        <v>961</v>
      </c>
      <c r="H1704" s="44" t="s">
        <v>2537</v>
      </c>
    </row>
    <row r="1705" spans="1:8">
      <c r="A1705" s="31">
        <f>COUNTIF('BOM Atual ZPCS12'!F:F,B1705)+(1-(SUMIF(Invoice!$A:$A,$B1705,Invoice!$B:$B)/100000000000))</f>
        <v>1</v>
      </c>
      <c r="B1705" s="52" t="s">
        <v>4449</v>
      </c>
      <c r="C1705" s="44" t="s">
        <v>4450</v>
      </c>
      <c r="D1705" s="44" t="s">
        <v>147</v>
      </c>
      <c r="E1705" s="44" t="s">
        <v>51</v>
      </c>
      <c r="G1705" s="44">
        <v>961</v>
      </c>
      <c r="H1705" s="44" t="s">
        <v>2537</v>
      </c>
    </row>
    <row r="1706" spans="1:8">
      <c r="A1706" s="31">
        <f>COUNTIF('BOM Atual ZPCS12'!F:F,B1706)+(1-(SUMIF(Invoice!$A:$A,$B1706,Invoice!$B:$B)/100000000000))</f>
        <v>1</v>
      </c>
      <c r="B1706" s="52" t="s">
        <v>4451</v>
      </c>
      <c r="C1706" s="44" t="s">
        <v>4452</v>
      </c>
      <c r="D1706" s="44" t="s">
        <v>147</v>
      </c>
      <c r="E1706" s="44" t="s">
        <v>51</v>
      </c>
      <c r="G1706" s="44">
        <v>962</v>
      </c>
      <c r="H1706" s="44" t="s">
        <v>2537</v>
      </c>
    </row>
    <row r="1707" spans="1:8">
      <c r="A1707" s="31">
        <f>COUNTIF('BOM Atual ZPCS12'!F:F,B1707)+(1-(SUMIF(Invoice!$A:$A,$B1707,Invoice!$B:$B)/100000000000))</f>
        <v>1</v>
      </c>
      <c r="B1707" s="52" t="s">
        <v>4453</v>
      </c>
      <c r="C1707" s="44" t="s">
        <v>4454</v>
      </c>
      <c r="D1707" s="44" t="s">
        <v>147</v>
      </c>
      <c r="E1707" s="44" t="s">
        <v>51</v>
      </c>
      <c r="G1707" s="44">
        <v>962</v>
      </c>
      <c r="H1707" s="44" t="s">
        <v>2537</v>
      </c>
    </row>
    <row r="1708" spans="1:8">
      <c r="A1708" s="31">
        <f>COUNTIF('BOM Atual ZPCS12'!F:F,B1708)+(1-(SUMIF(Invoice!$A:$A,$B1708,Invoice!$B:$B)/100000000000))</f>
        <v>1</v>
      </c>
      <c r="B1708" s="52" t="s">
        <v>4455</v>
      </c>
      <c r="C1708" s="44" t="s">
        <v>4452</v>
      </c>
      <c r="D1708" s="44" t="s">
        <v>147</v>
      </c>
      <c r="E1708" s="44" t="s">
        <v>51</v>
      </c>
      <c r="G1708" s="44">
        <v>962</v>
      </c>
      <c r="H1708" s="44" t="s">
        <v>2537</v>
      </c>
    </row>
    <row r="1709" spans="1:8">
      <c r="A1709" s="31">
        <f>COUNTIF('BOM Atual ZPCS12'!F:F,B1709)+(1-(SUMIF(Invoice!$A:$A,$B1709,Invoice!$B:$B)/100000000000))</f>
        <v>1</v>
      </c>
      <c r="B1709" s="52" t="s">
        <v>4456</v>
      </c>
      <c r="C1709" s="44" t="s">
        <v>4457</v>
      </c>
      <c r="D1709" s="44" t="s">
        <v>147</v>
      </c>
      <c r="E1709" s="44" t="s">
        <v>51</v>
      </c>
      <c r="G1709" s="44">
        <v>962</v>
      </c>
      <c r="H1709" s="44" t="s">
        <v>2537</v>
      </c>
    </row>
    <row r="1710" spans="1:8">
      <c r="A1710" s="31">
        <f>COUNTIF('BOM Atual ZPCS12'!F:F,B1710)+(1-(SUMIF(Invoice!$A:$A,$B1710,Invoice!$B:$B)/100000000000))</f>
        <v>1</v>
      </c>
      <c r="B1710" s="52" t="s">
        <v>4458</v>
      </c>
      <c r="C1710" s="44" t="s">
        <v>4459</v>
      </c>
      <c r="D1710" s="44" t="s">
        <v>147</v>
      </c>
      <c r="E1710" s="44" t="s">
        <v>51</v>
      </c>
      <c r="G1710" s="44">
        <v>963</v>
      </c>
      <c r="H1710" s="44" t="s">
        <v>2537</v>
      </c>
    </row>
    <row r="1711" spans="1:8">
      <c r="A1711" s="31">
        <f>COUNTIF('BOM Atual ZPCS12'!F:F,B1711)+(1-(SUMIF(Invoice!$A:$A,$B1711,Invoice!$B:$B)/100000000000))</f>
        <v>1</v>
      </c>
      <c r="B1711" s="52" t="s">
        <v>4460</v>
      </c>
      <c r="C1711" s="44" t="s">
        <v>4461</v>
      </c>
      <c r="D1711" s="44" t="s">
        <v>147</v>
      </c>
      <c r="E1711" s="44" t="s">
        <v>51</v>
      </c>
      <c r="G1711" s="44">
        <v>963</v>
      </c>
      <c r="H1711" s="44" t="s">
        <v>2537</v>
      </c>
    </row>
    <row r="1712" spans="1:8">
      <c r="A1712" s="31">
        <f>COUNTIF('BOM Atual ZPCS12'!F:F,B1712)+(1-(SUMIF(Invoice!$A:$A,$B1712,Invoice!$B:$B)/100000000000))</f>
        <v>1</v>
      </c>
      <c r="B1712" s="52" t="s">
        <v>4462</v>
      </c>
      <c r="C1712" s="44" t="s">
        <v>4463</v>
      </c>
      <c r="D1712" s="44" t="s">
        <v>147</v>
      </c>
      <c r="E1712" s="44" t="s">
        <v>51</v>
      </c>
      <c r="G1712" s="44">
        <v>963</v>
      </c>
      <c r="H1712" s="44" t="s">
        <v>2537</v>
      </c>
    </row>
    <row r="1713" spans="1:8">
      <c r="A1713" s="31">
        <f>COUNTIF('BOM Atual ZPCS12'!F:F,B1713)+(1-(SUMIF(Invoice!$A:$A,$B1713,Invoice!$B:$B)/100000000000))</f>
        <v>1</v>
      </c>
      <c r="B1713" s="52" t="s">
        <v>4464</v>
      </c>
      <c r="C1713" s="44" t="s">
        <v>4465</v>
      </c>
      <c r="D1713" s="44" t="s">
        <v>147</v>
      </c>
      <c r="E1713" s="44" t="s">
        <v>51</v>
      </c>
      <c r="G1713" s="44">
        <v>963</v>
      </c>
      <c r="H1713" s="44" t="s">
        <v>2537</v>
      </c>
    </row>
    <row r="1714" spans="1:8">
      <c r="A1714" s="31">
        <f>COUNTIF('BOM Atual ZPCS12'!F:F,B1714)+(1-(SUMIF(Invoice!$A:$A,$B1714,Invoice!$B:$B)/100000000000))</f>
        <v>2</v>
      </c>
      <c r="B1714" s="52" t="s">
        <v>908</v>
      </c>
      <c r="C1714" s="44" t="s">
        <v>4466</v>
      </c>
      <c r="D1714" s="44" t="s">
        <v>147</v>
      </c>
      <c r="E1714" s="44" t="s">
        <v>51</v>
      </c>
      <c r="G1714" s="44">
        <v>964</v>
      </c>
      <c r="H1714" s="44" t="s">
        <v>2537</v>
      </c>
    </row>
    <row r="1715" spans="1:8">
      <c r="A1715" s="31">
        <f>COUNTIF('BOM Atual ZPCS12'!F:F,B1715)+(1-(SUMIF(Invoice!$A:$A,$B1715,Invoice!$B:$B)/100000000000))</f>
        <v>2</v>
      </c>
      <c r="B1715" s="52" t="s">
        <v>911</v>
      </c>
      <c r="C1715" s="44" t="s">
        <v>912</v>
      </c>
      <c r="D1715" s="44" t="s">
        <v>147</v>
      </c>
      <c r="E1715" s="44" t="s">
        <v>51</v>
      </c>
      <c r="G1715" s="44">
        <v>964</v>
      </c>
      <c r="H1715" s="44" t="s">
        <v>2537</v>
      </c>
    </row>
    <row r="1716" spans="1:8">
      <c r="A1716" s="31">
        <f>COUNTIF('BOM Atual ZPCS12'!F:F,B1716)+(1-(SUMIF(Invoice!$A:$A,$B1716,Invoice!$B:$B)/100000000000))</f>
        <v>2</v>
      </c>
      <c r="B1716" s="52" t="s">
        <v>913</v>
      </c>
      <c r="C1716" s="44" t="s">
        <v>4467</v>
      </c>
      <c r="D1716" s="44" t="s">
        <v>147</v>
      </c>
      <c r="E1716" s="44" t="s">
        <v>51</v>
      </c>
      <c r="G1716" s="44">
        <v>964</v>
      </c>
      <c r="H1716" s="44" t="s">
        <v>2537</v>
      </c>
    </row>
    <row r="1717" spans="1:8">
      <c r="A1717" s="31">
        <f>COUNTIF('BOM Atual ZPCS12'!F:F,B1717)+(1-(SUMIF(Invoice!$A:$A,$B1717,Invoice!$B:$B)/100000000000))</f>
        <v>1.9999999000000002</v>
      </c>
      <c r="B1717" s="52" t="s">
        <v>915</v>
      </c>
      <c r="C1717" s="44" t="s">
        <v>916</v>
      </c>
      <c r="D1717" s="44" t="s">
        <v>147</v>
      </c>
      <c r="E1717" s="44" t="s">
        <v>51</v>
      </c>
      <c r="G1717" s="44">
        <v>964</v>
      </c>
      <c r="H1717" s="44" t="s">
        <v>2537</v>
      </c>
    </row>
    <row r="1718" spans="1:8">
      <c r="A1718" s="31">
        <f>COUNTIF('BOM Atual ZPCS12'!F:F,B1718)+(1-(SUMIF(Invoice!$A:$A,$B1718,Invoice!$B:$B)/100000000000))</f>
        <v>2</v>
      </c>
      <c r="B1718" s="52" t="s">
        <v>945</v>
      </c>
      <c r="C1718" s="44" t="s">
        <v>946</v>
      </c>
      <c r="D1718" s="44" t="s">
        <v>147</v>
      </c>
      <c r="E1718" s="44" t="s">
        <v>51</v>
      </c>
      <c r="G1718" s="44">
        <v>965</v>
      </c>
      <c r="H1718" s="44" t="s">
        <v>2537</v>
      </c>
    </row>
    <row r="1719" spans="1:8">
      <c r="A1719" s="31">
        <f>COUNTIF('BOM Atual ZPCS12'!F:F,B1719)+(1-(SUMIF(Invoice!$A:$A,$B1719,Invoice!$B:$B)/100000000000))</f>
        <v>2</v>
      </c>
      <c r="B1719" s="52" t="s">
        <v>948</v>
      </c>
      <c r="C1719" s="44" t="s">
        <v>949</v>
      </c>
      <c r="D1719" s="44" t="s">
        <v>147</v>
      </c>
      <c r="E1719" s="44" t="s">
        <v>51</v>
      </c>
      <c r="G1719" s="44">
        <v>965</v>
      </c>
      <c r="H1719" s="44" t="s">
        <v>2537</v>
      </c>
    </row>
    <row r="1720" spans="1:8">
      <c r="A1720" s="31">
        <f>COUNTIF('BOM Atual ZPCS12'!F:F,B1720)+(1-(SUMIF(Invoice!$A:$A,$B1720,Invoice!$B:$B)/100000000000))</f>
        <v>2</v>
      </c>
      <c r="B1720" s="52" t="s">
        <v>950</v>
      </c>
      <c r="C1720" s="44" t="s">
        <v>951</v>
      </c>
      <c r="D1720" s="44" t="s">
        <v>147</v>
      </c>
      <c r="E1720" s="44" t="s">
        <v>51</v>
      </c>
      <c r="G1720" s="44">
        <v>965</v>
      </c>
      <c r="H1720" s="44" t="s">
        <v>2537</v>
      </c>
    </row>
    <row r="1721" spans="1:8">
      <c r="A1721" s="31">
        <f>COUNTIF('BOM Atual ZPCS12'!F:F,B1721)+(1-(SUMIF(Invoice!$A:$A,$B1721,Invoice!$B:$B)/100000000000))</f>
        <v>1.9999999000000002</v>
      </c>
      <c r="B1721" s="52" t="s">
        <v>952</v>
      </c>
      <c r="C1721" s="44" t="s">
        <v>953</v>
      </c>
      <c r="D1721" s="44" t="s">
        <v>147</v>
      </c>
      <c r="E1721" s="44" t="s">
        <v>51</v>
      </c>
      <c r="G1721" s="44">
        <v>965</v>
      </c>
      <c r="H1721" s="44" t="s">
        <v>2537</v>
      </c>
    </row>
    <row r="1722" spans="1:8">
      <c r="A1722" s="31">
        <f>COUNTIF('BOM Atual ZPCS12'!F:F,B1722)+(1-(SUMIF(Invoice!$A:$A,$B1722,Invoice!$B:$B)/100000000000))</f>
        <v>2</v>
      </c>
      <c r="B1722" s="52" t="s">
        <v>988</v>
      </c>
      <c r="C1722" s="44" t="s">
        <v>989</v>
      </c>
      <c r="D1722" s="44" t="s">
        <v>147</v>
      </c>
      <c r="E1722" s="44" t="s">
        <v>51</v>
      </c>
      <c r="G1722" s="44">
        <v>966</v>
      </c>
      <c r="H1722" s="44" t="s">
        <v>2537</v>
      </c>
    </row>
    <row r="1723" spans="1:8">
      <c r="A1723" s="31">
        <f>COUNTIF('BOM Atual ZPCS12'!F:F,B1723)+(1-(SUMIF(Invoice!$A:$A,$B1723,Invoice!$B:$B)/100000000000))</f>
        <v>1.9999999000000002</v>
      </c>
      <c r="B1723" s="52" t="s">
        <v>991</v>
      </c>
      <c r="C1723" s="44" t="s">
        <v>992</v>
      </c>
      <c r="D1723" s="44" t="s">
        <v>147</v>
      </c>
      <c r="E1723" s="44" t="s">
        <v>51</v>
      </c>
      <c r="G1723" s="44">
        <v>966</v>
      </c>
      <c r="H1723" s="44" t="s">
        <v>2537</v>
      </c>
    </row>
    <row r="1724" spans="1:8">
      <c r="A1724" s="31">
        <f>COUNTIF('BOM Atual ZPCS12'!F:F,B1724)+(1-(SUMIF(Invoice!$A:$A,$B1724,Invoice!$B:$B)/100000000000))</f>
        <v>1</v>
      </c>
      <c r="B1724" s="52" t="s">
        <v>4468</v>
      </c>
      <c r="C1724" s="44" t="s">
        <v>4469</v>
      </c>
      <c r="D1724" s="44" t="s">
        <v>147</v>
      </c>
      <c r="E1724" s="44" t="s">
        <v>51</v>
      </c>
      <c r="G1724" s="44">
        <v>966</v>
      </c>
      <c r="H1724" s="44" t="s">
        <v>2537</v>
      </c>
    </row>
    <row r="1725" spans="1:8">
      <c r="A1725" s="31">
        <f>COUNTIF('BOM Atual ZPCS12'!F:F,B1725)+(1-(SUMIF(Invoice!$A:$A,$B1725,Invoice!$B:$B)/100000000000))</f>
        <v>2</v>
      </c>
      <c r="B1725" s="52" t="s">
        <v>993</v>
      </c>
      <c r="C1725" s="44" t="s">
        <v>994</v>
      </c>
      <c r="D1725" s="44" t="s">
        <v>147</v>
      </c>
      <c r="E1725" s="44" t="s">
        <v>51</v>
      </c>
      <c r="G1725" s="44">
        <v>966</v>
      </c>
      <c r="H1725" s="44" t="s">
        <v>2537</v>
      </c>
    </row>
    <row r="1726" spans="1:8">
      <c r="A1726" s="31">
        <f>COUNTIF('BOM Atual ZPCS12'!F:F,B1726)+(1-(SUMIF(Invoice!$A:$A,$B1726,Invoice!$B:$B)/100000000000))</f>
        <v>1</v>
      </c>
      <c r="B1726" s="52" t="s">
        <v>4470</v>
      </c>
      <c r="C1726" s="44" t="s">
        <v>4471</v>
      </c>
      <c r="D1726" s="44" t="s">
        <v>147</v>
      </c>
      <c r="E1726" s="44" t="s">
        <v>51</v>
      </c>
      <c r="G1726" s="44">
        <v>967</v>
      </c>
      <c r="H1726" s="44" t="s">
        <v>2537</v>
      </c>
    </row>
    <row r="1727" spans="1:8">
      <c r="A1727" s="31">
        <f>COUNTIF('BOM Atual ZPCS12'!F:F,B1727)+(1-(SUMIF(Invoice!$A:$A,$B1727,Invoice!$B:$B)/100000000000))</f>
        <v>1</v>
      </c>
      <c r="B1727" s="52" t="s">
        <v>4472</v>
      </c>
      <c r="C1727" s="44" t="s">
        <v>4471</v>
      </c>
      <c r="D1727" s="44" t="s">
        <v>147</v>
      </c>
      <c r="E1727" s="44" t="s">
        <v>51</v>
      </c>
      <c r="G1727" s="44">
        <v>967</v>
      </c>
      <c r="H1727" s="44" t="s">
        <v>2537</v>
      </c>
    </row>
    <row r="1728" spans="1:8">
      <c r="A1728" s="31">
        <f>COUNTIF('BOM Atual ZPCS12'!F:F,B1728)+(1-(SUMIF(Invoice!$A:$A,$B1728,Invoice!$B:$B)/100000000000))</f>
        <v>1</v>
      </c>
      <c r="B1728" s="52" t="s">
        <v>4473</v>
      </c>
      <c r="C1728" s="44" t="s">
        <v>4471</v>
      </c>
      <c r="D1728" s="44" t="s">
        <v>147</v>
      </c>
      <c r="E1728" s="44" t="s">
        <v>51</v>
      </c>
      <c r="G1728" s="44">
        <v>967</v>
      </c>
      <c r="H1728" s="44" t="s">
        <v>2537</v>
      </c>
    </row>
    <row r="1729" spans="1:8">
      <c r="A1729" s="31">
        <f>COUNTIF('BOM Atual ZPCS12'!F:F,B1729)+(1-(SUMIF(Invoice!$A:$A,$B1729,Invoice!$B:$B)/100000000000))</f>
        <v>1</v>
      </c>
      <c r="B1729" s="52" t="s">
        <v>4474</v>
      </c>
      <c r="C1729" s="44" t="s">
        <v>4475</v>
      </c>
      <c r="D1729" s="44" t="s">
        <v>147</v>
      </c>
      <c r="E1729" s="44" t="s">
        <v>51</v>
      </c>
      <c r="G1729" s="44">
        <v>967</v>
      </c>
      <c r="H1729" s="44" t="s">
        <v>2537</v>
      </c>
    </row>
    <row r="1730" spans="1:8">
      <c r="A1730" s="31">
        <f>COUNTIF('BOM Atual ZPCS12'!F:F,B1730)+(1-(SUMIF(Invoice!$A:$A,$B1730,Invoice!$B:$B)/100000000000))</f>
        <v>1</v>
      </c>
      <c r="B1730" s="52" t="s">
        <v>4476</v>
      </c>
      <c r="C1730" s="44" t="s">
        <v>4477</v>
      </c>
      <c r="D1730" s="44" t="s">
        <v>147</v>
      </c>
      <c r="E1730" s="44" t="s">
        <v>51</v>
      </c>
      <c r="G1730" s="44">
        <v>968</v>
      </c>
      <c r="H1730" s="44" t="s">
        <v>2537</v>
      </c>
    </row>
    <row r="1731" spans="1:8">
      <c r="A1731" s="31">
        <f>COUNTIF('BOM Atual ZPCS12'!F:F,B1731)+(1-(SUMIF(Invoice!$A:$A,$B1731,Invoice!$B:$B)/100000000000))</f>
        <v>1</v>
      </c>
      <c r="B1731" s="52" t="s">
        <v>4478</v>
      </c>
      <c r="C1731" s="44" t="s">
        <v>4479</v>
      </c>
      <c r="D1731" s="44" t="s">
        <v>147</v>
      </c>
      <c r="E1731" s="44" t="s">
        <v>51</v>
      </c>
      <c r="G1731" s="44">
        <v>968</v>
      </c>
      <c r="H1731" s="44" t="s">
        <v>2537</v>
      </c>
    </row>
    <row r="1732" spans="1:8">
      <c r="A1732" s="31">
        <f>COUNTIF('BOM Atual ZPCS12'!F:F,B1732)+(1-(SUMIF(Invoice!$A:$A,$B1732,Invoice!$B:$B)/100000000000))</f>
        <v>1</v>
      </c>
      <c r="B1732" s="52" t="s">
        <v>4480</v>
      </c>
      <c r="C1732" s="44" t="s">
        <v>4481</v>
      </c>
      <c r="D1732" s="44" t="s">
        <v>147</v>
      </c>
      <c r="E1732" s="44" t="s">
        <v>51</v>
      </c>
      <c r="G1732" s="44">
        <v>968</v>
      </c>
      <c r="H1732" s="44" t="s">
        <v>2537</v>
      </c>
    </row>
    <row r="1733" spans="1:8">
      <c r="A1733" s="31">
        <f>COUNTIF('BOM Atual ZPCS12'!F:F,B1733)+(1-(SUMIF(Invoice!$A:$A,$B1733,Invoice!$B:$B)/100000000000))</f>
        <v>1</v>
      </c>
      <c r="B1733" s="52" t="s">
        <v>4482</v>
      </c>
      <c r="C1733" s="44" t="s">
        <v>4483</v>
      </c>
      <c r="D1733" s="44" t="s">
        <v>147</v>
      </c>
      <c r="E1733" s="44" t="s">
        <v>51</v>
      </c>
      <c r="G1733" s="44">
        <v>968</v>
      </c>
      <c r="H1733" s="44" t="s">
        <v>2537</v>
      </c>
    </row>
    <row r="1734" spans="1:8">
      <c r="A1734" s="31">
        <f>COUNTIF('BOM Atual ZPCS12'!F:F,B1734)+(1-(SUMIF(Invoice!$A:$A,$B1734,Invoice!$B:$B)/100000000000))</f>
        <v>2</v>
      </c>
      <c r="B1734" s="52" t="s">
        <v>1002</v>
      </c>
      <c r="C1734" s="44" t="s">
        <v>4484</v>
      </c>
      <c r="D1734" s="44" t="s">
        <v>147</v>
      </c>
      <c r="E1734" s="44" t="s">
        <v>51</v>
      </c>
      <c r="G1734" s="44">
        <v>969</v>
      </c>
      <c r="H1734" s="44" t="s">
        <v>2537</v>
      </c>
    </row>
    <row r="1735" spans="1:8">
      <c r="A1735" s="31">
        <f>COUNTIF('BOM Atual ZPCS12'!F:F,B1735)+(1-(SUMIF(Invoice!$A:$A,$B1735,Invoice!$B:$B)/100000000000))</f>
        <v>1.9999999000000002</v>
      </c>
      <c r="B1735" s="52" t="s">
        <v>1005</v>
      </c>
      <c r="C1735" s="44" t="s">
        <v>4485</v>
      </c>
      <c r="D1735" s="44" t="s">
        <v>147</v>
      </c>
      <c r="E1735" s="44" t="s">
        <v>51</v>
      </c>
      <c r="G1735" s="44">
        <v>969</v>
      </c>
      <c r="H1735" s="44" t="s">
        <v>2537</v>
      </c>
    </row>
    <row r="1736" spans="1:8">
      <c r="A1736" s="31">
        <f>COUNTIF('BOM Atual ZPCS12'!F:F,B1736)+(1-(SUMIF(Invoice!$A:$A,$B1736,Invoice!$B:$B)/100000000000))</f>
        <v>1</v>
      </c>
      <c r="B1736" s="52" t="s">
        <v>4486</v>
      </c>
      <c r="C1736" s="44" t="s">
        <v>4484</v>
      </c>
      <c r="D1736" s="44" t="s">
        <v>147</v>
      </c>
      <c r="E1736" s="44" t="s">
        <v>51</v>
      </c>
      <c r="G1736" s="44">
        <v>969</v>
      </c>
      <c r="H1736" s="44" t="s">
        <v>2537</v>
      </c>
    </row>
    <row r="1737" spans="1:8">
      <c r="A1737" s="31">
        <f>COUNTIF('BOM Atual ZPCS12'!F:F,B1737)+(1-(SUMIF(Invoice!$A:$A,$B1737,Invoice!$B:$B)/100000000000))</f>
        <v>2</v>
      </c>
      <c r="B1737" s="52" t="s">
        <v>1007</v>
      </c>
      <c r="C1737" s="44" t="s">
        <v>1008</v>
      </c>
      <c r="D1737" s="44" t="s">
        <v>147</v>
      </c>
      <c r="E1737" s="44" t="s">
        <v>51</v>
      </c>
      <c r="G1737" s="44">
        <v>969</v>
      </c>
      <c r="H1737" s="44" t="s">
        <v>2537</v>
      </c>
    </row>
    <row r="1738" spans="1:8">
      <c r="A1738" s="31">
        <f>COUNTIF('BOM Atual ZPCS12'!F:F,B1738)+(1-(SUMIF(Invoice!$A:$A,$B1738,Invoice!$B:$B)/100000000000))</f>
        <v>1</v>
      </c>
      <c r="B1738" s="52" t="s">
        <v>4487</v>
      </c>
      <c r="C1738" s="44" t="s">
        <v>4488</v>
      </c>
      <c r="D1738" s="44" t="s">
        <v>147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4489</v>
      </c>
      <c r="C1739" s="44" t="s">
        <v>4490</v>
      </c>
      <c r="D1739" s="44" t="s">
        <v>147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4491</v>
      </c>
      <c r="C1740" s="44" t="s">
        <v>4492</v>
      </c>
      <c r="D1740" s="44" t="s">
        <v>147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4493</v>
      </c>
      <c r="C1741" s="44" t="s">
        <v>4494</v>
      </c>
      <c r="D1741" s="44" t="s">
        <v>147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4495</v>
      </c>
      <c r="C1742" s="44" t="s">
        <v>4496</v>
      </c>
      <c r="D1742" s="44" t="s">
        <v>147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4497</v>
      </c>
      <c r="C1743" s="44" t="s">
        <v>4498</v>
      </c>
      <c r="D1743" s="44" t="s">
        <v>147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4499</v>
      </c>
      <c r="C1744" s="44" t="s">
        <v>4500</v>
      </c>
      <c r="D1744" s="44" t="s">
        <v>147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4501</v>
      </c>
      <c r="C1745" s="44" t="s">
        <v>4502</v>
      </c>
      <c r="D1745" s="44" t="s">
        <v>147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4503</v>
      </c>
      <c r="C1746" s="44" t="s">
        <v>4504</v>
      </c>
      <c r="D1746" s="44" t="s">
        <v>147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1.99999987886</v>
      </c>
      <c r="B1747" s="52" t="s">
        <v>1093</v>
      </c>
      <c r="C1747" s="44" t="s">
        <v>4505</v>
      </c>
      <c r="D1747" s="44" t="s">
        <v>147</v>
      </c>
      <c r="E1747" s="44" t="s">
        <v>51</v>
      </c>
      <c r="G1747" s="44">
        <v>973</v>
      </c>
      <c r="H1747" s="44" t="s">
        <v>2537</v>
      </c>
    </row>
    <row r="1748" spans="1:8">
      <c r="A1748" s="31">
        <f>COUNTIF('BOM Atual ZPCS12'!F:F,B1748)+(1-(SUMIF(Invoice!$A:$A,$B1748,Invoice!$B:$B)/100000000000))</f>
        <v>2</v>
      </c>
      <c r="B1748" s="52" t="s">
        <v>1096</v>
      </c>
      <c r="C1748" s="44" t="s">
        <v>4506</v>
      </c>
      <c r="D1748" s="44" t="s">
        <v>147</v>
      </c>
      <c r="E1748" s="44" t="s">
        <v>51</v>
      </c>
      <c r="G1748" s="44">
        <v>973</v>
      </c>
      <c r="H1748" s="44" t="s">
        <v>2537</v>
      </c>
    </row>
    <row r="1749" spans="1:8">
      <c r="A1749" s="31">
        <f>COUNTIF('BOM Atual ZPCS12'!F:F,B1749)+(1-(SUMIF(Invoice!$A:$A,$B1749,Invoice!$B:$B)/100000000000))</f>
        <v>1</v>
      </c>
      <c r="B1749" s="52" t="s">
        <v>4507</v>
      </c>
      <c r="C1749" s="44" t="s">
        <v>4505</v>
      </c>
      <c r="D1749" s="44" t="s">
        <v>147</v>
      </c>
      <c r="E1749" s="44" t="s">
        <v>51</v>
      </c>
      <c r="G1749" s="44">
        <v>973</v>
      </c>
      <c r="H1749" s="44" t="s">
        <v>2537</v>
      </c>
    </row>
    <row r="1750" spans="1:8">
      <c r="A1750" s="31">
        <f>COUNTIF('BOM Atual ZPCS12'!F:F,B1750)+(1-(SUMIF(Invoice!$A:$A,$B1750,Invoice!$B:$B)/100000000000))</f>
        <v>2</v>
      </c>
      <c r="B1750" s="52" t="s">
        <v>1098</v>
      </c>
      <c r="C1750" s="44" t="s">
        <v>1099</v>
      </c>
      <c r="D1750" s="44" t="s">
        <v>147</v>
      </c>
      <c r="E1750" s="44" t="s">
        <v>51</v>
      </c>
      <c r="G1750" s="44">
        <v>973</v>
      </c>
      <c r="H1750" s="44" t="s">
        <v>2537</v>
      </c>
    </row>
    <row r="1751" spans="1:8">
      <c r="A1751" s="31">
        <f>COUNTIF('BOM Atual ZPCS12'!F:F,B1751)+(1-(SUMIF(Invoice!$A:$A,$B1751,Invoice!$B:$B)/100000000000))</f>
        <v>2</v>
      </c>
      <c r="B1751" s="52" t="s">
        <v>1100</v>
      </c>
      <c r="C1751" s="44" t="s">
        <v>4508</v>
      </c>
      <c r="D1751" s="44" t="s">
        <v>147</v>
      </c>
      <c r="E1751" s="44" t="s">
        <v>51</v>
      </c>
      <c r="G1751" s="44">
        <v>974</v>
      </c>
      <c r="H1751" s="44" t="s">
        <v>2537</v>
      </c>
    </row>
    <row r="1752" spans="1:8">
      <c r="A1752" s="31">
        <f>COUNTIF('BOM Atual ZPCS12'!F:F,B1752)+(1-(SUMIF(Invoice!$A:$A,$B1752,Invoice!$B:$B)/100000000000))</f>
        <v>2</v>
      </c>
      <c r="B1752" s="52" t="s">
        <v>1103</v>
      </c>
      <c r="C1752" s="44" t="s">
        <v>4509</v>
      </c>
      <c r="D1752" s="44" t="s">
        <v>147</v>
      </c>
      <c r="E1752" s="44" t="s">
        <v>51</v>
      </c>
      <c r="G1752" s="44">
        <v>974</v>
      </c>
      <c r="H1752" s="44" t="s">
        <v>2537</v>
      </c>
    </row>
    <row r="1753" spans="1:8">
      <c r="A1753" s="31">
        <f>COUNTIF('BOM Atual ZPCS12'!F:F,B1753)+(1-(SUMIF(Invoice!$A:$A,$B1753,Invoice!$B:$B)/100000000000))</f>
        <v>1</v>
      </c>
      <c r="B1753" s="52" t="s">
        <v>4510</v>
      </c>
      <c r="C1753" s="44" t="s">
        <v>4511</v>
      </c>
      <c r="D1753" s="44" t="s">
        <v>147</v>
      </c>
      <c r="E1753" s="44" t="s">
        <v>51</v>
      </c>
      <c r="G1753" s="44">
        <v>974</v>
      </c>
      <c r="H1753" s="44" t="s">
        <v>2537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1105</v>
      </c>
      <c r="C1754" s="44" t="s">
        <v>1106</v>
      </c>
      <c r="D1754" s="44" t="s">
        <v>147</v>
      </c>
      <c r="E1754" s="44" t="s">
        <v>51</v>
      </c>
      <c r="G1754" s="44">
        <v>974</v>
      </c>
      <c r="H1754" s="44" t="s">
        <v>2537</v>
      </c>
    </row>
    <row r="1755" spans="1:8">
      <c r="A1755" s="31">
        <f>COUNTIF('BOM Atual ZPCS12'!F:F,B1755)+(1-(SUMIF(Invoice!$A:$A,$B1755,Invoice!$B:$B)/100000000000))</f>
        <v>1</v>
      </c>
      <c r="B1755" s="52" t="s">
        <v>4512</v>
      </c>
      <c r="C1755" s="44" t="s">
        <v>4513</v>
      </c>
      <c r="D1755" s="44" t="s">
        <v>147</v>
      </c>
      <c r="E1755" s="44" t="s">
        <v>51</v>
      </c>
      <c r="G1755" s="44">
        <v>975</v>
      </c>
      <c r="H1755" s="44" t="s">
        <v>2537</v>
      </c>
    </row>
    <row r="1756" spans="1:8">
      <c r="A1756" s="31">
        <f>COUNTIF('BOM Atual ZPCS12'!F:F,B1756)+(1-(SUMIF(Invoice!$A:$A,$B1756,Invoice!$B:$B)/100000000000))</f>
        <v>1</v>
      </c>
      <c r="B1756" s="52" t="s">
        <v>4514</v>
      </c>
      <c r="C1756" s="44" t="s">
        <v>4515</v>
      </c>
      <c r="D1756" s="44" t="s">
        <v>147</v>
      </c>
      <c r="E1756" s="44" t="s">
        <v>51</v>
      </c>
      <c r="G1756" s="44">
        <v>975</v>
      </c>
      <c r="H1756" s="44" t="s">
        <v>2537</v>
      </c>
    </row>
    <row r="1757" spans="1:8">
      <c r="A1757" s="31">
        <f>COUNTIF('BOM Atual ZPCS12'!F:F,B1757)+(1-(SUMIF(Invoice!$A:$A,$B1757,Invoice!$B:$B)/100000000000))</f>
        <v>1</v>
      </c>
      <c r="B1757" s="52" t="s">
        <v>4516</v>
      </c>
      <c r="C1757" s="44" t="s">
        <v>4517</v>
      </c>
      <c r="D1757" s="44" t="s">
        <v>147</v>
      </c>
      <c r="E1757" s="44" t="s">
        <v>51</v>
      </c>
      <c r="G1757" s="44">
        <v>975</v>
      </c>
      <c r="H1757" s="44" t="s">
        <v>2537</v>
      </c>
    </row>
    <row r="1758" spans="1:8">
      <c r="A1758" s="31">
        <f>COUNTIF('BOM Atual ZPCS12'!F:F,B1758)+(1-(SUMIF(Invoice!$A:$A,$B1758,Invoice!$B:$B)/100000000000))</f>
        <v>1</v>
      </c>
      <c r="B1758" s="52" t="s">
        <v>4518</v>
      </c>
      <c r="C1758" s="44" t="s">
        <v>4519</v>
      </c>
      <c r="D1758" s="44" t="s">
        <v>147</v>
      </c>
      <c r="E1758" s="44" t="s">
        <v>51</v>
      </c>
      <c r="G1758" s="44">
        <v>975</v>
      </c>
      <c r="H1758" s="44" t="s">
        <v>2537</v>
      </c>
    </row>
    <row r="1759" spans="1:8">
      <c r="A1759" s="31">
        <f>COUNTIF('BOM Atual ZPCS12'!F:F,B1759)+(1-(SUMIF(Invoice!$A:$A,$B1759,Invoice!$B:$B)/100000000000))</f>
        <v>1</v>
      </c>
      <c r="B1759" s="52" t="s">
        <v>4520</v>
      </c>
      <c r="C1759" s="44" t="s">
        <v>4521</v>
      </c>
      <c r="D1759" s="44" t="s">
        <v>147</v>
      </c>
      <c r="E1759" s="44" t="s">
        <v>51</v>
      </c>
      <c r="G1759" s="44">
        <v>976</v>
      </c>
      <c r="H1759" s="44" t="s">
        <v>2537</v>
      </c>
    </row>
    <row r="1760" spans="1:8">
      <c r="A1760" s="31">
        <f>COUNTIF('BOM Atual ZPCS12'!F:F,B1760)+(1-(SUMIF(Invoice!$A:$A,$B1760,Invoice!$B:$B)/100000000000))</f>
        <v>1</v>
      </c>
      <c r="B1760" s="52" t="s">
        <v>4522</v>
      </c>
      <c r="C1760" s="44" t="s">
        <v>4523</v>
      </c>
      <c r="D1760" s="44" t="s">
        <v>147</v>
      </c>
      <c r="E1760" s="44" t="s">
        <v>51</v>
      </c>
      <c r="G1760" s="44">
        <v>976</v>
      </c>
      <c r="H1760" s="44" t="s">
        <v>2537</v>
      </c>
    </row>
    <row r="1761" spans="1:8">
      <c r="A1761" s="31">
        <f>COUNTIF('BOM Atual ZPCS12'!F:F,B1761)+(1-(SUMIF(Invoice!$A:$A,$B1761,Invoice!$B:$B)/100000000000))</f>
        <v>1</v>
      </c>
      <c r="B1761" s="52" t="s">
        <v>4524</v>
      </c>
      <c r="C1761" s="44" t="s">
        <v>4521</v>
      </c>
      <c r="D1761" s="44" t="s">
        <v>147</v>
      </c>
      <c r="E1761" s="44" t="s">
        <v>51</v>
      </c>
      <c r="G1761" s="44">
        <v>976</v>
      </c>
      <c r="H1761" s="44" t="s">
        <v>2537</v>
      </c>
    </row>
    <row r="1762" spans="1:8">
      <c r="A1762" s="31">
        <f>COUNTIF('BOM Atual ZPCS12'!F:F,B1762)+(1-(SUMIF(Invoice!$A:$A,$B1762,Invoice!$B:$B)/100000000000))</f>
        <v>1</v>
      </c>
      <c r="B1762" s="52" t="s">
        <v>4525</v>
      </c>
      <c r="C1762" s="44" t="s">
        <v>4526</v>
      </c>
      <c r="D1762" s="44" t="s">
        <v>147</v>
      </c>
      <c r="E1762" s="44" t="s">
        <v>51</v>
      </c>
      <c r="G1762" s="44">
        <v>976</v>
      </c>
      <c r="H1762" s="44" t="s">
        <v>2537</v>
      </c>
    </row>
    <row r="1763" spans="1:8">
      <c r="A1763" s="31">
        <f>COUNTIF('BOM Atual ZPCS12'!F:F,B1763)+(1-(SUMIF(Invoice!$A:$A,$B1763,Invoice!$B:$B)/100000000000))</f>
        <v>2</v>
      </c>
      <c r="B1763" s="52" t="s">
        <v>1187</v>
      </c>
      <c r="C1763" s="44" t="s">
        <v>1188</v>
      </c>
      <c r="D1763" s="44" t="s">
        <v>147</v>
      </c>
      <c r="E1763" s="44" t="s">
        <v>51</v>
      </c>
      <c r="G1763" s="44">
        <v>977</v>
      </c>
      <c r="H1763" s="44" t="s">
        <v>2537</v>
      </c>
    </row>
    <row r="1764" spans="1:8">
      <c r="A1764" s="31">
        <f>COUNTIF('BOM Atual ZPCS12'!F:F,B1764)+(1-(SUMIF(Invoice!$A:$A,$B1764,Invoice!$B:$B)/100000000000))</f>
        <v>1.9999999499999999</v>
      </c>
      <c r="B1764" s="52" t="s">
        <v>1190</v>
      </c>
      <c r="C1764" s="44" t="s">
        <v>1191</v>
      </c>
      <c r="D1764" s="44" t="s">
        <v>147</v>
      </c>
      <c r="E1764" s="44" t="s">
        <v>51</v>
      </c>
      <c r="G1764" s="44">
        <v>977</v>
      </c>
      <c r="H1764" s="44" t="s">
        <v>2537</v>
      </c>
    </row>
    <row r="1765" spans="1:8">
      <c r="A1765" s="31">
        <f>COUNTIF('BOM Atual ZPCS12'!F:F,B1765)+(1-(SUMIF(Invoice!$A:$A,$B1765,Invoice!$B:$B)/100000000000))</f>
        <v>1</v>
      </c>
      <c r="B1765" s="52" t="s">
        <v>4527</v>
      </c>
      <c r="C1765" s="44" t="s">
        <v>4528</v>
      </c>
      <c r="D1765" s="44" t="s">
        <v>147</v>
      </c>
      <c r="E1765" s="44" t="s">
        <v>51</v>
      </c>
      <c r="G1765" s="44">
        <v>977</v>
      </c>
      <c r="H1765" s="44" t="s">
        <v>2537</v>
      </c>
    </row>
    <row r="1766" spans="1:8">
      <c r="A1766" s="31">
        <f>COUNTIF('BOM Atual ZPCS12'!F:F,B1766)+(1-(SUMIF(Invoice!$A:$A,$B1766,Invoice!$B:$B)/100000000000))</f>
        <v>2</v>
      </c>
      <c r="B1766" s="52" t="s">
        <v>1192</v>
      </c>
      <c r="C1766" s="44" t="s">
        <v>1193</v>
      </c>
      <c r="D1766" s="44" t="s">
        <v>147</v>
      </c>
      <c r="E1766" s="44" t="s">
        <v>51</v>
      </c>
      <c r="G1766" s="44">
        <v>977</v>
      </c>
      <c r="H1766" s="44" t="s">
        <v>2537</v>
      </c>
    </row>
    <row r="1767" spans="1:8">
      <c r="A1767" s="31">
        <f>COUNTIF('BOM Atual ZPCS12'!F:F,B1767)+(1-(SUMIF(Invoice!$A:$A,$B1767,Invoice!$B:$B)/100000000000))</f>
        <v>2</v>
      </c>
      <c r="B1767" s="52" t="s">
        <v>1207</v>
      </c>
      <c r="C1767" s="44" t="s">
        <v>1208</v>
      </c>
      <c r="D1767" s="44" t="s">
        <v>147</v>
      </c>
      <c r="E1767" s="44" t="s">
        <v>51</v>
      </c>
      <c r="G1767" s="44">
        <v>978</v>
      </c>
      <c r="H1767" s="44" t="s">
        <v>2537</v>
      </c>
    </row>
    <row r="1768" spans="1:8">
      <c r="A1768" s="31">
        <f>COUNTIF('BOM Atual ZPCS12'!F:F,B1768)+(1-(SUMIF(Invoice!$A:$A,$B1768,Invoice!$B:$B)/100000000000))</f>
        <v>1.9999999499999999</v>
      </c>
      <c r="B1768" s="52" t="s">
        <v>1210</v>
      </c>
      <c r="C1768" s="44" t="s">
        <v>1211</v>
      </c>
      <c r="D1768" s="44" t="s">
        <v>147</v>
      </c>
      <c r="E1768" s="44" t="s">
        <v>51</v>
      </c>
      <c r="G1768" s="44">
        <v>978</v>
      </c>
      <c r="H1768" s="44" t="s">
        <v>2537</v>
      </c>
    </row>
    <row r="1769" spans="1:8">
      <c r="A1769" s="31">
        <f>COUNTIF('BOM Atual ZPCS12'!F:F,B1769)+(1-(SUMIF(Invoice!$A:$A,$B1769,Invoice!$B:$B)/100000000000))</f>
        <v>1</v>
      </c>
      <c r="B1769" s="52" t="s">
        <v>4529</v>
      </c>
      <c r="C1769" s="44" t="s">
        <v>4530</v>
      </c>
      <c r="D1769" s="44" t="s">
        <v>147</v>
      </c>
      <c r="E1769" s="44" t="s">
        <v>51</v>
      </c>
      <c r="G1769" s="44">
        <v>978</v>
      </c>
      <c r="H1769" s="44" t="s">
        <v>2537</v>
      </c>
    </row>
    <row r="1770" spans="1:8">
      <c r="A1770" s="31">
        <f>COUNTIF('BOM Atual ZPCS12'!F:F,B1770)+(1-(SUMIF(Invoice!$A:$A,$B1770,Invoice!$B:$B)/100000000000))</f>
        <v>2</v>
      </c>
      <c r="B1770" s="52" t="s">
        <v>1212</v>
      </c>
      <c r="C1770" s="44" t="s">
        <v>1213</v>
      </c>
      <c r="D1770" s="44" t="s">
        <v>147</v>
      </c>
      <c r="E1770" s="44" t="s">
        <v>51</v>
      </c>
      <c r="G1770" s="44">
        <v>978</v>
      </c>
      <c r="H1770" s="44" t="s">
        <v>2537</v>
      </c>
    </row>
    <row r="1771" spans="1:8">
      <c r="A1771" s="31">
        <f>COUNTIF('BOM Atual ZPCS12'!F:F,B1771)+(1-(SUMIF(Invoice!$A:$A,$B1771,Invoice!$B:$B)/100000000000))</f>
        <v>1.9999999499999999</v>
      </c>
      <c r="B1771" s="52" t="s">
        <v>1214</v>
      </c>
      <c r="C1771" s="44" t="s">
        <v>1215</v>
      </c>
      <c r="D1771" s="44" t="s">
        <v>147</v>
      </c>
      <c r="E1771" s="44" t="s">
        <v>51</v>
      </c>
      <c r="G1771" s="44">
        <v>979</v>
      </c>
      <c r="H1771" s="44" t="s">
        <v>2537</v>
      </c>
    </row>
    <row r="1772" spans="1:8">
      <c r="A1772" s="31">
        <f>COUNTIF('BOM Atual ZPCS12'!F:F,B1772)+(1-(SUMIF(Invoice!$A:$A,$B1772,Invoice!$B:$B)/100000000000))</f>
        <v>2</v>
      </c>
      <c r="B1772" s="52" t="s">
        <v>1217</v>
      </c>
      <c r="C1772" s="44" t="s">
        <v>1218</v>
      </c>
      <c r="D1772" s="44" t="s">
        <v>147</v>
      </c>
      <c r="E1772" s="44" t="s">
        <v>51</v>
      </c>
      <c r="G1772" s="44">
        <v>979</v>
      </c>
      <c r="H1772" s="44" t="s">
        <v>2537</v>
      </c>
    </row>
    <row r="1773" spans="1:8">
      <c r="A1773" s="31">
        <f>COUNTIF('BOM Atual ZPCS12'!F:F,B1773)+(1-(SUMIF(Invoice!$A:$A,$B1773,Invoice!$B:$B)/100000000000))</f>
        <v>1</v>
      </c>
      <c r="B1773" s="52" t="s">
        <v>4531</v>
      </c>
      <c r="C1773" s="44" t="s">
        <v>4532</v>
      </c>
      <c r="D1773" s="44" t="s">
        <v>147</v>
      </c>
      <c r="E1773" s="44" t="s">
        <v>51</v>
      </c>
      <c r="G1773" s="44">
        <v>979</v>
      </c>
      <c r="H1773" s="44" t="s">
        <v>2537</v>
      </c>
    </row>
    <row r="1774" spans="1:8">
      <c r="A1774" s="31">
        <f>COUNTIF('BOM Atual ZPCS12'!F:F,B1774)+(1-(SUMIF(Invoice!$A:$A,$B1774,Invoice!$B:$B)/100000000000))</f>
        <v>2</v>
      </c>
      <c r="B1774" s="52" t="s">
        <v>1219</v>
      </c>
      <c r="C1774" s="44" t="s">
        <v>1220</v>
      </c>
      <c r="D1774" s="44" t="s">
        <v>147</v>
      </c>
      <c r="E1774" s="44" t="s">
        <v>51</v>
      </c>
      <c r="G1774" s="44">
        <v>979</v>
      </c>
      <c r="H1774" s="44" t="s">
        <v>2537</v>
      </c>
    </row>
    <row r="1775" spans="1:8">
      <c r="A1775" s="31">
        <f>COUNTIF('BOM Atual ZPCS12'!F:F,B1775)+(1-(SUMIF(Invoice!$A:$A,$B1775,Invoice!$B:$B)/100000000000))</f>
        <v>1.9999999499999999</v>
      </c>
      <c r="B1775" s="52" t="s">
        <v>1249</v>
      </c>
      <c r="C1775" s="44" t="s">
        <v>1250</v>
      </c>
      <c r="D1775" s="44" t="s">
        <v>147</v>
      </c>
      <c r="E1775" s="44" t="s">
        <v>51</v>
      </c>
      <c r="G1775" s="44">
        <v>980</v>
      </c>
      <c r="H1775" s="44" t="s">
        <v>2537</v>
      </c>
    </row>
    <row r="1776" spans="1:8">
      <c r="A1776" s="31">
        <f>COUNTIF('BOM Atual ZPCS12'!F:F,B1776)+(1-(SUMIF(Invoice!$A:$A,$B1776,Invoice!$B:$B)/100000000000))</f>
        <v>2</v>
      </c>
      <c r="B1776" s="52" t="s">
        <v>1252</v>
      </c>
      <c r="C1776" s="44" t="s">
        <v>1253</v>
      </c>
      <c r="D1776" s="44" t="s">
        <v>147</v>
      </c>
      <c r="E1776" s="44" t="s">
        <v>51</v>
      </c>
      <c r="G1776" s="44">
        <v>980</v>
      </c>
      <c r="H1776" s="44" t="s">
        <v>2537</v>
      </c>
    </row>
    <row r="1777" spans="1:8">
      <c r="A1777" s="31">
        <f>COUNTIF('BOM Atual ZPCS12'!F:F,B1777)+(1-(SUMIF(Invoice!$A:$A,$B1777,Invoice!$B:$B)/100000000000))</f>
        <v>1</v>
      </c>
      <c r="B1777" s="52" t="s">
        <v>4533</v>
      </c>
      <c r="C1777" s="44" t="s">
        <v>4534</v>
      </c>
      <c r="D1777" s="44" t="s">
        <v>147</v>
      </c>
      <c r="E1777" s="44" t="s">
        <v>51</v>
      </c>
      <c r="G1777" s="44">
        <v>980</v>
      </c>
      <c r="H1777" s="44" t="s">
        <v>2537</v>
      </c>
    </row>
    <row r="1778" spans="1:8">
      <c r="A1778" s="31">
        <f>COUNTIF('BOM Atual ZPCS12'!F:F,B1778)+(1-(SUMIF(Invoice!$A:$A,$B1778,Invoice!$B:$B)/100000000000))</f>
        <v>2</v>
      </c>
      <c r="B1778" s="52" t="s">
        <v>1254</v>
      </c>
      <c r="C1778" s="44" t="s">
        <v>1255</v>
      </c>
      <c r="D1778" s="44" t="s">
        <v>147</v>
      </c>
      <c r="E1778" s="44" t="s">
        <v>51</v>
      </c>
      <c r="G1778" s="44">
        <v>980</v>
      </c>
      <c r="H1778" s="44" t="s">
        <v>2537</v>
      </c>
    </row>
    <row r="1779" spans="1:8">
      <c r="A1779" s="31">
        <f>COUNTIF('BOM Atual ZPCS12'!F:F,B1779)+(1-(SUMIF(Invoice!$A:$A,$B1779,Invoice!$B:$B)/100000000000))</f>
        <v>1</v>
      </c>
      <c r="B1779" s="52" t="s">
        <v>4535</v>
      </c>
      <c r="C1779" s="44" t="s">
        <v>4536</v>
      </c>
      <c r="D1779" s="44" t="s">
        <v>147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4537</v>
      </c>
      <c r="C1780" s="44" t="s">
        <v>4538</v>
      </c>
      <c r="D1780" s="44" t="s">
        <v>147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4539</v>
      </c>
      <c r="C1781" s="44" t="s">
        <v>4540</v>
      </c>
      <c r="D1781" s="44" t="s">
        <v>147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4541</v>
      </c>
      <c r="C1782" s="44" t="s">
        <v>4542</v>
      </c>
      <c r="D1782" s="44" t="s">
        <v>147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4543</v>
      </c>
      <c r="C1783" s="44" t="s">
        <v>4544</v>
      </c>
      <c r="D1783" s="44" t="s">
        <v>147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4545</v>
      </c>
      <c r="C1784" s="44" t="s">
        <v>4546</v>
      </c>
      <c r="D1784" s="44" t="s">
        <v>147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4547</v>
      </c>
      <c r="C1785" s="44" t="s">
        <v>4548</v>
      </c>
      <c r="D1785" s="44" t="s">
        <v>147</v>
      </c>
      <c r="E1785" s="44" t="s">
        <v>51</v>
      </c>
      <c r="G1785" s="44">
        <v>983</v>
      </c>
      <c r="H1785" s="44" t="s">
        <v>2537</v>
      </c>
    </row>
    <row r="1786" spans="1:8">
      <c r="A1786" s="31">
        <f>COUNTIF('BOM Atual ZPCS12'!F:F,B1786)+(1-(SUMIF(Invoice!$A:$A,$B1786,Invoice!$B:$B)/100000000000))</f>
        <v>1</v>
      </c>
      <c r="B1786" s="52" t="s">
        <v>4549</v>
      </c>
      <c r="C1786" s="44" t="s">
        <v>4550</v>
      </c>
      <c r="D1786" s="44" t="s">
        <v>147</v>
      </c>
      <c r="E1786" s="44" t="s">
        <v>51</v>
      </c>
      <c r="G1786" s="44">
        <v>983</v>
      </c>
      <c r="H1786" s="44" t="s">
        <v>2537</v>
      </c>
    </row>
    <row r="1787" spans="1:8">
      <c r="A1787" s="31">
        <f>COUNTIF('BOM Atual ZPCS12'!F:F,B1787)+(1-(SUMIF(Invoice!$A:$A,$B1787,Invoice!$B:$B)/100000000000))</f>
        <v>1</v>
      </c>
      <c r="B1787" s="52" t="s">
        <v>4551</v>
      </c>
      <c r="C1787" s="44" t="s">
        <v>4552</v>
      </c>
      <c r="D1787" s="44" t="s">
        <v>147</v>
      </c>
      <c r="E1787" s="44" t="s">
        <v>51</v>
      </c>
      <c r="G1787" s="44">
        <v>983</v>
      </c>
      <c r="H1787" s="44" t="s">
        <v>2537</v>
      </c>
    </row>
    <row r="1788" spans="1:8">
      <c r="A1788" s="31">
        <f>COUNTIF('BOM Atual ZPCS12'!F:F,B1788)+(1-(SUMIF(Invoice!$A:$A,$B1788,Invoice!$B:$B)/100000000000))</f>
        <v>1</v>
      </c>
      <c r="B1788" s="52" t="s">
        <v>4553</v>
      </c>
      <c r="C1788" s="44" t="s">
        <v>4554</v>
      </c>
      <c r="D1788" s="44" t="s">
        <v>147</v>
      </c>
      <c r="E1788" s="44" t="s">
        <v>51</v>
      </c>
      <c r="G1788" s="44">
        <v>983</v>
      </c>
      <c r="H1788" s="44" t="s">
        <v>2537</v>
      </c>
    </row>
    <row r="1789" spans="1:8">
      <c r="A1789" s="31">
        <f>COUNTIF('BOM Atual ZPCS12'!F:F,B1789)+(1-(SUMIF(Invoice!$A:$A,$B1789,Invoice!$B:$B)/100000000000))</f>
        <v>1</v>
      </c>
      <c r="B1789" s="52" t="s">
        <v>4555</v>
      </c>
      <c r="C1789" s="44" t="s">
        <v>4556</v>
      </c>
      <c r="D1789" s="44" t="s">
        <v>147</v>
      </c>
      <c r="E1789" s="44" t="s">
        <v>51</v>
      </c>
      <c r="G1789" s="44">
        <v>984</v>
      </c>
      <c r="H1789" s="44" t="s">
        <v>2537</v>
      </c>
    </row>
    <row r="1790" spans="1:8">
      <c r="A1790" s="31">
        <f>COUNTIF('BOM Atual ZPCS12'!F:F,B1790)+(1-(SUMIF(Invoice!$A:$A,$B1790,Invoice!$B:$B)/100000000000))</f>
        <v>1</v>
      </c>
      <c r="B1790" s="52" t="s">
        <v>4557</v>
      </c>
      <c r="C1790" s="44" t="s">
        <v>4558</v>
      </c>
      <c r="D1790" s="44" t="s">
        <v>147</v>
      </c>
      <c r="E1790" s="44" t="s">
        <v>51</v>
      </c>
      <c r="G1790" s="44">
        <v>984</v>
      </c>
      <c r="H1790" s="44" t="s">
        <v>2537</v>
      </c>
    </row>
    <row r="1791" spans="1:8">
      <c r="A1791" s="31">
        <f>COUNTIF('BOM Atual ZPCS12'!F:F,B1791)+(1-(SUMIF(Invoice!$A:$A,$B1791,Invoice!$B:$B)/100000000000))</f>
        <v>1</v>
      </c>
      <c r="B1791" s="52" t="s">
        <v>4559</v>
      </c>
      <c r="C1791" s="44" t="s">
        <v>4560</v>
      </c>
      <c r="D1791" s="44" t="s">
        <v>147</v>
      </c>
      <c r="E1791" s="44" t="s">
        <v>51</v>
      </c>
      <c r="G1791" s="44">
        <v>984</v>
      </c>
      <c r="H1791" s="44" t="s">
        <v>2537</v>
      </c>
    </row>
    <row r="1792" spans="1:8">
      <c r="A1792" s="31">
        <f>COUNTIF('BOM Atual ZPCS12'!F:F,B1792)+(1-(SUMIF(Invoice!$A:$A,$B1792,Invoice!$B:$B)/100000000000))</f>
        <v>1</v>
      </c>
      <c r="B1792" s="52" t="s">
        <v>4561</v>
      </c>
      <c r="C1792" s="44" t="s">
        <v>4562</v>
      </c>
      <c r="D1792" s="44" t="s">
        <v>147</v>
      </c>
      <c r="E1792" s="44" t="s">
        <v>51</v>
      </c>
      <c r="G1792" s="44">
        <v>985</v>
      </c>
      <c r="H1792" s="44" t="s">
        <v>2537</v>
      </c>
    </row>
    <row r="1793" spans="1:8">
      <c r="A1793" s="31">
        <f>COUNTIF('BOM Atual ZPCS12'!F:F,B1793)+(1-(SUMIF(Invoice!$A:$A,$B1793,Invoice!$B:$B)/100000000000))</f>
        <v>1</v>
      </c>
      <c r="B1793" s="52" t="s">
        <v>4563</v>
      </c>
      <c r="C1793" s="44" t="s">
        <v>4564</v>
      </c>
      <c r="D1793" s="44" t="s">
        <v>147</v>
      </c>
      <c r="E1793" s="44" t="s">
        <v>51</v>
      </c>
      <c r="G1793" s="44">
        <v>985</v>
      </c>
      <c r="H1793" s="44" t="s">
        <v>2537</v>
      </c>
    </row>
    <row r="1794" spans="1:8">
      <c r="A1794" s="31">
        <f>COUNTIF('BOM Atual ZPCS12'!F:F,B1794)+(1-(SUMIF(Invoice!$A:$A,$B1794,Invoice!$B:$B)/100000000000))</f>
        <v>1</v>
      </c>
      <c r="B1794" s="52" t="s">
        <v>4565</v>
      </c>
      <c r="C1794" s="44" t="s">
        <v>4566</v>
      </c>
      <c r="D1794" s="44" t="s">
        <v>147</v>
      </c>
      <c r="E1794" s="44" t="s">
        <v>51</v>
      </c>
      <c r="G1794" s="44">
        <v>985</v>
      </c>
      <c r="H1794" s="44" t="s">
        <v>2537</v>
      </c>
    </row>
    <row r="1795" spans="1:8">
      <c r="A1795" s="31">
        <f>COUNTIF('BOM Atual ZPCS12'!F:F,B1795)+(1-(SUMIF(Invoice!$A:$A,$B1795,Invoice!$B:$B)/100000000000))</f>
        <v>1</v>
      </c>
      <c r="B1795" s="52" t="s">
        <v>4567</v>
      </c>
      <c r="C1795" s="44" t="s">
        <v>4568</v>
      </c>
      <c r="D1795" s="44" t="s">
        <v>147</v>
      </c>
      <c r="E1795" s="44" t="s">
        <v>51</v>
      </c>
      <c r="G1795" s="44">
        <v>986</v>
      </c>
      <c r="H1795" s="44" t="s">
        <v>2537</v>
      </c>
    </row>
    <row r="1796" spans="1:8">
      <c r="A1796" s="31">
        <f>COUNTIF('BOM Atual ZPCS12'!F:F,B1796)+(1-(SUMIF(Invoice!$A:$A,$B1796,Invoice!$B:$B)/100000000000))</f>
        <v>1</v>
      </c>
      <c r="B1796" s="52" t="s">
        <v>4569</v>
      </c>
      <c r="C1796" s="44" t="s">
        <v>4570</v>
      </c>
      <c r="D1796" s="44" t="s">
        <v>147</v>
      </c>
      <c r="E1796" s="44" t="s">
        <v>51</v>
      </c>
      <c r="G1796" s="44">
        <v>986</v>
      </c>
      <c r="H1796" s="44" t="s">
        <v>2537</v>
      </c>
    </row>
    <row r="1797" spans="1:8">
      <c r="A1797" s="31">
        <f>COUNTIF('BOM Atual ZPCS12'!F:F,B1797)+(1-(SUMIF(Invoice!$A:$A,$B1797,Invoice!$B:$B)/100000000000))</f>
        <v>1</v>
      </c>
      <c r="B1797" s="52" t="s">
        <v>4571</v>
      </c>
      <c r="C1797" s="44" t="s">
        <v>4570</v>
      </c>
      <c r="D1797" s="44" t="s">
        <v>147</v>
      </c>
      <c r="E1797" s="44" t="s">
        <v>51</v>
      </c>
      <c r="G1797" s="44">
        <v>986</v>
      </c>
      <c r="H1797" s="44" t="s">
        <v>2537</v>
      </c>
    </row>
    <row r="1798" spans="1:8">
      <c r="A1798" s="31">
        <f>COUNTIF('BOM Atual ZPCS12'!F:F,B1798)+(1-(SUMIF(Invoice!$A:$A,$B1798,Invoice!$B:$B)/100000000000))</f>
        <v>1</v>
      </c>
      <c r="B1798" s="52" t="s">
        <v>4572</v>
      </c>
      <c r="C1798" s="44" t="s">
        <v>4573</v>
      </c>
      <c r="D1798" s="44" t="s">
        <v>147</v>
      </c>
      <c r="E1798" s="44" t="s">
        <v>51</v>
      </c>
      <c r="G1798" s="44">
        <v>986</v>
      </c>
      <c r="H1798" s="44" t="s">
        <v>2537</v>
      </c>
    </row>
    <row r="1799" spans="1:8">
      <c r="A1799" s="31">
        <f>COUNTIF('BOM Atual ZPCS12'!F:F,B1799)+(1-(SUMIF(Invoice!$A:$A,$B1799,Invoice!$B:$B)/100000000000))</f>
        <v>1</v>
      </c>
      <c r="B1799" s="52" t="s">
        <v>4574</v>
      </c>
      <c r="C1799" s="44" t="s">
        <v>4575</v>
      </c>
      <c r="D1799" s="44" t="s">
        <v>147</v>
      </c>
      <c r="E1799" s="44" t="s">
        <v>51</v>
      </c>
      <c r="G1799" s="44">
        <v>986</v>
      </c>
      <c r="H1799" s="44" t="s">
        <v>2537</v>
      </c>
    </row>
    <row r="1800" spans="1:8">
      <c r="A1800" s="31">
        <f>COUNTIF('BOM Atual ZPCS12'!F:F,B1800)+(1-(SUMIF(Invoice!$A:$A,$B1800,Invoice!$B:$B)/100000000000))</f>
        <v>1</v>
      </c>
      <c r="B1800" s="52" t="s">
        <v>4576</v>
      </c>
      <c r="C1800" s="44" t="s">
        <v>4570</v>
      </c>
      <c r="D1800" s="44" t="s">
        <v>147</v>
      </c>
      <c r="E1800" s="44" t="s">
        <v>51</v>
      </c>
      <c r="G1800" s="44">
        <v>986</v>
      </c>
      <c r="H1800" s="44" t="s">
        <v>2537</v>
      </c>
    </row>
    <row r="1801" spans="1:8">
      <c r="A1801" s="31">
        <f>COUNTIF('BOM Atual ZPCS12'!F:F,B1801)+(1-(SUMIF(Invoice!$A:$A,$B1801,Invoice!$B:$B)/100000000000))</f>
        <v>1</v>
      </c>
      <c r="B1801" s="52" t="s">
        <v>4577</v>
      </c>
      <c r="C1801" s="44" t="s">
        <v>4578</v>
      </c>
      <c r="D1801" s="44" t="s">
        <v>147</v>
      </c>
      <c r="E1801" s="44" t="s">
        <v>51</v>
      </c>
      <c r="G1801" s="44">
        <v>987</v>
      </c>
      <c r="H1801" s="44" t="s">
        <v>2537</v>
      </c>
    </row>
    <row r="1802" spans="1:8">
      <c r="A1802" s="31">
        <f>COUNTIF('BOM Atual ZPCS12'!F:F,B1802)+(1-(SUMIF(Invoice!$A:$A,$B1802,Invoice!$B:$B)/100000000000))</f>
        <v>2</v>
      </c>
      <c r="B1802" s="52" t="s">
        <v>1423</v>
      </c>
      <c r="C1802" s="44" t="s">
        <v>1424</v>
      </c>
      <c r="D1802" s="44" t="s">
        <v>147</v>
      </c>
      <c r="E1802" s="44" t="s">
        <v>51</v>
      </c>
      <c r="G1802" s="44">
        <v>987</v>
      </c>
      <c r="H1802" s="44" t="s">
        <v>2537</v>
      </c>
    </row>
    <row r="1803" spans="1:8">
      <c r="A1803" s="31">
        <f>COUNTIF('BOM Atual ZPCS12'!F:F,B1803)+(1-(SUMIF(Invoice!$A:$A,$B1803,Invoice!$B:$B)/100000000000))</f>
        <v>2</v>
      </c>
      <c r="B1803" s="52" t="s">
        <v>1426</v>
      </c>
      <c r="C1803" s="44" t="s">
        <v>4578</v>
      </c>
      <c r="D1803" s="44" t="s">
        <v>147</v>
      </c>
      <c r="E1803" s="44" t="s">
        <v>51</v>
      </c>
      <c r="G1803" s="44">
        <v>987</v>
      </c>
      <c r="H1803" s="44" t="s">
        <v>2537</v>
      </c>
    </row>
    <row r="1804" spans="1:8">
      <c r="A1804" s="31">
        <f>COUNTIF('BOM Atual ZPCS12'!F:F,B1804)+(1-(SUMIF(Invoice!$A:$A,$B1804,Invoice!$B:$B)/100000000000))</f>
        <v>2</v>
      </c>
      <c r="B1804" s="52" t="s">
        <v>1429</v>
      </c>
      <c r="C1804" s="44" t="s">
        <v>4578</v>
      </c>
      <c r="D1804" s="44" t="s">
        <v>147</v>
      </c>
      <c r="E1804" s="44" t="s">
        <v>51</v>
      </c>
      <c r="G1804" s="44">
        <v>987</v>
      </c>
      <c r="H1804" s="44" t="s">
        <v>2537</v>
      </c>
    </row>
    <row r="1805" spans="1:8">
      <c r="A1805" s="31">
        <f>COUNTIF('BOM Atual ZPCS12'!F:F,B1805)+(1-(SUMIF(Invoice!$A:$A,$B1805,Invoice!$B:$B)/100000000000))</f>
        <v>1</v>
      </c>
      <c r="B1805" s="52" t="s">
        <v>4579</v>
      </c>
      <c r="C1805" s="44" t="s">
        <v>4580</v>
      </c>
      <c r="D1805" s="44" t="s">
        <v>147</v>
      </c>
      <c r="E1805" s="44" t="s">
        <v>51</v>
      </c>
      <c r="G1805" s="44">
        <v>987</v>
      </c>
      <c r="H1805" s="44" t="s">
        <v>2537</v>
      </c>
    </row>
    <row r="1806" spans="1:8">
      <c r="A1806" s="31">
        <f>COUNTIF('BOM Atual ZPCS12'!F:F,B1806)+(1-(SUMIF(Invoice!$A:$A,$B1806,Invoice!$B:$B)/100000000000))</f>
        <v>1.99999985</v>
      </c>
      <c r="B1806" s="52" t="s">
        <v>1430</v>
      </c>
      <c r="C1806" s="44" t="s">
        <v>1431</v>
      </c>
      <c r="D1806" s="44" t="s">
        <v>147</v>
      </c>
      <c r="E1806" s="44" t="s">
        <v>51</v>
      </c>
      <c r="G1806" s="44">
        <v>987</v>
      </c>
      <c r="H1806" s="44" t="s">
        <v>2537</v>
      </c>
    </row>
    <row r="1807" spans="1:8">
      <c r="A1807" s="31">
        <f>COUNTIF('BOM Atual ZPCS12'!F:F,B1807)+(1-(SUMIF(Invoice!$A:$A,$B1807,Invoice!$B:$B)/100000000000))</f>
        <v>1</v>
      </c>
      <c r="B1807" s="52" t="s">
        <v>4581</v>
      </c>
      <c r="C1807" s="44" t="s">
        <v>4582</v>
      </c>
      <c r="D1807" s="44" t="s">
        <v>147</v>
      </c>
      <c r="E1807" s="44" t="s">
        <v>51</v>
      </c>
      <c r="G1807" s="44">
        <v>988</v>
      </c>
      <c r="H1807" s="44" t="s">
        <v>2537</v>
      </c>
    </row>
    <row r="1808" spans="1:8">
      <c r="A1808" s="31">
        <f>COUNTIF('BOM Atual ZPCS12'!F:F,B1808)+(1-(SUMIF(Invoice!$A:$A,$B1808,Invoice!$B:$B)/100000000000))</f>
        <v>1</v>
      </c>
      <c r="B1808" s="52" t="s">
        <v>4583</v>
      </c>
      <c r="C1808" s="44" t="s">
        <v>4584</v>
      </c>
      <c r="D1808" s="44" t="s">
        <v>147</v>
      </c>
      <c r="E1808" s="44" t="s">
        <v>51</v>
      </c>
      <c r="G1808" s="44">
        <v>988</v>
      </c>
      <c r="H1808" s="44" t="s">
        <v>2537</v>
      </c>
    </row>
    <row r="1809" spans="1:8">
      <c r="A1809" s="31">
        <f>COUNTIF('BOM Atual ZPCS12'!F:F,B1809)+(1-(SUMIF(Invoice!$A:$A,$B1809,Invoice!$B:$B)/100000000000))</f>
        <v>1</v>
      </c>
      <c r="B1809" s="52" t="s">
        <v>4585</v>
      </c>
      <c r="C1809" s="44" t="s">
        <v>4582</v>
      </c>
      <c r="D1809" s="44" t="s">
        <v>147</v>
      </c>
      <c r="E1809" s="44" t="s">
        <v>51</v>
      </c>
      <c r="G1809" s="44">
        <v>988</v>
      </c>
      <c r="H1809" s="44" t="s">
        <v>2537</v>
      </c>
    </row>
    <row r="1810" spans="1:8">
      <c r="A1810" s="31">
        <f>COUNTIF('BOM Atual ZPCS12'!F:F,B1810)+(1-(SUMIF(Invoice!$A:$A,$B1810,Invoice!$B:$B)/100000000000))</f>
        <v>1</v>
      </c>
      <c r="B1810" s="52" t="s">
        <v>4586</v>
      </c>
      <c r="C1810" s="44" t="s">
        <v>4582</v>
      </c>
      <c r="D1810" s="44" t="s">
        <v>147</v>
      </c>
      <c r="E1810" s="44" t="s">
        <v>51</v>
      </c>
      <c r="G1810" s="44">
        <v>988</v>
      </c>
      <c r="H1810" s="44" t="s">
        <v>2537</v>
      </c>
    </row>
    <row r="1811" spans="1:8">
      <c r="A1811" s="31">
        <f>COUNTIF('BOM Atual ZPCS12'!F:F,B1811)+(1-(SUMIF(Invoice!$A:$A,$B1811,Invoice!$B:$B)/100000000000))</f>
        <v>1</v>
      </c>
      <c r="B1811" s="52" t="s">
        <v>4587</v>
      </c>
      <c r="C1811" s="44" t="s">
        <v>4588</v>
      </c>
      <c r="D1811" s="44" t="s">
        <v>147</v>
      </c>
      <c r="E1811" s="44" t="s">
        <v>51</v>
      </c>
      <c r="G1811" s="44">
        <v>988</v>
      </c>
      <c r="H1811" s="44" t="s">
        <v>2537</v>
      </c>
    </row>
    <row r="1812" spans="1:8">
      <c r="A1812" s="31">
        <f>COUNTIF('BOM Atual ZPCS12'!F:F,B1812)+(1-(SUMIF(Invoice!$A:$A,$B1812,Invoice!$B:$B)/100000000000))</f>
        <v>1</v>
      </c>
      <c r="B1812" s="52" t="s">
        <v>4589</v>
      </c>
      <c r="C1812" s="44" t="s">
        <v>4590</v>
      </c>
      <c r="D1812" s="44" t="s">
        <v>147</v>
      </c>
      <c r="E1812" s="44" t="s">
        <v>51</v>
      </c>
      <c r="G1812" s="44">
        <v>988</v>
      </c>
      <c r="H1812" s="44" t="s">
        <v>2537</v>
      </c>
    </row>
    <row r="1813" spans="1:8">
      <c r="A1813" s="31">
        <f>COUNTIF('BOM Atual ZPCS12'!F:F,B1813)+(1-(SUMIF(Invoice!$A:$A,$B1813,Invoice!$B:$B)/100000000000))</f>
        <v>1</v>
      </c>
      <c r="B1813" s="52" t="s">
        <v>4591</v>
      </c>
      <c r="C1813" s="44" t="s">
        <v>4592</v>
      </c>
      <c r="D1813" s="44" t="s">
        <v>147</v>
      </c>
      <c r="E1813" s="44" t="s">
        <v>51</v>
      </c>
      <c r="G1813" s="44">
        <v>989</v>
      </c>
      <c r="H1813" s="44" t="s">
        <v>2537</v>
      </c>
    </row>
    <row r="1814" spans="1:8">
      <c r="A1814" s="31">
        <f>COUNTIF('BOM Atual ZPCS12'!F:F,B1814)+(1-(SUMIF(Invoice!$A:$A,$B1814,Invoice!$B:$B)/100000000000))</f>
        <v>1</v>
      </c>
      <c r="B1814" s="52" t="s">
        <v>4593</v>
      </c>
      <c r="C1814" s="44" t="s">
        <v>4594</v>
      </c>
      <c r="D1814" s="44" t="s">
        <v>147</v>
      </c>
      <c r="E1814" s="44" t="s">
        <v>51</v>
      </c>
      <c r="G1814" s="44">
        <v>989</v>
      </c>
      <c r="H1814" s="44" t="s">
        <v>2537</v>
      </c>
    </row>
    <row r="1815" spans="1:8">
      <c r="A1815" s="31">
        <f>COUNTIF('BOM Atual ZPCS12'!F:F,B1815)+(1-(SUMIF(Invoice!$A:$A,$B1815,Invoice!$B:$B)/100000000000))</f>
        <v>1</v>
      </c>
      <c r="B1815" s="52" t="s">
        <v>4595</v>
      </c>
      <c r="C1815" s="44" t="s">
        <v>4596</v>
      </c>
      <c r="D1815" s="44" t="s">
        <v>147</v>
      </c>
      <c r="E1815" s="44" t="s">
        <v>51</v>
      </c>
      <c r="G1815" s="44">
        <v>989</v>
      </c>
      <c r="H1815" s="44" t="s">
        <v>2537</v>
      </c>
    </row>
    <row r="1816" spans="1:8">
      <c r="A1816" s="31">
        <f>COUNTIF('BOM Atual ZPCS12'!F:F,B1816)+(1-(SUMIF(Invoice!$A:$A,$B1816,Invoice!$B:$B)/100000000000))</f>
        <v>1</v>
      </c>
      <c r="B1816" s="52" t="s">
        <v>4597</v>
      </c>
      <c r="C1816" s="44" t="s">
        <v>4598</v>
      </c>
      <c r="D1816" s="44" t="s">
        <v>147</v>
      </c>
      <c r="E1816" s="44" t="s">
        <v>51</v>
      </c>
      <c r="G1816" s="44">
        <v>989</v>
      </c>
      <c r="H1816" s="44" t="s">
        <v>2537</v>
      </c>
    </row>
    <row r="1817" spans="1:8">
      <c r="A1817" s="31">
        <f>COUNTIF('BOM Atual ZPCS12'!F:F,B1817)+(1-(SUMIF(Invoice!$A:$A,$B1817,Invoice!$B:$B)/100000000000))</f>
        <v>1</v>
      </c>
      <c r="B1817" s="52" t="s">
        <v>4599</v>
      </c>
      <c r="C1817" s="44" t="s">
        <v>4600</v>
      </c>
      <c r="D1817" s="44" t="s">
        <v>147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4601</v>
      </c>
      <c r="C1818" s="44" t="s">
        <v>4602</v>
      </c>
      <c r="D1818" s="44" t="s">
        <v>147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1536</v>
      </c>
      <c r="C1819" s="44" t="s">
        <v>4603</v>
      </c>
      <c r="D1819" s="44" t="s">
        <v>147</v>
      </c>
      <c r="E1819" s="44" t="s">
        <v>51</v>
      </c>
      <c r="G1819" s="44">
        <v>991</v>
      </c>
      <c r="H1819" s="44" t="s">
        <v>2537</v>
      </c>
    </row>
    <row r="1820" spans="1:8">
      <c r="A1820" s="31">
        <f>COUNTIF('BOM Atual ZPCS12'!F:F,B1820)+(1-(SUMIF(Invoice!$A:$A,$B1820,Invoice!$B:$B)/100000000000))</f>
        <v>1.9999999000000002</v>
      </c>
      <c r="B1820" s="52" t="s">
        <v>1539</v>
      </c>
      <c r="C1820" s="44" t="s">
        <v>4603</v>
      </c>
      <c r="D1820" s="44" t="s">
        <v>147</v>
      </c>
      <c r="E1820" s="44" t="s">
        <v>51</v>
      </c>
      <c r="G1820" s="44">
        <v>991</v>
      </c>
      <c r="H1820" s="44" t="s">
        <v>2537</v>
      </c>
    </row>
    <row r="1821" spans="1:8">
      <c r="A1821" s="31">
        <f>COUNTIF('BOM Atual ZPCS12'!F:F,B1821)+(1-(SUMIF(Invoice!$A:$A,$B1821,Invoice!$B:$B)/100000000000))</f>
        <v>2</v>
      </c>
      <c r="B1821" s="52" t="s">
        <v>1540</v>
      </c>
      <c r="C1821" s="44" t="s">
        <v>4603</v>
      </c>
      <c r="D1821" s="44" t="s">
        <v>147</v>
      </c>
      <c r="E1821" s="44" t="s">
        <v>51</v>
      </c>
      <c r="G1821" s="44">
        <v>991</v>
      </c>
      <c r="H1821" s="44" t="s">
        <v>2537</v>
      </c>
    </row>
    <row r="1822" spans="1:8">
      <c r="A1822" s="31">
        <f>COUNTIF('BOM Atual ZPCS12'!F:F,B1822)+(1-(SUMIF(Invoice!$A:$A,$B1822,Invoice!$B:$B)/100000000000))</f>
        <v>2</v>
      </c>
      <c r="B1822" s="52" t="s">
        <v>1541</v>
      </c>
      <c r="C1822" s="44" t="s">
        <v>1542</v>
      </c>
      <c r="D1822" s="44" t="s">
        <v>147</v>
      </c>
      <c r="E1822" s="44" t="s">
        <v>51</v>
      </c>
      <c r="G1822" s="44">
        <v>991</v>
      </c>
      <c r="H1822" s="44" t="s">
        <v>2537</v>
      </c>
    </row>
    <row r="1823" spans="1:8">
      <c r="A1823" s="31">
        <f>COUNTIF('BOM Atual ZPCS12'!F:F,B1823)+(1-(SUMIF(Invoice!$A:$A,$B1823,Invoice!$B:$B)/100000000000))</f>
        <v>2</v>
      </c>
      <c r="B1823" s="52" t="s">
        <v>1543</v>
      </c>
      <c r="C1823" s="44" t="s">
        <v>4604</v>
      </c>
      <c r="D1823" s="44" t="s">
        <v>147</v>
      </c>
      <c r="E1823" s="44" t="s">
        <v>51</v>
      </c>
      <c r="G1823" s="44">
        <v>991</v>
      </c>
      <c r="H1823" s="44" t="s">
        <v>2537</v>
      </c>
    </row>
    <row r="1824" spans="1:8">
      <c r="A1824" s="31">
        <f>COUNTIF('BOM Atual ZPCS12'!F:F,B1824)+(1-(SUMIF(Invoice!$A:$A,$B1824,Invoice!$B:$B)/100000000000))</f>
        <v>1</v>
      </c>
      <c r="B1824" s="52" t="s">
        <v>4605</v>
      </c>
      <c r="C1824" s="44" t="s">
        <v>4606</v>
      </c>
      <c r="D1824" s="44" t="s">
        <v>147</v>
      </c>
      <c r="E1824" s="44" t="s">
        <v>51</v>
      </c>
      <c r="G1824" s="44">
        <v>992</v>
      </c>
      <c r="H1824" s="44" t="s">
        <v>2537</v>
      </c>
    </row>
    <row r="1825" spans="1:8">
      <c r="A1825" s="31">
        <f>COUNTIF('BOM Atual ZPCS12'!F:F,B1825)+(1-(SUMIF(Invoice!$A:$A,$B1825,Invoice!$B:$B)/100000000000))</f>
        <v>1</v>
      </c>
      <c r="B1825" s="52" t="s">
        <v>4607</v>
      </c>
      <c r="C1825" s="44" t="s">
        <v>4608</v>
      </c>
      <c r="D1825" s="44" t="s">
        <v>147</v>
      </c>
      <c r="E1825" s="44" t="s">
        <v>51</v>
      </c>
      <c r="G1825" s="44">
        <v>992</v>
      </c>
      <c r="H1825" s="44" t="s">
        <v>2537</v>
      </c>
    </row>
    <row r="1826" spans="1:8">
      <c r="A1826" s="31">
        <f>COUNTIF('BOM Atual ZPCS12'!F:F,B1826)+(1-(SUMIF(Invoice!$A:$A,$B1826,Invoice!$B:$B)/100000000000))</f>
        <v>1</v>
      </c>
      <c r="B1826" s="52" t="s">
        <v>4609</v>
      </c>
      <c r="C1826" s="44" t="s">
        <v>4610</v>
      </c>
      <c r="D1826" s="44" t="s">
        <v>147</v>
      </c>
      <c r="E1826" s="44" t="s">
        <v>51</v>
      </c>
      <c r="G1826" s="44">
        <v>992</v>
      </c>
      <c r="H1826" s="44" t="s">
        <v>2537</v>
      </c>
    </row>
    <row r="1827" spans="1:8">
      <c r="A1827" s="31">
        <f>COUNTIF('BOM Atual ZPCS12'!F:F,B1827)+(1-(SUMIF(Invoice!$A:$A,$B1827,Invoice!$B:$B)/100000000000))</f>
        <v>1</v>
      </c>
      <c r="B1827" s="52" t="s">
        <v>4611</v>
      </c>
      <c r="C1827" s="44" t="s">
        <v>4612</v>
      </c>
      <c r="D1827" s="44" t="s">
        <v>147</v>
      </c>
      <c r="E1827" s="44" t="s">
        <v>51</v>
      </c>
      <c r="G1827" s="44">
        <v>992</v>
      </c>
      <c r="H1827" s="44" t="s">
        <v>2537</v>
      </c>
    </row>
    <row r="1828" spans="1:8">
      <c r="A1828" s="31">
        <f>COUNTIF('BOM Atual ZPCS12'!F:F,B1828)+(1-(SUMIF(Invoice!$A:$A,$B1828,Invoice!$B:$B)/100000000000))</f>
        <v>1</v>
      </c>
      <c r="B1828" s="52" t="s">
        <v>4613</v>
      </c>
      <c r="C1828" s="44" t="s">
        <v>4614</v>
      </c>
      <c r="D1828" s="44" t="s">
        <v>147</v>
      </c>
      <c r="E1828" s="44" t="s">
        <v>51</v>
      </c>
      <c r="G1828" s="44">
        <v>992</v>
      </c>
      <c r="H1828" s="44" t="s">
        <v>2537</v>
      </c>
    </row>
    <row r="1829" spans="1:8">
      <c r="A1829" s="31">
        <f>COUNTIF('BOM Atual ZPCS12'!F:F,B1829)+(1-(SUMIF(Invoice!$A:$A,$B1829,Invoice!$B:$B)/100000000000))</f>
        <v>2</v>
      </c>
      <c r="B1829" s="52" t="s">
        <v>1562</v>
      </c>
      <c r="C1829" s="44" t="s">
        <v>4615</v>
      </c>
      <c r="D1829" s="44" t="s">
        <v>147</v>
      </c>
      <c r="E1829" s="44" t="s">
        <v>51</v>
      </c>
      <c r="G1829" s="44">
        <v>993</v>
      </c>
      <c r="H1829" s="44" t="s">
        <v>2537</v>
      </c>
    </row>
    <row r="1830" spans="1:8">
      <c r="A1830" s="31">
        <f>COUNTIF('BOM Atual ZPCS12'!F:F,B1830)+(1-(SUMIF(Invoice!$A:$A,$B1830,Invoice!$B:$B)/100000000000))</f>
        <v>1</v>
      </c>
      <c r="B1830" s="52" t="s">
        <v>4616</v>
      </c>
      <c r="C1830" s="44" t="s">
        <v>4617</v>
      </c>
      <c r="D1830" s="44" t="s">
        <v>147</v>
      </c>
      <c r="E1830" s="44" t="s">
        <v>51</v>
      </c>
      <c r="G1830" s="44">
        <v>993</v>
      </c>
      <c r="H1830" s="44" t="s">
        <v>2537</v>
      </c>
    </row>
    <row r="1831" spans="1:8">
      <c r="A1831" s="31">
        <f>COUNTIF('BOM Atual ZPCS12'!F:F,B1831)+(1-(SUMIF(Invoice!$A:$A,$B1831,Invoice!$B:$B)/100000000000))</f>
        <v>2</v>
      </c>
      <c r="B1831" s="52" t="s">
        <v>1565</v>
      </c>
      <c r="C1831" s="44" t="s">
        <v>4617</v>
      </c>
      <c r="D1831" s="44" t="s">
        <v>147</v>
      </c>
      <c r="E1831" s="44" t="s">
        <v>51</v>
      </c>
      <c r="G1831" s="44">
        <v>993</v>
      </c>
      <c r="H1831" s="44" t="s">
        <v>2537</v>
      </c>
    </row>
    <row r="1832" spans="1:8">
      <c r="A1832" s="31">
        <f>COUNTIF('BOM Atual ZPCS12'!F:F,B1832)+(1-(SUMIF(Invoice!$A:$A,$B1832,Invoice!$B:$B)/100000000000))</f>
        <v>2</v>
      </c>
      <c r="B1832" s="52" t="s">
        <v>1567</v>
      </c>
      <c r="C1832" s="44" t="s">
        <v>4617</v>
      </c>
      <c r="D1832" s="44" t="s">
        <v>147</v>
      </c>
      <c r="E1832" s="44" t="s">
        <v>51</v>
      </c>
      <c r="G1832" s="44">
        <v>993</v>
      </c>
      <c r="H1832" s="44" t="s">
        <v>2537</v>
      </c>
    </row>
    <row r="1833" spans="1:8">
      <c r="A1833" s="31">
        <f>COUNTIF('BOM Atual ZPCS12'!F:F,B1833)+(1-(SUMIF(Invoice!$A:$A,$B1833,Invoice!$B:$B)/100000000000))</f>
        <v>2</v>
      </c>
      <c r="B1833" s="52" t="s">
        <v>1568</v>
      </c>
      <c r="C1833" s="44" t="s">
        <v>4617</v>
      </c>
      <c r="D1833" s="44" t="s">
        <v>147</v>
      </c>
      <c r="E1833" s="44" t="s">
        <v>51</v>
      </c>
      <c r="G1833" s="44">
        <v>993</v>
      </c>
      <c r="H1833" s="44" t="s">
        <v>2537</v>
      </c>
    </row>
    <row r="1834" spans="1:8">
      <c r="A1834" s="31">
        <f>COUNTIF('BOM Atual ZPCS12'!F:F,B1834)+(1-(SUMIF(Invoice!$A:$A,$B1834,Invoice!$B:$B)/100000000000))</f>
        <v>1.9999999000000002</v>
      </c>
      <c r="B1834" s="52" t="s">
        <v>1569</v>
      </c>
      <c r="C1834" s="44" t="s">
        <v>4617</v>
      </c>
      <c r="D1834" s="44" t="s">
        <v>147</v>
      </c>
      <c r="E1834" s="44" t="s">
        <v>51</v>
      </c>
      <c r="G1834" s="44">
        <v>993</v>
      </c>
      <c r="H1834" s="44" t="s">
        <v>2537</v>
      </c>
    </row>
    <row r="1835" spans="1:8">
      <c r="A1835" s="31">
        <f>COUNTIF('BOM Atual ZPCS12'!F:F,B1835)+(1-(SUMIF(Invoice!$A:$A,$B1835,Invoice!$B:$B)/100000000000))</f>
        <v>1</v>
      </c>
      <c r="B1835" s="52" t="s">
        <v>4618</v>
      </c>
      <c r="C1835" s="44" t="s">
        <v>4619</v>
      </c>
      <c r="D1835" s="44" t="s">
        <v>147</v>
      </c>
      <c r="E1835" s="44" t="s">
        <v>51</v>
      </c>
      <c r="G1835" s="44">
        <v>994</v>
      </c>
      <c r="H1835" s="44" t="s">
        <v>2537</v>
      </c>
    </row>
    <row r="1836" spans="1:8">
      <c r="A1836" s="31">
        <f>COUNTIF('BOM Atual ZPCS12'!F:F,B1836)+(1-(SUMIF(Invoice!$A:$A,$B1836,Invoice!$B:$B)/100000000000))</f>
        <v>2</v>
      </c>
      <c r="B1836" s="52" t="s">
        <v>1597</v>
      </c>
      <c r="C1836" s="44" t="s">
        <v>1598</v>
      </c>
      <c r="D1836" s="44" t="s">
        <v>147</v>
      </c>
      <c r="E1836" s="44" t="s">
        <v>51</v>
      </c>
      <c r="G1836" s="44">
        <v>994</v>
      </c>
      <c r="H1836" s="44" t="s">
        <v>2537</v>
      </c>
    </row>
    <row r="1837" spans="1:8">
      <c r="A1837" s="31">
        <f>COUNTIF('BOM Atual ZPCS12'!F:F,B1837)+(1-(SUMIF(Invoice!$A:$A,$B1837,Invoice!$B:$B)/100000000000))</f>
        <v>2</v>
      </c>
      <c r="B1837" s="52" t="s">
        <v>1600</v>
      </c>
      <c r="C1837" s="44" t="s">
        <v>1601</v>
      </c>
      <c r="D1837" s="44" t="s">
        <v>147</v>
      </c>
      <c r="E1837" s="44" t="s">
        <v>51</v>
      </c>
      <c r="G1837" s="44">
        <v>994</v>
      </c>
      <c r="H1837" s="44" t="s">
        <v>2537</v>
      </c>
    </row>
    <row r="1838" spans="1:8">
      <c r="A1838" s="31">
        <f>COUNTIF('BOM Atual ZPCS12'!F:F,B1838)+(1-(SUMIF(Invoice!$A:$A,$B1838,Invoice!$B:$B)/100000000000))</f>
        <v>1.9999999000000002</v>
      </c>
      <c r="B1838" s="52" t="s">
        <v>1602</v>
      </c>
      <c r="C1838" s="44" t="s">
        <v>1603</v>
      </c>
      <c r="D1838" s="44" t="s">
        <v>147</v>
      </c>
      <c r="E1838" s="44" t="s">
        <v>51</v>
      </c>
      <c r="G1838" s="44">
        <v>994</v>
      </c>
      <c r="H1838" s="44" t="s">
        <v>2537</v>
      </c>
    </row>
    <row r="1839" spans="1:8">
      <c r="A1839" s="31">
        <f>COUNTIF('BOM Atual ZPCS12'!F:F,B1839)+(1-(SUMIF(Invoice!$A:$A,$B1839,Invoice!$B:$B)/100000000000))</f>
        <v>1</v>
      </c>
      <c r="B1839" s="52" t="s">
        <v>4620</v>
      </c>
      <c r="C1839" s="44" t="s">
        <v>4621</v>
      </c>
      <c r="D1839" s="44" t="s">
        <v>147</v>
      </c>
      <c r="E1839" s="44" t="s">
        <v>51</v>
      </c>
      <c r="G1839" s="44">
        <v>995</v>
      </c>
      <c r="H1839" s="44" t="s">
        <v>2537</v>
      </c>
    </row>
    <row r="1840" spans="1:8">
      <c r="A1840" s="31">
        <f>COUNTIF('BOM Atual ZPCS12'!F:F,B1840)+(1-(SUMIF(Invoice!$A:$A,$B1840,Invoice!$B:$B)/100000000000))</f>
        <v>1</v>
      </c>
      <c r="B1840" s="52" t="s">
        <v>4622</v>
      </c>
      <c r="C1840" s="44" t="s">
        <v>4623</v>
      </c>
      <c r="D1840" s="44" t="s">
        <v>147</v>
      </c>
      <c r="E1840" s="44" t="s">
        <v>51</v>
      </c>
      <c r="G1840" s="44">
        <v>995</v>
      </c>
      <c r="H1840" s="44" t="s">
        <v>2537</v>
      </c>
    </row>
    <row r="1841" spans="1:8">
      <c r="A1841" s="31">
        <f>COUNTIF('BOM Atual ZPCS12'!F:F,B1841)+(1-(SUMIF(Invoice!$A:$A,$B1841,Invoice!$B:$B)/100000000000))</f>
        <v>1</v>
      </c>
      <c r="B1841" s="52" t="s">
        <v>4624</v>
      </c>
      <c r="C1841" s="44" t="s">
        <v>4621</v>
      </c>
      <c r="D1841" s="44" t="s">
        <v>147</v>
      </c>
      <c r="E1841" s="44" t="s">
        <v>51</v>
      </c>
      <c r="G1841" s="44">
        <v>995</v>
      </c>
      <c r="H1841" s="44" t="s">
        <v>2537</v>
      </c>
    </row>
    <row r="1842" spans="1:8">
      <c r="A1842" s="31">
        <f>COUNTIF('BOM Atual ZPCS12'!F:F,B1842)+(1-(SUMIF(Invoice!$A:$A,$B1842,Invoice!$B:$B)/100000000000))</f>
        <v>1</v>
      </c>
      <c r="B1842" s="52" t="s">
        <v>4625</v>
      </c>
      <c r="C1842" s="44" t="s">
        <v>4626</v>
      </c>
      <c r="D1842" s="44" t="s">
        <v>147</v>
      </c>
      <c r="E1842" s="44" t="s">
        <v>51</v>
      </c>
      <c r="G1842" s="44">
        <v>995</v>
      </c>
      <c r="H1842" s="44" t="s">
        <v>2537</v>
      </c>
    </row>
    <row r="1843" spans="1:8">
      <c r="A1843" s="31">
        <f>COUNTIF('BOM Atual ZPCS12'!F:F,B1843)+(1-(SUMIF(Invoice!$A:$A,$B1843,Invoice!$B:$B)/100000000000))</f>
        <v>1</v>
      </c>
      <c r="B1843" s="52" t="s">
        <v>4627</v>
      </c>
      <c r="C1843" s="44" t="s">
        <v>4628</v>
      </c>
      <c r="D1843" s="44" t="s">
        <v>147</v>
      </c>
      <c r="E1843" s="44" t="s">
        <v>51</v>
      </c>
      <c r="G1843" s="44">
        <v>995</v>
      </c>
      <c r="H1843" s="44" t="s">
        <v>2537</v>
      </c>
    </row>
    <row r="1844" spans="1:8">
      <c r="A1844" s="31">
        <f>COUNTIF('BOM Atual ZPCS12'!F:F,B1844)+(1-(SUMIF(Invoice!$A:$A,$B1844,Invoice!$B:$B)/100000000000))</f>
        <v>1</v>
      </c>
      <c r="B1844" s="52" t="s">
        <v>4629</v>
      </c>
      <c r="C1844" s="44" t="s">
        <v>4621</v>
      </c>
      <c r="D1844" s="44" t="s">
        <v>147</v>
      </c>
      <c r="E1844" s="44" t="s">
        <v>51</v>
      </c>
      <c r="G1844" s="44">
        <v>995</v>
      </c>
      <c r="H1844" s="44" t="s">
        <v>2537</v>
      </c>
    </row>
    <row r="1845" spans="1:8">
      <c r="A1845" s="31">
        <f>COUNTIF('BOM Atual ZPCS12'!F:F,B1845)+(1-(SUMIF(Invoice!$A:$A,$B1845,Invoice!$B:$B)/100000000000))</f>
        <v>2</v>
      </c>
      <c r="B1845" s="52" t="s">
        <v>1640</v>
      </c>
      <c r="C1845" s="44" t="s">
        <v>1641</v>
      </c>
      <c r="D1845" s="44" t="s">
        <v>147</v>
      </c>
      <c r="E1845" s="44" t="s">
        <v>51</v>
      </c>
      <c r="G1845" s="44">
        <v>996</v>
      </c>
      <c r="H1845" s="44" t="s">
        <v>2537</v>
      </c>
    </row>
    <row r="1846" spans="1:8">
      <c r="A1846" s="31">
        <f>COUNTIF('BOM Atual ZPCS12'!F:F,B1846)+(1-(SUMIF(Invoice!$A:$A,$B1846,Invoice!$B:$B)/100000000000))</f>
        <v>1</v>
      </c>
      <c r="B1846" s="52" t="s">
        <v>4630</v>
      </c>
      <c r="C1846" s="44" t="s">
        <v>4631</v>
      </c>
      <c r="D1846" s="44" t="s">
        <v>147</v>
      </c>
      <c r="E1846" s="44" t="s">
        <v>51</v>
      </c>
      <c r="G1846" s="44">
        <v>996</v>
      </c>
      <c r="H1846" s="44" t="s">
        <v>2537</v>
      </c>
    </row>
    <row r="1847" spans="1:8">
      <c r="A1847" s="31">
        <f>COUNTIF('BOM Atual ZPCS12'!F:F,B1847)+(1-(SUMIF(Invoice!$A:$A,$B1847,Invoice!$B:$B)/100000000000))</f>
        <v>2</v>
      </c>
      <c r="B1847" s="52" t="s">
        <v>1643</v>
      </c>
      <c r="C1847" s="44" t="s">
        <v>1644</v>
      </c>
      <c r="D1847" s="44" t="s">
        <v>147</v>
      </c>
      <c r="E1847" s="44" t="s">
        <v>51</v>
      </c>
      <c r="G1847" s="44">
        <v>996</v>
      </c>
      <c r="H1847" s="44" t="s">
        <v>2537</v>
      </c>
    </row>
    <row r="1848" spans="1:8">
      <c r="A1848" s="31">
        <f>COUNTIF('BOM Atual ZPCS12'!F:F,B1848)+(1-(SUMIF(Invoice!$A:$A,$B1848,Invoice!$B:$B)/100000000000))</f>
        <v>2</v>
      </c>
      <c r="B1848" s="52" t="s">
        <v>1645</v>
      </c>
      <c r="C1848" s="44" t="s">
        <v>4632</v>
      </c>
      <c r="D1848" s="44" t="s">
        <v>147</v>
      </c>
      <c r="E1848" s="44" t="s">
        <v>51</v>
      </c>
      <c r="G1848" s="44">
        <v>996</v>
      </c>
      <c r="H1848" s="44" t="s">
        <v>2537</v>
      </c>
    </row>
    <row r="1849" spans="1:8">
      <c r="A1849" s="31">
        <f>COUNTIF('BOM Atual ZPCS12'!F:F,B1849)+(1-(SUMIF(Invoice!$A:$A,$B1849,Invoice!$B:$B)/100000000000))</f>
        <v>2</v>
      </c>
      <c r="B1849" s="52" t="s">
        <v>1647</v>
      </c>
      <c r="C1849" s="44" t="s">
        <v>1648</v>
      </c>
      <c r="D1849" s="44" t="s">
        <v>147</v>
      </c>
      <c r="E1849" s="44" t="s">
        <v>51</v>
      </c>
      <c r="G1849" s="44">
        <v>996</v>
      </c>
      <c r="H1849" s="44" t="s">
        <v>2537</v>
      </c>
    </row>
    <row r="1850" spans="1:8">
      <c r="A1850" s="31">
        <f>COUNTIF('BOM Atual ZPCS12'!F:F,B1850)+(1-(SUMIF(Invoice!$A:$A,$B1850,Invoice!$B:$B)/100000000000))</f>
        <v>2</v>
      </c>
      <c r="B1850" s="52" t="s">
        <v>1649</v>
      </c>
      <c r="C1850" s="44" t="s">
        <v>1650</v>
      </c>
      <c r="D1850" s="44" t="s">
        <v>147</v>
      </c>
      <c r="E1850" s="44" t="s">
        <v>51</v>
      </c>
      <c r="G1850" s="44">
        <v>996</v>
      </c>
      <c r="H1850" s="44" t="s">
        <v>2537</v>
      </c>
    </row>
    <row r="1851" spans="1:8">
      <c r="A1851" s="31">
        <f>COUNTIF('BOM Atual ZPCS12'!F:F,B1851)+(1-(SUMIF(Invoice!$A:$A,$B1851,Invoice!$B:$B)/100000000000))</f>
        <v>1.9999999000000002</v>
      </c>
      <c r="B1851" s="52" t="s">
        <v>1651</v>
      </c>
      <c r="C1851" s="44" t="s">
        <v>1652</v>
      </c>
      <c r="D1851" s="44" t="s">
        <v>147</v>
      </c>
      <c r="E1851" s="44" t="s">
        <v>51</v>
      </c>
      <c r="G1851" s="44">
        <v>996</v>
      </c>
      <c r="H1851" s="44" t="s">
        <v>2537</v>
      </c>
    </row>
    <row r="1852" spans="1:8">
      <c r="A1852" s="31">
        <f>COUNTIF('BOM Atual ZPCS12'!F:F,B1852)+(1-(SUMIF(Invoice!$A:$A,$B1852,Invoice!$B:$B)/100000000000))</f>
        <v>2</v>
      </c>
      <c r="B1852" s="52" t="s">
        <v>1687</v>
      </c>
      <c r="C1852" s="44" t="s">
        <v>1688</v>
      </c>
      <c r="D1852" s="44" t="s">
        <v>147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1.9999997999999999</v>
      </c>
      <c r="B1853" s="52" t="s">
        <v>1690</v>
      </c>
      <c r="C1853" s="44" t="s">
        <v>1691</v>
      </c>
      <c r="D1853" s="44" t="s">
        <v>147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2</v>
      </c>
      <c r="B1854" s="52" t="s">
        <v>1692</v>
      </c>
      <c r="C1854" s="44" t="s">
        <v>1693</v>
      </c>
      <c r="D1854" s="44" t="s">
        <v>147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2</v>
      </c>
      <c r="B1855" s="52" t="s">
        <v>1694</v>
      </c>
      <c r="C1855" s="44" t="s">
        <v>1695</v>
      </c>
      <c r="D1855" s="44" t="s">
        <v>147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4633</v>
      </c>
      <c r="C1856" s="44" t="s">
        <v>4634</v>
      </c>
      <c r="D1856" s="44" t="s">
        <v>147</v>
      </c>
      <c r="E1856" s="44" t="s">
        <v>51</v>
      </c>
      <c r="G1856" s="44">
        <v>998</v>
      </c>
      <c r="H1856" s="44" t="s">
        <v>2537</v>
      </c>
    </row>
    <row r="1857" spans="1:8">
      <c r="A1857" s="31">
        <f>COUNTIF('BOM Atual ZPCS12'!F:F,B1857)+(1-(SUMIF(Invoice!$A:$A,$B1857,Invoice!$B:$B)/100000000000))</f>
        <v>2</v>
      </c>
      <c r="B1857" s="52" t="s">
        <v>1696</v>
      </c>
      <c r="C1857" s="44" t="s">
        <v>1697</v>
      </c>
      <c r="D1857" s="44" t="s">
        <v>147</v>
      </c>
      <c r="E1857" s="44" t="s">
        <v>51</v>
      </c>
      <c r="G1857" s="44">
        <v>998</v>
      </c>
      <c r="H1857" s="44" t="s">
        <v>2537</v>
      </c>
    </row>
    <row r="1858" spans="1:8">
      <c r="A1858" s="31">
        <f>COUNTIF('BOM Atual ZPCS12'!F:F,B1858)+(1-(SUMIF(Invoice!$A:$A,$B1858,Invoice!$B:$B)/100000000000))</f>
        <v>2</v>
      </c>
      <c r="B1858" s="52" t="s">
        <v>1699</v>
      </c>
      <c r="C1858" s="44" t="s">
        <v>1700</v>
      </c>
      <c r="D1858" s="44" t="s">
        <v>147</v>
      </c>
      <c r="E1858" s="44" t="s">
        <v>51</v>
      </c>
      <c r="G1858" s="44">
        <v>998</v>
      </c>
      <c r="H1858" s="44" t="s">
        <v>2537</v>
      </c>
    </row>
    <row r="1859" spans="1:8">
      <c r="A1859" s="31">
        <f>COUNTIF('BOM Atual ZPCS12'!F:F,B1859)+(1-(SUMIF(Invoice!$A:$A,$B1859,Invoice!$B:$B)/100000000000))</f>
        <v>1.9999996</v>
      </c>
      <c r="B1859" s="52" t="s">
        <v>1701</v>
      </c>
      <c r="C1859" s="44" t="s">
        <v>1702</v>
      </c>
      <c r="D1859" s="44" t="s">
        <v>147</v>
      </c>
      <c r="E1859" s="44" t="s">
        <v>51</v>
      </c>
      <c r="G1859" s="44">
        <v>998</v>
      </c>
      <c r="H1859" s="44" t="s">
        <v>2537</v>
      </c>
    </row>
    <row r="1860" spans="1:8">
      <c r="A1860" s="31">
        <f>COUNTIF('BOM Atual ZPCS12'!F:F,B1860)+(1-(SUMIF(Invoice!$A:$A,$B1860,Invoice!$B:$B)/100000000000))</f>
        <v>1</v>
      </c>
      <c r="B1860" s="52" t="s">
        <v>4635</v>
      </c>
      <c r="C1860" s="44" t="s">
        <v>4636</v>
      </c>
      <c r="D1860" s="44" t="s">
        <v>147</v>
      </c>
      <c r="E1860" s="44" t="s">
        <v>51</v>
      </c>
      <c r="G1860" s="44">
        <v>999</v>
      </c>
      <c r="H1860" s="44" t="s">
        <v>2537</v>
      </c>
    </row>
    <row r="1861" spans="1:8">
      <c r="A1861" s="31">
        <f>COUNTIF('BOM Atual ZPCS12'!F:F,B1861)+(1-(SUMIF(Invoice!$A:$A,$B1861,Invoice!$B:$B)/100000000000))</f>
        <v>2</v>
      </c>
      <c r="B1861" s="52" t="s">
        <v>1757</v>
      </c>
      <c r="C1861" s="44" t="s">
        <v>1758</v>
      </c>
      <c r="D1861" s="44" t="s">
        <v>147</v>
      </c>
      <c r="E1861" s="44" t="s">
        <v>51</v>
      </c>
      <c r="G1861" s="44">
        <v>999</v>
      </c>
      <c r="H1861" s="44" t="s">
        <v>2537</v>
      </c>
    </row>
    <row r="1862" spans="1:8">
      <c r="A1862" s="31">
        <f>COUNTIF('BOM Atual ZPCS12'!F:F,B1862)+(1-(SUMIF(Invoice!$A:$A,$B1862,Invoice!$B:$B)/100000000000))</f>
        <v>2</v>
      </c>
      <c r="B1862" s="52" t="s">
        <v>1760</v>
      </c>
      <c r="C1862" s="44" t="s">
        <v>1761</v>
      </c>
      <c r="D1862" s="44" t="s">
        <v>147</v>
      </c>
      <c r="E1862" s="44" t="s">
        <v>51</v>
      </c>
      <c r="G1862" s="44">
        <v>999</v>
      </c>
      <c r="H1862" s="44" t="s">
        <v>2537</v>
      </c>
    </row>
    <row r="1863" spans="1:8">
      <c r="A1863" s="31">
        <f>COUNTIF('BOM Atual ZPCS12'!F:F,B1863)+(1-(SUMIF(Invoice!$A:$A,$B1863,Invoice!$B:$B)/100000000000))</f>
        <v>2</v>
      </c>
      <c r="B1863" s="52" t="s">
        <v>1762</v>
      </c>
      <c r="C1863" s="44" t="s">
        <v>1763</v>
      </c>
      <c r="D1863" s="44" t="s">
        <v>147</v>
      </c>
      <c r="E1863" s="44" t="s">
        <v>51</v>
      </c>
      <c r="G1863" s="44">
        <v>999</v>
      </c>
      <c r="H1863" s="44" t="s">
        <v>2537</v>
      </c>
    </row>
    <row r="1864" spans="1:8">
      <c r="A1864" s="31">
        <f>COUNTIF('BOM Atual ZPCS12'!F:F,B1864)+(1-(SUMIF(Invoice!$A:$A,$B1864,Invoice!$B:$B)/100000000000))</f>
        <v>1.99999996</v>
      </c>
      <c r="B1864" s="52" t="s">
        <v>1764</v>
      </c>
      <c r="C1864" s="44" t="s">
        <v>1765</v>
      </c>
      <c r="D1864" s="44" t="s">
        <v>147</v>
      </c>
      <c r="E1864" s="44" t="s">
        <v>51</v>
      </c>
      <c r="G1864" s="44">
        <v>999</v>
      </c>
      <c r="H1864" s="44" t="s">
        <v>2537</v>
      </c>
    </row>
    <row r="1865" spans="1:8">
      <c r="A1865" s="31">
        <f>COUNTIF('BOM Atual ZPCS12'!F:F,B1865)+(1-(SUMIF(Invoice!$A:$A,$B1865,Invoice!$B:$B)/100000000000))</f>
        <v>1</v>
      </c>
      <c r="B1865" s="52" t="s">
        <v>4637</v>
      </c>
      <c r="C1865" s="44" t="s">
        <v>4638</v>
      </c>
      <c r="D1865" s="44" t="s">
        <v>147</v>
      </c>
      <c r="E1865" s="44" t="s">
        <v>51</v>
      </c>
      <c r="G1865" s="44">
        <v>1000</v>
      </c>
      <c r="H1865" s="44" t="s">
        <v>2537</v>
      </c>
    </row>
    <row r="1866" spans="1:8">
      <c r="A1866" s="31">
        <f>COUNTIF('BOM Atual ZPCS12'!F:F,B1866)+(1-(SUMIF(Invoice!$A:$A,$B1866,Invoice!$B:$B)/100000000000))</f>
        <v>1</v>
      </c>
      <c r="B1866" s="52" t="s">
        <v>4639</v>
      </c>
      <c r="C1866" s="44" t="s">
        <v>4638</v>
      </c>
      <c r="D1866" s="44" t="s">
        <v>147</v>
      </c>
      <c r="E1866" s="44" t="s">
        <v>51</v>
      </c>
      <c r="G1866" s="44">
        <v>1000</v>
      </c>
      <c r="H1866" s="44" t="s">
        <v>2537</v>
      </c>
    </row>
    <row r="1867" spans="1:8">
      <c r="A1867" s="31">
        <f>COUNTIF('BOM Atual ZPCS12'!F:F,B1867)+(1-(SUMIF(Invoice!$A:$A,$B1867,Invoice!$B:$B)/100000000000))</f>
        <v>1</v>
      </c>
      <c r="B1867" s="52" t="s">
        <v>4640</v>
      </c>
      <c r="C1867" s="44" t="s">
        <v>4638</v>
      </c>
      <c r="D1867" s="44" t="s">
        <v>147</v>
      </c>
      <c r="E1867" s="44" t="s">
        <v>51</v>
      </c>
      <c r="G1867" s="44">
        <v>1000</v>
      </c>
      <c r="H1867" s="44" t="s">
        <v>2537</v>
      </c>
    </row>
    <row r="1868" spans="1:8">
      <c r="A1868" s="31">
        <f>COUNTIF('BOM Atual ZPCS12'!F:F,B1868)+(1-(SUMIF(Invoice!$A:$A,$B1868,Invoice!$B:$B)/100000000000))</f>
        <v>1</v>
      </c>
      <c r="B1868" s="52" t="s">
        <v>4641</v>
      </c>
      <c r="C1868" s="44" t="s">
        <v>4638</v>
      </c>
      <c r="D1868" s="44" t="s">
        <v>147</v>
      </c>
      <c r="E1868" s="44" t="s">
        <v>51</v>
      </c>
      <c r="G1868" s="44">
        <v>1000</v>
      </c>
      <c r="H1868" s="44" t="s">
        <v>2537</v>
      </c>
    </row>
    <row r="1869" spans="1:8">
      <c r="A1869" s="31">
        <f>COUNTIF('BOM Atual ZPCS12'!F:F,B1869)+(1-(SUMIF(Invoice!$A:$A,$B1869,Invoice!$B:$B)/100000000000))</f>
        <v>1</v>
      </c>
      <c r="B1869" s="52" t="s">
        <v>4642</v>
      </c>
      <c r="C1869" s="44" t="s">
        <v>4638</v>
      </c>
      <c r="D1869" s="44" t="s">
        <v>147</v>
      </c>
      <c r="E1869" s="44" t="s">
        <v>51</v>
      </c>
      <c r="G1869" s="44">
        <v>1000</v>
      </c>
      <c r="H1869" s="44" t="s">
        <v>2537</v>
      </c>
    </row>
    <row r="1870" spans="1:8">
      <c r="A1870" s="31">
        <f>COUNTIF('BOM Atual ZPCS12'!F:F,B1870)+(1-(SUMIF(Invoice!$A:$A,$B1870,Invoice!$B:$B)/100000000000))</f>
        <v>1</v>
      </c>
      <c r="B1870" s="52" t="s">
        <v>4643</v>
      </c>
      <c r="C1870" s="44" t="s">
        <v>4638</v>
      </c>
      <c r="D1870" s="44" t="s">
        <v>147</v>
      </c>
      <c r="E1870" s="44" t="s">
        <v>51</v>
      </c>
      <c r="G1870" s="44">
        <v>1000</v>
      </c>
      <c r="H1870" s="44" t="s">
        <v>2537</v>
      </c>
    </row>
    <row r="1871" spans="1:8">
      <c r="A1871" s="31">
        <f>COUNTIF('BOM Atual ZPCS12'!F:F,B1871)+(1-(SUMIF(Invoice!$A:$A,$B1871,Invoice!$B:$B)/100000000000))</f>
        <v>1</v>
      </c>
      <c r="B1871" s="52" t="s">
        <v>4644</v>
      </c>
      <c r="C1871" s="44" t="s">
        <v>4645</v>
      </c>
      <c r="D1871" s="44" t="s">
        <v>147</v>
      </c>
      <c r="E1871" s="44" t="s">
        <v>51</v>
      </c>
      <c r="G1871" s="44">
        <v>1002</v>
      </c>
      <c r="H1871" s="44" t="s">
        <v>2537</v>
      </c>
    </row>
    <row r="1872" spans="1:8">
      <c r="A1872" s="31">
        <f>COUNTIF('BOM Atual ZPCS12'!F:F,B1872)+(1-(SUMIF(Invoice!$A:$A,$B1872,Invoice!$B:$B)/100000000000))</f>
        <v>1.99999997</v>
      </c>
      <c r="B1872" s="52" t="s">
        <v>1853</v>
      </c>
      <c r="C1872" s="44" t="s">
        <v>1854</v>
      </c>
      <c r="D1872" s="44" t="s">
        <v>147</v>
      </c>
      <c r="E1872" s="44" t="s">
        <v>51</v>
      </c>
      <c r="G1872" s="44">
        <v>1002</v>
      </c>
      <c r="H1872" s="44" t="s">
        <v>2537</v>
      </c>
    </row>
    <row r="1873" spans="1:8">
      <c r="A1873" s="31">
        <f>COUNTIF('BOM Atual ZPCS12'!F:F,B1873)+(1-(SUMIF(Invoice!$A:$A,$B1873,Invoice!$B:$B)/100000000000))</f>
        <v>1</v>
      </c>
      <c r="B1873" s="52" t="s">
        <v>4646</v>
      </c>
      <c r="C1873" s="44" t="s">
        <v>4647</v>
      </c>
      <c r="D1873" s="44" t="s">
        <v>147</v>
      </c>
      <c r="E1873" s="44" t="s">
        <v>51</v>
      </c>
      <c r="G1873" s="44">
        <v>1002</v>
      </c>
      <c r="H1873" s="44" t="s">
        <v>2537</v>
      </c>
    </row>
    <row r="1874" spans="1:8">
      <c r="A1874" s="31">
        <f>COUNTIF('BOM Atual ZPCS12'!F:F,B1874)+(1-(SUMIF(Invoice!$A:$A,$B1874,Invoice!$B:$B)/100000000000))</f>
        <v>2</v>
      </c>
      <c r="B1874" s="52" t="s">
        <v>1856</v>
      </c>
      <c r="C1874" s="44" t="s">
        <v>1857</v>
      </c>
      <c r="D1874" s="44" t="s">
        <v>147</v>
      </c>
      <c r="E1874" s="44" t="s">
        <v>51</v>
      </c>
      <c r="G1874" s="44">
        <v>1002</v>
      </c>
      <c r="H1874" s="44" t="s">
        <v>2537</v>
      </c>
    </row>
    <row r="1875" spans="1:8">
      <c r="A1875" s="31">
        <f>COUNTIF('BOM Atual ZPCS12'!F:F,B1875)+(1-(SUMIF(Invoice!$A:$A,$B1875,Invoice!$B:$B)/100000000000))</f>
        <v>2</v>
      </c>
      <c r="B1875" s="52" t="s">
        <v>1858</v>
      </c>
      <c r="C1875" s="44" t="s">
        <v>1859</v>
      </c>
      <c r="D1875" s="44" t="s">
        <v>147</v>
      </c>
      <c r="E1875" s="44" t="s">
        <v>51</v>
      </c>
      <c r="G1875" s="44">
        <v>1002</v>
      </c>
      <c r="H1875" s="44" t="s">
        <v>2537</v>
      </c>
    </row>
    <row r="1876" spans="1:8">
      <c r="A1876" s="31">
        <f>COUNTIF('BOM Atual ZPCS12'!F:F,B1876)+(1-(SUMIF(Invoice!$A:$A,$B1876,Invoice!$B:$B)/100000000000))</f>
        <v>1</v>
      </c>
      <c r="B1876" s="52" t="s">
        <v>4648</v>
      </c>
      <c r="C1876" s="44" t="s">
        <v>4649</v>
      </c>
      <c r="D1876" s="44" t="s">
        <v>147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4650</v>
      </c>
      <c r="C1877" s="44" t="s">
        <v>4651</v>
      </c>
      <c r="D1877" s="44" t="s">
        <v>147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1.9999999900000001</v>
      </c>
      <c r="B1878" s="52" t="s">
        <v>1860</v>
      </c>
      <c r="C1878" s="44" t="s">
        <v>4652</v>
      </c>
      <c r="D1878" s="44" t="s">
        <v>147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2</v>
      </c>
      <c r="B1879" s="52" t="s">
        <v>1863</v>
      </c>
      <c r="C1879" s="44" t="s">
        <v>4653</v>
      </c>
      <c r="D1879" s="44" t="s">
        <v>147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2</v>
      </c>
      <c r="B1880" s="52" t="s">
        <v>1865</v>
      </c>
      <c r="C1880" s="44" t="s">
        <v>1866</v>
      </c>
      <c r="D1880" s="44" t="s">
        <v>147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4654</v>
      </c>
      <c r="C1881" s="44" t="s">
        <v>4655</v>
      </c>
      <c r="D1881" s="44" t="s">
        <v>147</v>
      </c>
      <c r="E1881" s="44" t="s">
        <v>51</v>
      </c>
      <c r="G1881" s="44">
        <v>1005</v>
      </c>
      <c r="H1881" s="44" t="s">
        <v>2537</v>
      </c>
    </row>
    <row r="1882" spans="1:8">
      <c r="A1882" s="31">
        <f>COUNTIF('BOM Atual ZPCS12'!F:F,B1882)+(1-(SUMIF(Invoice!$A:$A,$B1882,Invoice!$B:$B)/100000000000))</f>
        <v>1</v>
      </c>
      <c r="B1882" s="52" t="s">
        <v>4656</v>
      </c>
      <c r="C1882" s="44" t="s">
        <v>3704</v>
      </c>
      <c r="D1882" s="44" t="s">
        <v>147</v>
      </c>
      <c r="E1882" s="44" t="s">
        <v>51</v>
      </c>
      <c r="G1882" s="44">
        <v>1005</v>
      </c>
      <c r="H1882" s="44" t="s">
        <v>2537</v>
      </c>
    </row>
    <row r="1883" spans="1:8">
      <c r="A1883" s="31">
        <f>COUNTIF('BOM Atual ZPCS12'!F:F,B1883)+(1-(SUMIF(Invoice!$A:$A,$B1883,Invoice!$B:$B)/100000000000))</f>
        <v>1</v>
      </c>
      <c r="B1883" s="52" t="s">
        <v>4657</v>
      </c>
      <c r="C1883" s="44" t="s">
        <v>4658</v>
      </c>
      <c r="D1883" s="44" t="s">
        <v>147</v>
      </c>
      <c r="E1883" s="44" t="s">
        <v>51</v>
      </c>
      <c r="G1883" s="44">
        <v>1005</v>
      </c>
      <c r="H1883" s="44" t="s">
        <v>2537</v>
      </c>
    </row>
    <row r="1884" spans="1:8">
      <c r="A1884" s="31">
        <f>COUNTIF('BOM Atual ZPCS12'!F:F,B1884)+(1-(SUMIF(Invoice!$A:$A,$B1884,Invoice!$B:$B)/100000000000))</f>
        <v>1</v>
      </c>
      <c r="B1884" s="52" t="s">
        <v>4659</v>
      </c>
      <c r="C1884" s="44" t="s">
        <v>3708</v>
      </c>
      <c r="D1884" s="44" t="s">
        <v>147</v>
      </c>
      <c r="E1884" s="44" t="s">
        <v>51</v>
      </c>
      <c r="G1884" s="44">
        <v>1005</v>
      </c>
      <c r="H1884" s="44" t="s">
        <v>2537</v>
      </c>
    </row>
    <row r="1885" spans="1:8">
      <c r="A1885" s="31">
        <f>COUNTIF('BOM Atual ZPCS12'!F:F,B1885)+(1-(SUMIF(Invoice!$A:$A,$B1885,Invoice!$B:$B)/100000000000))</f>
        <v>2</v>
      </c>
      <c r="B1885" s="52" t="s">
        <v>1945</v>
      </c>
      <c r="C1885" s="44" t="s">
        <v>1946</v>
      </c>
      <c r="D1885" s="44" t="s">
        <v>147</v>
      </c>
      <c r="E1885" s="44" t="s">
        <v>51</v>
      </c>
      <c r="G1885" s="44">
        <v>1008</v>
      </c>
      <c r="H1885" s="44" t="s">
        <v>2537</v>
      </c>
    </row>
    <row r="1886" spans="1:8">
      <c r="A1886" s="31">
        <f>COUNTIF('BOM Atual ZPCS12'!F:F,B1886)+(1-(SUMIF(Invoice!$A:$A,$B1886,Invoice!$B:$B)/100000000000))</f>
        <v>1.999999935</v>
      </c>
      <c r="B1886" s="52" t="s">
        <v>1999</v>
      </c>
      <c r="C1886" s="44" t="s">
        <v>2000</v>
      </c>
      <c r="D1886" s="44" t="s">
        <v>147</v>
      </c>
      <c r="E1886" s="44" t="s">
        <v>51</v>
      </c>
      <c r="G1886" s="44">
        <v>1008</v>
      </c>
      <c r="H1886" s="44" t="s">
        <v>2537</v>
      </c>
    </row>
    <row r="1887" spans="1:8">
      <c r="A1887" s="31">
        <f>COUNTIF('BOM Atual ZPCS12'!F:F,B1887)+(1-(SUMIF(Invoice!$A:$A,$B1887,Invoice!$B:$B)/100000000000))</f>
        <v>2</v>
      </c>
      <c r="B1887" s="52" t="s">
        <v>2002</v>
      </c>
      <c r="C1887" s="44" t="s">
        <v>2003</v>
      </c>
      <c r="D1887" s="44" t="s">
        <v>147</v>
      </c>
      <c r="E1887" s="44" t="s">
        <v>51</v>
      </c>
      <c r="G1887" s="44">
        <v>1008</v>
      </c>
      <c r="H1887" s="44" t="s">
        <v>2537</v>
      </c>
    </row>
    <row r="1888" spans="1:8">
      <c r="A1888" s="31">
        <f>COUNTIF('BOM Atual ZPCS12'!F:F,B1888)+(1-(SUMIF(Invoice!$A:$A,$B1888,Invoice!$B:$B)/100000000000))</f>
        <v>2</v>
      </c>
      <c r="B1888" s="52" t="s">
        <v>2004</v>
      </c>
      <c r="C1888" s="44" t="s">
        <v>2005</v>
      </c>
      <c r="D1888" s="44" t="s">
        <v>147</v>
      </c>
      <c r="E1888" s="44" t="s">
        <v>51</v>
      </c>
      <c r="G1888" s="44">
        <v>1008</v>
      </c>
      <c r="H1888" s="44" t="s">
        <v>2537</v>
      </c>
    </row>
    <row r="1889" spans="1:8">
      <c r="A1889" s="31">
        <f>COUNTIF('BOM Atual ZPCS12'!F:F,B1889)+(1-(SUMIF(Invoice!$A:$A,$B1889,Invoice!$B:$B)/100000000000))</f>
        <v>1.9999999900000001</v>
      </c>
      <c r="B1889" s="52" t="s">
        <v>1948</v>
      </c>
      <c r="C1889" s="44" t="s">
        <v>1949</v>
      </c>
      <c r="D1889" s="44" t="s">
        <v>147</v>
      </c>
      <c r="E1889" s="44" t="s">
        <v>51</v>
      </c>
      <c r="G1889" s="44">
        <v>1008</v>
      </c>
      <c r="H1889" s="44" t="s">
        <v>2537</v>
      </c>
    </row>
    <row r="1890" spans="1:8">
      <c r="A1890" s="31">
        <f>COUNTIF('BOM Atual ZPCS12'!F:F,B1890)+(1-(SUMIF(Invoice!$A:$A,$B1890,Invoice!$B:$B)/100000000000))</f>
        <v>1</v>
      </c>
      <c r="B1890" s="52" t="s">
        <v>4660</v>
      </c>
      <c r="C1890" s="44" t="s">
        <v>4661</v>
      </c>
      <c r="D1890" s="44" t="s">
        <v>147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4662</v>
      </c>
      <c r="C1891" s="44" t="s">
        <v>4663</v>
      </c>
      <c r="D1891" s="44" t="s">
        <v>147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4664</v>
      </c>
      <c r="C1892" s="44" t="s">
        <v>4665</v>
      </c>
      <c r="D1892" s="44" t="s">
        <v>147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4666</v>
      </c>
      <c r="C1893" s="44" t="s">
        <v>4667</v>
      </c>
      <c r="D1893" s="44" t="s">
        <v>147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1.9999999846500001</v>
      </c>
      <c r="B1894" s="52" t="s">
        <v>2044</v>
      </c>
      <c r="C1894" s="44" t="s">
        <v>2045</v>
      </c>
      <c r="D1894" s="44" t="s">
        <v>147</v>
      </c>
      <c r="E1894" s="44" t="s">
        <v>51</v>
      </c>
      <c r="G1894" s="44">
        <v>1012</v>
      </c>
      <c r="H1894" s="44" t="s">
        <v>2537</v>
      </c>
    </row>
    <row r="1895" spans="1:8">
      <c r="A1895" s="31">
        <f>COUNTIF('BOM Atual ZPCS12'!F:F,B1895)+(1-(SUMIF(Invoice!$A:$A,$B1895,Invoice!$B:$B)/100000000000))</f>
        <v>1</v>
      </c>
      <c r="B1895" s="52" t="s">
        <v>4668</v>
      </c>
      <c r="C1895" s="44" t="s">
        <v>2048</v>
      </c>
      <c r="D1895" s="44" t="s">
        <v>147</v>
      </c>
      <c r="E1895" s="44" t="s">
        <v>51</v>
      </c>
      <c r="G1895" s="44">
        <v>1012</v>
      </c>
      <c r="H1895" s="44" t="s">
        <v>2537</v>
      </c>
    </row>
    <row r="1896" spans="1:8">
      <c r="A1896" s="31">
        <f>COUNTIF('BOM Atual ZPCS12'!F:F,B1896)+(1-(SUMIF(Invoice!$A:$A,$B1896,Invoice!$B:$B)/100000000000))</f>
        <v>2</v>
      </c>
      <c r="B1896" s="52" t="s">
        <v>2047</v>
      </c>
      <c r="C1896" s="44" t="s">
        <v>2048</v>
      </c>
      <c r="D1896" s="44" t="s">
        <v>147</v>
      </c>
      <c r="E1896" s="44" t="s">
        <v>51</v>
      </c>
      <c r="G1896" s="44">
        <v>1012</v>
      </c>
      <c r="H1896" s="44" t="s">
        <v>2537</v>
      </c>
    </row>
    <row r="1897" spans="1:8">
      <c r="A1897" s="31">
        <f>COUNTIF('BOM Atual ZPCS12'!F:F,B1897)+(1-(SUMIF(Invoice!$A:$A,$B1897,Invoice!$B:$B)/100000000000))</f>
        <v>1</v>
      </c>
      <c r="B1897" s="52" t="s">
        <v>4669</v>
      </c>
      <c r="C1897" s="44" t="s">
        <v>4670</v>
      </c>
      <c r="D1897" s="44" t="s">
        <v>147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4671</v>
      </c>
      <c r="C1898" s="44" t="s">
        <v>4672</v>
      </c>
      <c r="D1898" s="44" t="s">
        <v>147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4673</v>
      </c>
      <c r="C1899" s="44" t="s">
        <v>4674</v>
      </c>
      <c r="D1899" s="44" t="s">
        <v>147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4675</v>
      </c>
      <c r="C1900" s="44" t="s">
        <v>4676</v>
      </c>
      <c r="D1900" s="44" t="s">
        <v>147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4677</v>
      </c>
      <c r="C1901" s="44" t="s">
        <v>4676</v>
      </c>
      <c r="D1901" s="44" t="s">
        <v>147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4678</v>
      </c>
      <c r="C1902" s="44" t="s">
        <v>4679</v>
      </c>
      <c r="D1902" s="44" t="s">
        <v>147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4680</v>
      </c>
      <c r="C1903" s="44" t="s">
        <v>4681</v>
      </c>
      <c r="D1903" s="44" t="s">
        <v>147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4682</v>
      </c>
      <c r="C1904" s="44" t="s">
        <v>4683</v>
      </c>
      <c r="D1904" s="44" t="s">
        <v>147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4684</v>
      </c>
      <c r="C1905" s="44" t="s">
        <v>4685</v>
      </c>
      <c r="D1905" s="44" t="s">
        <v>147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4686</v>
      </c>
      <c r="C1906" s="44" t="s">
        <v>4687</v>
      </c>
      <c r="D1906" s="44" t="s">
        <v>147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4688</v>
      </c>
      <c r="C1907" s="44" t="s">
        <v>4689</v>
      </c>
      <c r="D1907" s="44" t="s">
        <v>147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4690</v>
      </c>
      <c r="C1908" s="44" t="s">
        <v>4691</v>
      </c>
      <c r="D1908" s="44" t="s">
        <v>147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4692</v>
      </c>
      <c r="C1909" s="44" t="s">
        <v>4693</v>
      </c>
      <c r="D1909" s="44" t="s">
        <v>147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4694</v>
      </c>
      <c r="C1910" s="44" t="s">
        <v>4695</v>
      </c>
      <c r="D1910" s="44" t="s">
        <v>147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4696</v>
      </c>
      <c r="C1911" s="44" t="s">
        <v>4697</v>
      </c>
      <c r="D1911" s="44" t="s">
        <v>147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4698</v>
      </c>
      <c r="C1912" s="44" t="s">
        <v>4699</v>
      </c>
      <c r="D1912" s="44" t="s">
        <v>147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4700</v>
      </c>
      <c r="C1913" s="44" t="s">
        <v>4701</v>
      </c>
      <c r="D1913" s="44" t="s">
        <v>147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4702</v>
      </c>
      <c r="C1914" s="44" t="s">
        <v>4703</v>
      </c>
      <c r="D1914" s="44" t="s">
        <v>147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4704</v>
      </c>
      <c r="C1915" s="44" t="s">
        <v>4705</v>
      </c>
      <c r="D1915" s="44" t="s">
        <v>147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2</v>
      </c>
      <c r="B1916" s="52" t="s">
        <v>254</v>
      </c>
      <c r="C1916" s="44" t="s">
        <v>255</v>
      </c>
      <c r="D1916" s="44" t="s">
        <v>147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1.99999996</v>
      </c>
      <c r="B1917" s="52" t="s">
        <v>257</v>
      </c>
      <c r="C1917" s="44" t="s">
        <v>4706</v>
      </c>
      <c r="D1917" s="44" t="s">
        <v>147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2</v>
      </c>
      <c r="B1918" s="52" t="s">
        <v>264</v>
      </c>
      <c r="C1918" s="44" t="s">
        <v>4707</v>
      </c>
      <c r="D1918" s="44" t="s">
        <v>147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1.99999995944</v>
      </c>
      <c r="B1919" s="52" t="s">
        <v>267</v>
      </c>
      <c r="C1919" s="44" t="s">
        <v>4708</v>
      </c>
      <c r="D1919" s="44" t="s">
        <v>147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4709</v>
      </c>
      <c r="C1920" s="44" t="s">
        <v>4710</v>
      </c>
      <c r="D1920" s="44" t="s">
        <v>147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4711</v>
      </c>
      <c r="C1921" s="44" t="s">
        <v>4712</v>
      </c>
      <c r="D1921" s="44" t="s">
        <v>147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4713</v>
      </c>
      <c r="C1922" s="44" t="s">
        <v>4714</v>
      </c>
      <c r="D1922" s="44" t="s">
        <v>147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4715</v>
      </c>
      <c r="C1923" s="44" t="s">
        <v>4716</v>
      </c>
      <c r="D1923" s="44" t="s">
        <v>147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4717</v>
      </c>
      <c r="C1924" s="44" t="s">
        <v>4718</v>
      </c>
      <c r="D1924" s="44" t="s">
        <v>147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4719</v>
      </c>
      <c r="C1925" s="44" t="s">
        <v>4720</v>
      </c>
      <c r="D1925" s="44" t="s">
        <v>147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4721</v>
      </c>
      <c r="C1926" s="44" t="s">
        <v>4722</v>
      </c>
      <c r="D1926" s="44" t="s">
        <v>147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4723</v>
      </c>
      <c r="C1927" s="44" t="s">
        <v>4724</v>
      </c>
      <c r="D1927" s="44" t="s">
        <v>147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4725</v>
      </c>
      <c r="C1928" s="44" t="s">
        <v>4726</v>
      </c>
      <c r="D1928" s="44" t="s">
        <v>147</v>
      </c>
      <c r="E1928" s="44" t="s">
        <v>51</v>
      </c>
      <c r="G1928" s="44">
        <v>1026</v>
      </c>
      <c r="H1928" s="44" t="s">
        <v>2537</v>
      </c>
    </row>
    <row r="1929" spans="1:8">
      <c r="A1929" s="31">
        <f>COUNTIF('BOM Atual ZPCS12'!F:F,B1929)+(1-(SUMIF(Invoice!$A:$A,$B1929,Invoice!$B:$B)/100000000000))</f>
        <v>1</v>
      </c>
      <c r="B1929" s="52" t="s">
        <v>4727</v>
      </c>
      <c r="C1929" s="44" t="s">
        <v>4728</v>
      </c>
      <c r="D1929" s="44" t="s">
        <v>147</v>
      </c>
      <c r="E1929" s="44" t="s">
        <v>51</v>
      </c>
      <c r="G1929" s="44">
        <v>1026</v>
      </c>
      <c r="H1929" s="44" t="s">
        <v>2537</v>
      </c>
    </row>
    <row r="1930" spans="1:8">
      <c r="A1930" s="31">
        <f>COUNTIF('BOM Atual ZPCS12'!F:F,B1930)+(1-(SUMIF(Invoice!$A:$A,$B1930,Invoice!$B:$B)/100000000000))</f>
        <v>1</v>
      </c>
      <c r="B1930" s="52" t="s">
        <v>4729</v>
      </c>
      <c r="C1930" s="44" t="s">
        <v>4730</v>
      </c>
      <c r="D1930" s="44" t="s">
        <v>147</v>
      </c>
      <c r="E1930" s="44" t="s">
        <v>51</v>
      </c>
      <c r="G1930" s="44">
        <v>1026</v>
      </c>
      <c r="H1930" s="44" t="s">
        <v>2537</v>
      </c>
    </row>
    <row r="1931" spans="1:8">
      <c r="A1931" s="31">
        <f>COUNTIF('BOM Atual ZPCS12'!F:F,B1931)+(1-(SUMIF(Invoice!$A:$A,$B1931,Invoice!$B:$B)/100000000000))</f>
        <v>1.9999999000000002</v>
      </c>
      <c r="B1931" s="52" t="s">
        <v>735</v>
      </c>
      <c r="C1931" s="44" t="s">
        <v>4731</v>
      </c>
      <c r="D1931" s="44" t="s">
        <v>147</v>
      </c>
      <c r="E1931" s="44" t="s">
        <v>51</v>
      </c>
      <c r="G1931" s="44">
        <v>1028</v>
      </c>
      <c r="H1931" s="44" t="s">
        <v>2537</v>
      </c>
    </row>
    <row r="1932" spans="1:8">
      <c r="A1932" s="31">
        <f>COUNTIF('BOM Atual ZPCS12'!F:F,B1932)+(1-(SUMIF(Invoice!$A:$A,$B1932,Invoice!$B:$B)/100000000000))</f>
        <v>2</v>
      </c>
      <c r="B1932" s="52" t="s">
        <v>737</v>
      </c>
      <c r="C1932" s="44" t="s">
        <v>738</v>
      </c>
      <c r="D1932" s="44" t="s">
        <v>147</v>
      </c>
      <c r="E1932" s="44" t="s">
        <v>51</v>
      </c>
      <c r="G1932" s="44">
        <v>1028</v>
      </c>
      <c r="H1932" s="44" t="s">
        <v>2537</v>
      </c>
    </row>
    <row r="1933" spans="1:8">
      <c r="A1933" s="31">
        <f>COUNTIF('BOM Atual ZPCS12'!F:F,B1933)+(1-(SUMIF(Invoice!$A:$A,$B1933,Invoice!$B:$B)/100000000000))</f>
        <v>1</v>
      </c>
      <c r="B1933" s="52" t="s">
        <v>4732</v>
      </c>
      <c r="C1933" s="44" t="s">
        <v>4733</v>
      </c>
      <c r="D1933" s="44" t="s">
        <v>147</v>
      </c>
      <c r="E1933" s="44" t="s">
        <v>51</v>
      </c>
      <c r="G1933" s="44">
        <v>1028</v>
      </c>
      <c r="H1933" s="44" t="s">
        <v>2537</v>
      </c>
    </row>
    <row r="1934" spans="1:8">
      <c r="A1934" s="31">
        <f>COUNTIF('BOM Atual ZPCS12'!F:F,B1934)+(1-(SUMIF(Invoice!$A:$A,$B1934,Invoice!$B:$B)/100000000000))</f>
        <v>2</v>
      </c>
      <c r="B1934" s="52" t="s">
        <v>739</v>
      </c>
      <c r="C1934" s="44" t="s">
        <v>740</v>
      </c>
      <c r="D1934" s="44" t="s">
        <v>147</v>
      </c>
      <c r="E1934" s="44" t="s">
        <v>51</v>
      </c>
      <c r="G1934" s="44">
        <v>1028</v>
      </c>
      <c r="H1934" s="44" t="s">
        <v>2537</v>
      </c>
    </row>
    <row r="1935" spans="1:8">
      <c r="A1935" s="31">
        <f>COUNTIF('BOM Atual ZPCS12'!F:F,B1935)+(1-(SUMIF(Invoice!$A:$A,$B1935,Invoice!$B:$B)/100000000000))</f>
        <v>1</v>
      </c>
      <c r="B1935" s="52" t="s">
        <v>4734</v>
      </c>
      <c r="C1935" s="44" t="s">
        <v>4735</v>
      </c>
      <c r="D1935" s="44" t="s">
        <v>147</v>
      </c>
      <c r="E1935" s="44" t="s">
        <v>51</v>
      </c>
      <c r="G1935" s="44">
        <v>1029</v>
      </c>
      <c r="H1935" s="44" t="s">
        <v>2537</v>
      </c>
    </row>
    <row r="1936" spans="1:8">
      <c r="A1936" s="31">
        <f>COUNTIF('BOM Atual ZPCS12'!F:F,B1936)+(1-(SUMIF(Invoice!$A:$A,$B1936,Invoice!$B:$B)/100000000000))</f>
        <v>1</v>
      </c>
      <c r="B1936" s="52" t="s">
        <v>4736</v>
      </c>
      <c r="C1936" s="44" t="s">
        <v>4737</v>
      </c>
      <c r="D1936" s="44" t="s">
        <v>147</v>
      </c>
      <c r="E1936" s="44" t="s">
        <v>51</v>
      </c>
      <c r="G1936" s="44">
        <v>1029</v>
      </c>
      <c r="H1936" s="44" t="s">
        <v>2537</v>
      </c>
    </row>
    <row r="1937" spans="1:8">
      <c r="A1937" s="31">
        <f>COUNTIF('BOM Atual ZPCS12'!F:F,B1937)+(1-(SUMIF(Invoice!$A:$A,$B1937,Invoice!$B:$B)/100000000000))</f>
        <v>1</v>
      </c>
      <c r="B1937" s="52" t="s">
        <v>4738</v>
      </c>
      <c r="C1937" s="44" t="s">
        <v>4739</v>
      </c>
      <c r="D1937" s="44" t="s">
        <v>147</v>
      </c>
      <c r="E1937" s="44" t="s">
        <v>51</v>
      </c>
      <c r="G1937" s="44">
        <v>1029</v>
      </c>
      <c r="H1937" s="44" t="s">
        <v>2537</v>
      </c>
    </row>
    <row r="1938" spans="1:8">
      <c r="A1938" s="31">
        <f>COUNTIF('BOM Atual ZPCS12'!F:F,B1938)+(1-(SUMIF(Invoice!$A:$A,$B1938,Invoice!$B:$B)/100000000000))</f>
        <v>1</v>
      </c>
      <c r="B1938" s="52" t="s">
        <v>4740</v>
      </c>
      <c r="C1938" s="44" t="s">
        <v>4741</v>
      </c>
      <c r="D1938" s="44" t="s">
        <v>147</v>
      </c>
      <c r="E1938" s="44" t="s">
        <v>51</v>
      </c>
      <c r="G1938" s="44">
        <v>1029</v>
      </c>
      <c r="H1938" s="44" t="s">
        <v>2537</v>
      </c>
    </row>
    <row r="1939" spans="1:8">
      <c r="A1939" s="31">
        <f>COUNTIF('BOM Atual ZPCS12'!F:F,B1939)+(1-(SUMIF(Invoice!$A:$A,$B1939,Invoice!$B:$B)/100000000000))</f>
        <v>1</v>
      </c>
      <c r="B1939" s="52" t="s">
        <v>4742</v>
      </c>
      <c r="C1939" s="44" t="s">
        <v>4743</v>
      </c>
      <c r="D1939" s="44" t="s">
        <v>147</v>
      </c>
      <c r="E1939" s="44" t="s">
        <v>51</v>
      </c>
      <c r="G1939" s="44">
        <v>1030</v>
      </c>
      <c r="H1939" s="44" t="s">
        <v>2537</v>
      </c>
    </row>
    <row r="1940" spans="1:8">
      <c r="A1940" s="31">
        <f>COUNTIF('BOM Atual ZPCS12'!F:F,B1940)+(1-(SUMIF(Invoice!$A:$A,$B1940,Invoice!$B:$B)/100000000000))</f>
        <v>1</v>
      </c>
      <c r="B1940" s="52" t="s">
        <v>4744</v>
      </c>
      <c r="C1940" s="44" t="s">
        <v>4745</v>
      </c>
      <c r="D1940" s="44" t="s">
        <v>147</v>
      </c>
      <c r="E1940" s="44" t="s">
        <v>51</v>
      </c>
      <c r="G1940" s="44">
        <v>1030</v>
      </c>
      <c r="H1940" s="44" t="s">
        <v>2537</v>
      </c>
    </row>
    <row r="1941" spans="1:8">
      <c r="A1941" s="31">
        <f>COUNTIF('BOM Atual ZPCS12'!F:F,B1941)+(1-(SUMIF(Invoice!$A:$A,$B1941,Invoice!$B:$B)/100000000000))</f>
        <v>1</v>
      </c>
      <c r="B1941" s="52" t="s">
        <v>4746</v>
      </c>
      <c r="C1941" s="44" t="s">
        <v>4747</v>
      </c>
      <c r="D1941" s="44" t="s">
        <v>147</v>
      </c>
      <c r="E1941" s="44" t="s">
        <v>51</v>
      </c>
      <c r="G1941" s="44">
        <v>1030</v>
      </c>
      <c r="H1941" s="44" t="s">
        <v>2537</v>
      </c>
    </row>
    <row r="1942" spans="1:8">
      <c r="A1942" s="31">
        <f>COUNTIF('BOM Atual ZPCS12'!F:F,B1942)+(1-(SUMIF(Invoice!$A:$A,$B1942,Invoice!$B:$B)/100000000000))</f>
        <v>1</v>
      </c>
      <c r="B1942" s="52" t="s">
        <v>4748</v>
      </c>
      <c r="C1942" s="44" t="s">
        <v>4749</v>
      </c>
      <c r="D1942" s="44" t="s">
        <v>147</v>
      </c>
      <c r="E1942" s="44" t="s">
        <v>51</v>
      </c>
      <c r="G1942" s="44">
        <v>1030</v>
      </c>
      <c r="H1942" s="44" t="s">
        <v>2537</v>
      </c>
    </row>
    <row r="1943" spans="1:8">
      <c r="A1943" s="31">
        <f>COUNTIF('BOM Atual ZPCS12'!F:F,B1943)+(1-(SUMIF(Invoice!$A:$A,$B1943,Invoice!$B:$B)/100000000000))</f>
        <v>1</v>
      </c>
      <c r="B1943" s="52" t="s">
        <v>4750</v>
      </c>
      <c r="C1943" s="44" t="s">
        <v>4751</v>
      </c>
      <c r="D1943" s="44" t="s">
        <v>147</v>
      </c>
      <c r="E1943" s="44" t="s">
        <v>51</v>
      </c>
      <c r="G1943" s="44">
        <v>1032</v>
      </c>
      <c r="H1943" s="44" t="s">
        <v>2537</v>
      </c>
    </row>
    <row r="1944" spans="1:8">
      <c r="A1944" s="31">
        <f>COUNTIF('BOM Atual ZPCS12'!F:F,B1944)+(1-(SUMIF(Invoice!$A:$A,$B1944,Invoice!$B:$B)/100000000000))</f>
        <v>1</v>
      </c>
      <c r="B1944" s="52" t="s">
        <v>4752</v>
      </c>
      <c r="C1944" s="44" t="s">
        <v>4753</v>
      </c>
      <c r="D1944" s="44" t="s">
        <v>147</v>
      </c>
      <c r="E1944" s="44" t="s">
        <v>51</v>
      </c>
      <c r="G1944" s="44">
        <v>1032</v>
      </c>
      <c r="H1944" s="44" t="s">
        <v>2537</v>
      </c>
    </row>
    <row r="1945" spans="1:8">
      <c r="A1945" s="31">
        <f>COUNTIF('BOM Atual ZPCS12'!F:F,B1945)+(1-(SUMIF(Invoice!$A:$A,$B1945,Invoice!$B:$B)/100000000000))</f>
        <v>1</v>
      </c>
      <c r="B1945" s="52" t="s">
        <v>4754</v>
      </c>
      <c r="C1945" s="44" t="s">
        <v>4755</v>
      </c>
      <c r="D1945" s="44" t="s">
        <v>147</v>
      </c>
      <c r="E1945" s="44" t="s">
        <v>51</v>
      </c>
      <c r="G1945" s="44">
        <v>1032</v>
      </c>
      <c r="H1945" s="44" t="s">
        <v>2537</v>
      </c>
    </row>
    <row r="1946" spans="1:8">
      <c r="A1946" s="31">
        <f>COUNTIF('BOM Atual ZPCS12'!F:F,B1946)+(1-(SUMIF(Invoice!$A:$A,$B1946,Invoice!$B:$B)/100000000000))</f>
        <v>1</v>
      </c>
      <c r="B1946" s="52" t="s">
        <v>4756</v>
      </c>
      <c r="C1946" s="44" t="s">
        <v>4757</v>
      </c>
      <c r="D1946" s="44" t="s">
        <v>147</v>
      </c>
      <c r="E1946" s="44" t="s">
        <v>51</v>
      </c>
      <c r="G1946" s="44">
        <v>1032</v>
      </c>
      <c r="H1946" s="44" t="s">
        <v>2537</v>
      </c>
    </row>
    <row r="1947" spans="1:8">
      <c r="A1947" s="31">
        <f>COUNTIF('BOM Atual ZPCS12'!F:F,B1947)+(1-(SUMIF(Invoice!$A:$A,$B1947,Invoice!$B:$B)/100000000000))</f>
        <v>1.9999999000000002</v>
      </c>
      <c r="B1947" s="52" t="s">
        <v>995</v>
      </c>
      <c r="C1947" s="44" t="s">
        <v>4758</v>
      </c>
      <c r="D1947" s="44" t="s">
        <v>147</v>
      </c>
      <c r="E1947" s="44" t="s">
        <v>51</v>
      </c>
      <c r="G1947" s="44">
        <v>1033</v>
      </c>
      <c r="H1947" s="44" t="s">
        <v>2537</v>
      </c>
    </row>
    <row r="1948" spans="1:8">
      <c r="A1948" s="31">
        <f>COUNTIF('BOM Atual ZPCS12'!F:F,B1948)+(1-(SUMIF(Invoice!$A:$A,$B1948,Invoice!$B:$B)/100000000000))</f>
        <v>2</v>
      </c>
      <c r="B1948" s="52" t="s">
        <v>998</v>
      </c>
      <c r="C1948" s="44" t="s">
        <v>4759</v>
      </c>
      <c r="D1948" s="44" t="s">
        <v>147</v>
      </c>
      <c r="E1948" s="44" t="s">
        <v>51</v>
      </c>
      <c r="G1948" s="44">
        <v>1033</v>
      </c>
      <c r="H1948" s="44" t="s">
        <v>2537</v>
      </c>
    </row>
    <row r="1949" spans="1:8">
      <c r="A1949" s="31">
        <f>COUNTIF('BOM Atual ZPCS12'!F:F,B1949)+(1-(SUMIF(Invoice!$A:$A,$B1949,Invoice!$B:$B)/100000000000))</f>
        <v>1</v>
      </c>
      <c r="B1949" s="52" t="s">
        <v>4760</v>
      </c>
      <c r="C1949" s="44" t="s">
        <v>4759</v>
      </c>
      <c r="D1949" s="44" t="s">
        <v>147</v>
      </c>
      <c r="E1949" s="44" t="s">
        <v>51</v>
      </c>
      <c r="G1949" s="44">
        <v>1033</v>
      </c>
      <c r="H1949" s="44" t="s">
        <v>2537</v>
      </c>
    </row>
    <row r="1950" spans="1:8">
      <c r="A1950" s="31">
        <f>COUNTIF('BOM Atual ZPCS12'!F:F,B1950)+(1-(SUMIF(Invoice!$A:$A,$B1950,Invoice!$B:$B)/100000000000))</f>
        <v>2</v>
      </c>
      <c r="B1950" s="52" t="s">
        <v>1000</v>
      </c>
      <c r="C1950" s="44" t="s">
        <v>1001</v>
      </c>
      <c r="D1950" s="44" t="s">
        <v>147</v>
      </c>
      <c r="E1950" s="44" t="s">
        <v>51</v>
      </c>
      <c r="G1950" s="44">
        <v>1033</v>
      </c>
      <c r="H1950" s="44" t="s">
        <v>2537</v>
      </c>
    </row>
    <row r="1951" spans="1:8">
      <c r="A1951" s="31">
        <f>COUNTIF('BOM Atual ZPCS12'!F:F,B1951)+(1-(SUMIF(Invoice!$A:$A,$B1951,Invoice!$B:$B)/100000000000))</f>
        <v>1</v>
      </c>
      <c r="B1951" s="52" t="s">
        <v>4761</v>
      </c>
      <c r="C1951" s="44" t="s">
        <v>4762</v>
      </c>
      <c r="D1951" s="44" t="s">
        <v>147</v>
      </c>
      <c r="E1951" s="44" t="s">
        <v>51</v>
      </c>
      <c r="G1951" s="44">
        <v>1034</v>
      </c>
      <c r="H1951" s="44" t="s">
        <v>2537</v>
      </c>
    </row>
    <row r="1952" spans="1:8">
      <c r="A1952" s="31">
        <f>COUNTIF('BOM Atual ZPCS12'!F:F,B1952)+(1-(SUMIF(Invoice!$A:$A,$B1952,Invoice!$B:$B)/100000000000))</f>
        <v>1</v>
      </c>
      <c r="B1952" s="52" t="s">
        <v>4763</v>
      </c>
      <c r="C1952" s="44" t="s">
        <v>4764</v>
      </c>
      <c r="D1952" s="44" t="s">
        <v>147</v>
      </c>
      <c r="E1952" s="44" t="s">
        <v>51</v>
      </c>
      <c r="G1952" s="44">
        <v>1034</v>
      </c>
      <c r="H1952" s="44" t="s">
        <v>2537</v>
      </c>
    </row>
    <row r="1953" spans="1:8">
      <c r="A1953" s="31">
        <f>COUNTIF('BOM Atual ZPCS12'!F:F,B1953)+(1-(SUMIF(Invoice!$A:$A,$B1953,Invoice!$B:$B)/100000000000))</f>
        <v>1</v>
      </c>
      <c r="B1953" s="52" t="s">
        <v>4765</v>
      </c>
      <c r="C1953" s="44" t="s">
        <v>4766</v>
      </c>
      <c r="D1953" s="44" t="s">
        <v>147</v>
      </c>
      <c r="E1953" s="44" t="s">
        <v>51</v>
      </c>
      <c r="G1953" s="44">
        <v>1034</v>
      </c>
      <c r="H1953" s="44" t="s">
        <v>2537</v>
      </c>
    </row>
    <row r="1954" spans="1:8">
      <c r="A1954" s="31">
        <f>COUNTIF('BOM Atual ZPCS12'!F:F,B1954)+(1-(SUMIF(Invoice!$A:$A,$B1954,Invoice!$B:$B)/100000000000))</f>
        <v>1</v>
      </c>
      <c r="B1954" s="52" t="s">
        <v>4767</v>
      </c>
      <c r="C1954" s="44" t="s">
        <v>4768</v>
      </c>
      <c r="D1954" s="44" t="s">
        <v>147</v>
      </c>
      <c r="E1954" s="44" t="s">
        <v>51</v>
      </c>
      <c r="G1954" s="44">
        <v>1034</v>
      </c>
      <c r="H1954" s="44" t="s">
        <v>2537</v>
      </c>
    </row>
    <row r="1955" spans="1:8">
      <c r="A1955" s="31">
        <f>COUNTIF('BOM Atual ZPCS12'!F:F,B1955)+(1-(SUMIF(Invoice!$A:$A,$B1955,Invoice!$B:$B)/100000000000))</f>
        <v>2</v>
      </c>
      <c r="B1955" s="52" t="s">
        <v>1065</v>
      </c>
      <c r="C1955" s="44" t="s">
        <v>4769</v>
      </c>
      <c r="D1955" s="44" t="s">
        <v>147</v>
      </c>
      <c r="E1955" s="44" t="s">
        <v>51</v>
      </c>
      <c r="G1955" s="44">
        <v>1035</v>
      </c>
      <c r="H1955" s="44" t="s">
        <v>2537</v>
      </c>
    </row>
    <row r="1956" spans="1:8">
      <c r="A1956" s="31">
        <f>COUNTIF('BOM Atual ZPCS12'!F:F,B1956)+(1-(SUMIF(Invoice!$A:$A,$B1956,Invoice!$B:$B)/100000000000))</f>
        <v>1.9999997999999999</v>
      </c>
      <c r="B1956" s="52" t="s">
        <v>1068</v>
      </c>
      <c r="C1956" s="44" t="s">
        <v>1069</v>
      </c>
      <c r="D1956" s="44" t="s">
        <v>147</v>
      </c>
      <c r="E1956" s="44" t="s">
        <v>51</v>
      </c>
      <c r="G1956" s="44">
        <v>1035</v>
      </c>
      <c r="H1956" s="44" t="s">
        <v>2537</v>
      </c>
    </row>
    <row r="1957" spans="1:8">
      <c r="A1957" s="31">
        <f>COUNTIF('BOM Atual ZPCS12'!F:F,B1957)+(1-(SUMIF(Invoice!$A:$A,$B1957,Invoice!$B:$B)/100000000000))</f>
        <v>1</v>
      </c>
      <c r="B1957" s="52" t="s">
        <v>4770</v>
      </c>
      <c r="C1957" s="44" t="s">
        <v>4769</v>
      </c>
      <c r="D1957" s="44" t="s">
        <v>147</v>
      </c>
      <c r="E1957" s="44" t="s">
        <v>51</v>
      </c>
      <c r="G1957" s="44">
        <v>1035</v>
      </c>
      <c r="H1957" s="44" t="s">
        <v>2537</v>
      </c>
    </row>
    <row r="1958" spans="1:8">
      <c r="A1958" s="31">
        <f>COUNTIF('BOM Atual ZPCS12'!F:F,B1958)+(1-(SUMIF(Invoice!$A:$A,$B1958,Invoice!$B:$B)/100000000000))</f>
        <v>2</v>
      </c>
      <c r="B1958" s="52" t="s">
        <v>1070</v>
      </c>
      <c r="C1958" s="44" t="s">
        <v>1071</v>
      </c>
      <c r="D1958" s="44" t="s">
        <v>147</v>
      </c>
      <c r="E1958" s="44" t="s">
        <v>51</v>
      </c>
      <c r="G1958" s="44">
        <v>1035</v>
      </c>
      <c r="H1958" s="44" t="s">
        <v>2537</v>
      </c>
    </row>
    <row r="1959" spans="1:8">
      <c r="A1959" s="31">
        <f>COUNTIF('BOM Atual ZPCS12'!F:F,B1959)+(1-(SUMIF(Invoice!$A:$A,$B1959,Invoice!$B:$B)/100000000000))</f>
        <v>1</v>
      </c>
      <c r="B1959" s="52" t="s">
        <v>4771</v>
      </c>
      <c r="C1959" s="44" t="s">
        <v>4772</v>
      </c>
      <c r="D1959" s="44" t="s">
        <v>147</v>
      </c>
      <c r="E1959" s="44" t="s">
        <v>51</v>
      </c>
      <c r="G1959" s="44">
        <v>1036</v>
      </c>
      <c r="H1959" s="44" t="s">
        <v>2537</v>
      </c>
    </row>
    <row r="1960" spans="1:8">
      <c r="A1960" s="31">
        <f>COUNTIF('BOM Atual ZPCS12'!F:F,B1960)+(1-(SUMIF(Invoice!$A:$A,$B1960,Invoice!$B:$B)/100000000000))</f>
        <v>1</v>
      </c>
      <c r="B1960" s="52" t="s">
        <v>4773</v>
      </c>
      <c r="C1960" s="44" t="s">
        <v>4774</v>
      </c>
      <c r="D1960" s="44" t="s">
        <v>147</v>
      </c>
      <c r="E1960" s="44" t="s">
        <v>51</v>
      </c>
      <c r="G1960" s="44">
        <v>1036</v>
      </c>
      <c r="H1960" s="44" t="s">
        <v>2537</v>
      </c>
    </row>
    <row r="1961" spans="1:8">
      <c r="A1961" s="31">
        <f>COUNTIF('BOM Atual ZPCS12'!F:F,B1961)+(1-(SUMIF(Invoice!$A:$A,$B1961,Invoice!$B:$B)/100000000000))</f>
        <v>1</v>
      </c>
      <c r="B1961" s="52" t="s">
        <v>4775</v>
      </c>
      <c r="C1961" s="44" t="s">
        <v>4776</v>
      </c>
      <c r="D1961" s="44" t="s">
        <v>147</v>
      </c>
      <c r="E1961" s="44" t="s">
        <v>51</v>
      </c>
      <c r="G1961" s="44">
        <v>1036</v>
      </c>
      <c r="H1961" s="44" t="s">
        <v>2537</v>
      </c>
    </row>
    <row r="1962" spans="1:8">
      <c r="A1962" s="31">
        <f>COUNTIF('BOM Atual ZPCS12'!F:F,B1962)+(1-(SUMIF(Invoice!$A:$A,$B1962,Invoice!$B:$B)/100000000000))</f>
        <v>1</v>
      </c>
      <c r="B1962" s="52" t="s">
        <v>4777</v>
      </c>
      <c r="C1962" s="44" t="s">
        <v>4778</v>
      </c>
      <c r="D1962" s="44" t="s">
        <v>147</v>
      </c>
      <c r="E1962" s="44" t="s">
        <v>51</v>
      </c>
      <c r="G1962" s="44">
        <v>1036</v>
      </c>
      <c r="H1962" s="44" t="s">
        <v>2537</v>
      </c>
    </row>
    <row r="1963" spans="1:8">
      <c r="A1963" s="31">
        <f>COUNTIF('BOM Atual ZPCS12'!F:F,B1963)+(1-(SUMIF(Invoice!$A:$A,$B1963,Invoice!$B:$B)/100000000000))</f>
        <v>1</v>
      </c>
      <c r="B1963" s="52" t="s">
        <v>4779</v>
      </c>
      <c r="C1963" s="44" t="s">
        <v>4780</v>
      </c>
      <c r="D1963" s="44" t="s">
        <v>147</v>
      </c>
      <c r="E1963" s="44" t="s">
        <v>51</v>
      </c>
      <c r="G1963" s="44">
        <v>1037</v>
      </c>
      <c r="H1963" s="44" t="s">
        <v>2537</v>
      </c>
    </row>
    <row r="1964" spans="1:8">
      <c r="A1964" s="31">
        <f>COUNTIF('BOM Atual ZPCS12'!F:F,B1964)+(1-(SUMIF(Invoice!$A:$A,$B1964,Invoice!$B:$B)/100000000000))</f>
        <v>1</v>
      </c>
      <c r="B1964" s="52" t="s">
        <v>4781</v>
      </c>
      <c r="C1964" s="44" t="s">
        <v>4782</v>
      </c>
      <c r="D1964" s="44" t="s">
        <v>147</v>
      </c>
      <c r="E1964" s="44" t="s">
        <v>51</v>
      </c>
      <c r="G1964" s="44">
        <v>1037</v>
      </c>
      <c r="H1964" s="44" t="s">
        <v>2537</v>
      </c>
    </row>
    <row r="1965" spans="1:8">
      <c r="A1965" s="31">
        <f>COUNTIF('BOM Atual ZPCS12'!F:F,B1965)+(1-(SUMIF(Invoice!$A:$A,$B1965,Invoice!$B:$B)/100000000000))</f>
        <v>1</v>
      </c>
      <c r="B1965" s="52" t="s">
        <v>4783</v>
      </c>
      <c r="C1965" s="44" t="s">
        <v>4784</v>
      </c>
      <c r="D1965" s="44" t="s">
        <v>147</v>
      </c>
      <c r="E1965" s="44" t="s">
        <v>51</v>
      </c>
      <c r="G1965" s="44">
        <v>1037</v>
      </c>
      <c r="H1965" s="44" t="s">
        <v>2537</v>
      </c>
    </row>
    <row r="1966" spans="1:8">
      <c r="A1966" s="31">
        <f>COUNTIF('BOM Atual ZPCS12'!F:F,B1966)+(1-(SUMIF(Invoice!$A:$A,$B1966,Invoice!$B:$B)/100000000000))</f>
        <v>1</v>
      </c>
      <c r="B1966" s="52" t="s">
        <v>4785</v>
      </c>
      <c r="C1966" s="44" t="s">
        <v>4786</v>
      </c>
      <c r="D1966" s="44" t="s">
        <v>147</v>
      </c>
      <c r="E1966" s="44" t="s">
        <v>51</v>
      </c>
      <c r="G1966" s="44">
        <v>1037</v>
      </c>
      <c r="H1966" s="44" t="s">
        <v>2537</v>
      </c>
    </row>
    <row r="1967" spans="1:8">
      <c r="A1967" s="31">
        <f>COUNTIF('BOM Atual ZPCS12'!F:F,B1967)+(1-(SUMIF(Invoice!$A:$A,$B1967,Invoice!$B:$B)/100000000000))</f>
        <v>1</v>
      </c>
      <c r="B1967" s="52" t="s">
        <v>4787</v>
      </c>
      <c r="C1967" s="44" t="s">
        <v>4788</v>
      </c>
      <c r="D1967" s="44" t="s">
        <v>147</v>
      </c>
      <c r="E1967" s="44" t="s">
        <v>51</v>
      </c>
      <c r="G1967" s="44">
        <v>1039</v>
      </c>
      <c r="H1967" s="44" t="s">
        <v>2537</v>
      </c>
    </row>
    <row r="1968" spans="1:8">
      <c r="A1968" s="31">
        <f>COUNTIF('BOM Atual ZPCS12'!F:F,B1968)+(1-(SUMIF(Invoice!$A:$A,$B1968,Invoice!$B:$B)/100000000000))</f>
        <v>1</v>
      </c>
      <c r="B1968" s="52" t="s">
        <v>4789</v>
      </c>
      <c r="C1968" s="44" t="s">
        <v>4790</v>
      </c>
      <c r="D1968" s="44" t="s">
        <v>147</v>
      </c>
      <c r="E1968" s="44" t="s">
        <v>51</v>
      </c>
      <c r="G1968" s="44">
        <v>1039</v>
      </c>
      <c r="H1968" s="44" t="s">
        <v>2537</v>
      </c>
    </row>
    <row r="1969" spans="1:8">
      <c r="A1969" s="31">
        <f>COUNTIF('BOM Atual ZPCS12'!F:F,B1969)+(1-(SUMIF(Invoice!$A:$A,$B1969,Invoice!$B:$B)/100000000000))</f>
        <v>1</v>
      </c>
      <c r="B1969" s="52" t="s">
        <v>4791</v>
      </c>
      <c r="C1969" s="44" t="s">
        <v>4792</v>
      </c>
      <c r="D1969" s="44" t="s">
        <v>147</v>
      </c>
      <c r="E1969" s="44" t="s">
        <v>51</v>
      </c>
      <c r="G1969" s="44">
        <v>1039</v>
      </c>
      <c r="H1969" s="44" t="s">
        <v>2537</v>
      </c>
    </row>
    <row r="1970" spans="1:8">
      <c r="A1970" s="31">
        <f>COUNTIF('BOM Atual ZPCS12'!F:F,B1970)+(1-(SUMIF(Invoice!$A:$A,$B1970,Invoice!$B:$B)/100000000000))</f>
        <v>1</v>
      </c>
      <c r="B1970" s="52" t="s">
        <v>4793</v>
      </c>
      <c r="C1970" s="44" t="s">
        <v>4794</v>
      </c>
      <c r="D1970" s="44" t="s">
        <v>147</v>
      </c>
      <c r="E1970" s="44" t="s">
        <v>51</v>
      </c>
      <c r="G1970" s="44">
        <v>1039</v>
      </c>
      <c r="H1970" s="44" t="s">
        <v>2537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1527</v>
      </c>
      <c r="C1971" s="44" t="s">
        <v>1528</v>
      </c>
      <c r="D1971" s="44" t="s">
        <v>147</v>
      </c>
      <c r="E1971" s="44" t="s">
        <v>51</v>
      </c>
      <c r="G1971" s="44">
        <v>1041</v>
      </c>
      <c r="H1971" s="44" t="s">
        <v>2537</v>
      </c>
    </row>
    <row r="1972" spans="1:8">
      <c r="A1972" s="31">
        <f>COUNTIF('BOM Atual ZPCS12'!F:F,B1972)+(1-(SUMIF(Invoice!$A:$A,$B1972,Invoice!$B:$B)/100000000000))</f>
        <v>1</v>
      </c>
      <c r="B1972" s="52" t="s">
        <v>4795</v>
      </c>
      <c r="C1972" s="44" t="s">
        <v>4796</v>
      </c>
      <c r="D1972" s="44" t="s">
        <v>147</v>
      </c>
      <c r="E1972" s="44" t="s">
        <v>51</v>
      </c>
      <c r="G1972" s="44">
        <v>1041</v>
      </c>
      <c r="H1972" s="44" t="s">
        <v>2537</v>
      </c>
    </row>
    <row r="1973" spans="1:8">
      <c r="A1973" s="31">
        <f>COUNTIF('BOM Atual ZPCS12'!F:F,B1973)+(1-(SUMIF(Invoice!$A:$A,$B1973,Invoice!$B:$B)/100000000000))</f>
        <v>2</v>
      </c>
      <c r="B1973" s="52" t="s">
        <v>1530</v>
      </c>
      <c r="C1973" s="44" t="s">
        <v>4796</v>
      </c>
      <c r="D1973" s="44" t="s">
        <v>147</v>
      </c>
      <c r="E1973" s="44" t="s">
        <v>51</v>
      </c>
      <c r="G1973" s="44">
        <v>1041</v>
      </c>
      <c r="H1973" s="44" t="s">
        <v>2537</v>
      </c>
    </row>
    <row r="1974" spans="1:8">
      <c r="A1974" s="31">
        <f>COUNTIF('BOM Atual ZPCS12'!F:F,B1974)+(1-(SUMIF(Invoice!$A:$A,$B1974,Invoice!$B:$B)/100000000000))</f>
        <v>2</v>
      </c>
      <c r="B1974" s="52" t="s">
        <v>1532</v>
      </c>
      <c r="C1974" s="44" t="s">
        <v>4796</v>
      </c>
      <c r="D1974" s="44" t="s">
        <v>147</v>
      </c>
      <c r="E1974" s="44" t="s">
        <v>51</v>
      </c>
      <c r="G1974" s="44">
        <v>1041</v>
      </c>
      <c r="H1974" s="44" t="s">
        <v>2537</v>
      </c>
    </row>
    <row r="1975" spans="1:8">
      <c r="A1975" s="31">
        <f>COUNTIF('BOM Atual ZPCS12'!F:F,B1975)+(1-(SUMIF(Invoice!$A:$A,$B1975,Invoice!$B:$B)/100000000000))</f>
        <v>2</v>
      </c>
      <c r="B1975" s="52" t="s">
        <v>1533</v>
      </c>
      <c r="C1975" s="44" t="s">
        <v>1534</v>
      </c>
      <c r="D1975" s="44" t="s">
        <v>147</v>
      </c>
      <c r="E1975" s="44" t="s">
        <v>51</v>
      </c>
      <c r="G1975" s="44">
        <v>1041</v>
      </c>
      <c r="H1975" s="44" t="s">
        <v>2537</v>
      </c>
    </row>
    <row r="1976" spans="1:8">
      <c r="A1976" s="31">
        <f>COUNTIF('BOM Atual ZPCS12'!F:F,B1976)+(1-(SUMIF(Invoice!$A:$A,$B1976,Invoice!$B:$B)/100000000000))</f>
        <v>1</v>
      </c>
      <c r="B1976" s="52" t="s">
        <v>4797</v>
      </c>
      <c r="C1976" s="44" t="s">
        <v>4798</v>
      </c>
      <c r="D1976" s="44" t="s">
        <v>147</v>
      </c>
      <c r="E1976" s="44" t="s">
        <v>51</v>
      </c>
      <c r="G1976" s="44">
        <v>1041</v>
      </c>
      <c r="H1976" s="44" t="s">
        <v>2537</v>
      </c>
    </row>
    <row r="1977" spans="1:8">
      <c r="A1977" s="31">
        <f>COUNTIF('BOM Atual ZPCS12'!F:F,B1977)+(1-(SUMIF(Invoice!$A:$A,$B1977,Invoice!$B:$B)/100000000000))</f>
        <v>2</v>
      </c>
      <c r="B1977" s="52" t="s">
        <v>1535</v>
      </c>
      <c r="C1977" s="44" t="s">
        <v>4796</v>
      </c>
      <c r="D1977" s="44" t="s">
        <v>147</v>
      </c>
      <c r="E1977" s="44" t="s">
        <v>51</v>
      </c>
      <c r="G1977" s="44">
        <v>1041</v>
      </c>
      <c r="H1977" s="44" t="s">
        <v>2537</v>
      </c>
    </row>
    <row r="1978" spans="1:8">
      <c r="A1978" s="31">
        <f>COUNTIF('BOM Atual ZPCS12'!F:F,B1978)+(1-(SUMIF(Invoice!$A:$A,$B1978,Invoice!$B:$B)/100000000000))</f>
        <v>1</v>
      </c>
      <c r="B1978" s="52" t="s">
        <v>4799</v>
      </c>
      <c r="C1978" s="44" t="s">
        <v>4800</v>
      </c>
      <c r="D1978" s="44" t="s">
        <v>147</v>
      </c>
      <c r="E1978" s="44" t="s">
        <v>51</v>
      </c>
      <c r="G1978" s="44">
        <v>1042</v>
      </c>
      <c r="H1978" s="44" t="s">
        <v>2537</v>
      </c>
    </row>
    <row r="1979" spans="1:8">
      <c r="A1979" s="31">
        <f>COUNTIF('BOM Atual ZPCS12'!F:F,B1979)+(1-(SUMIF(Invoice!$A:$A,$B1979,Invoice!$B:$B)/100000000000))</f>
        <v>1</v>
      </c>
      <c r="B1979" s="52" t="s">
        <v>4801</v>
      </c>
      <c r="C1979" s="44" t="s">
        <v>4802</v>
      </c>
      <c r="D1979" s="44" t="s">
        <v>147</v>
      </c>
      <c r="E1979" s="44" t="s">
        <v>51</v>
      </c>
      <c r="G1979" s="44">
        <v>1042</v>
      </c>
      <c r="H1979" s="44" t="s">
        <v>2537</v>
      </c>
    </row>
    <row r="1980" spans="1:8">
      <c r="A1980" s="31">
        <f>COUNTIF('BOM Atual ZPCS12'!F:F,B1980)+(1-(SUMIF(Invoice!$A:$A,$B1980,Invoice!$B:$B)/100000000000))</f>
        <v>1</v>
      </c>
      <c r="B1980" s="52" t="s">
        <v>4803</v>
      </c>
      <c r="C1980" s="44" t="s">
        <v>4804</v>
      </c>
      <c r="D1980" s="44" t="s">
        <v>147</v>
      </c>
      <c r="E1980" s="44" t="s">
        <v>51</v>
      </c>
      <c r="G1980" s="44">
        <v>1042</v>
      </c>
      <c r="H1980" s="44" t="s">
        <v>2537</v>
      </c>
    </row>
    <row r="1981" spans="1:8">
      <c r="A1981" s="31">
        <f>COUNTIF('BOM Atual ZPCS12'!F:F,B1981)+(1-(SUMIF(Invoice!$A:$A,$B1981,Invoice!$B:$B)/100000000000))</f>
        <v>1</v>
      </c>
      <c r="B1981" s="52" t="s">
        <v>4805</v>
      </c>
      <c r="C1981" s="44" t="s">
        <v>4806</v>
      </c>
      <c r="D1981" s="44" t="s">
        <v>147</v>
      </c>
      <c r="E1981" s="44" t="s">
        <v>51</v>
      </c>
      <c r="G1981" s="44">
        <v>1042</v>
      </c>
      <c r="H1981" s="44" t="s">
        <v>2537</v>
      </c>
    </row>
    <row r="1982" spans="1:8">
      <c r="A1982" s="31">
        <f>COUNTIF('BOM Atual ZPCS12'!F:F,B1982)+(1-(SUMIF(Invoice!$A:$A,$B1982,Invoice!$B:$B)/100000000000))</f>
        <v>1</v>
      </c>
      <c r="B1982" s="52" t="s">
        <v>4807</v>
      </c>
      <c r="C1982" s="44" t="s">
        <v>4808</v>
      </c>
      <c r="D1982" s="44" t="s">
        <v>147</v>
      </c>
      <c r="E1982" s="44" t="s">
        <v>51</v>
      </c>
      <c r="G1982" s="44">
        <v>1042</v>
      </c>
      <c r="H1982" s="44" t="s">
        <v>2537</v>
      </c>
    </row>
    <row r="1983" spans="1:8">
      <c r="A1983" s="31">
        <f>COUNTIF('BOM Atual ZPCS12'!F:F,B1983)+(1-(SUMIF(Invoice!$A:$A,$B1983,Invoice!$B:$B)/100000000000))</f>
        <v>1</v>
      </c>
      <c r="B1983" s="52" t="s">
        <v>4809</v>
      </c>
      <c r="C1983" s="44" t="s">
        <v>4810</v>
      </c>
      <c r="D1983" s="44" t="s">
        <v>147</v>
      </c>
      <c r="E1983" s="44" t="s">
        <v>51</v>
      </c>
      <c r="G1983" s="44">
        <v>1043</v>
      </c>
      <c r="H1983" s="44" t="s">
        <v>2537</v>
      </c>
    </row>
    <row r="1984" spans="1:8">
      <c r="A1984" s="31">
        <f>COUNTIF('BOM Atual ZPCS12'!F:F,B1984)+(1-(SUMIF(Invoice!$A:$A,$B1984,Invoice!$B:$B)/100000000000))</f>
        <v>2</v>
      </c>
      <c r="B1984" s="52" t="s">
        <v>1629</v>
      </c>
      <c r="C1984" s="44" t="s">
        <v>1630</v>
      </c>
      <c r="D1984" s="44" t="s">
        <v>147</v>
      </c>
      <c r="E1984" s="44" t="s">
        <v>51</v>
      </c>
      <c r="G1984" s="44">
        <v>1043</v>
      </c>
      <c r="H1984" s="44" t="s">
        <v>2537</v>
      </c>
    </row>
    <row r="1985" spans="1:8">
      <c r="A1985" s="31">
        <f>COUNTIF('BOM Atual ZPCS12'!F:F,B1985)+(1-(SUMIF(Invoice!$A:$A,$B1985,Invoice!$B:$B)/100000000000))</f>
        <v>2</v>
      </c>
      <c r="B1985" s="52" t="s">
        <v>1632</v>
      </c>
      <c r="C1985" s="44" t="s">
        <v>1633</v>
      </c>
      <c r="D1985" s="44" t="s">
        <v>147</v>
      </c>
      <c r="E1985" s="44" t="s">
        <v>51</v>
      </c>
      <c r="G1985" s="44">
        <v>1043</v>
      </c>
      <c r="H1985" s="44" t="s">
        <v>2537</v>
      </c>
    </row>
    <row r="1986" spans="1:8">
      <c r="A1986" s="31">
        <f>COUNTIF('BOM Atual ZPCS12'!F:F,B1986)+(1-(SUMIF(Invoice!$A:$A,$B1986,Invoice!$B:$B)/100000000000))</f>
        <v>2</v>
      </c>
      <c r="B1986" s="52" t="s">
        <v>1634</v>
      </c>
      <c r="C1986" s="44" t="s">
        <v>1635</v>
      </c>
      <c r="D1986" s="44" t="s">
        <v>147</v>
      </c>
      <c r="E1986" s="44" t="s">
        <v>51</v>
      </c>
      <c r="G1986" s="44">
        <v>1043</v>
      </c>
      <c r="H1986" s="44" t="s">
        <v>2537</v>
      </c>
    </row>
    <row r="1987" spans="1:8">
      <c r="A1987" s="31">
        <f>COUNTIF('BOM Atual ZPCS12'!F:F,B1987)+(1-(SUMIF(Invoice!$A:$A,$B1987,Invoice!$B:$B)/100000000000))</f>
        <v>2</v>
      </c>
      <c r="B1987" s="52" t="s">
        <v>1636</v>
      </c>
      <c r="C1987" s="44" t="s">
        <v>4811</v>
      </c>
      <c r="D1987" s="44" t="s">
        <v>147</v>
      </c>
      <c r="E1987" s="44" t="s">
        <v>51</v>
      </c>
      <c r="G1987" s="44">
        <v>1043</v>
      </c>
      <c r="H1987" s="44" t="s">
        <v>2537</v>
      </c>
    </row>
    <row r="1988" spans="1:8">
      <c r="A1988" s="31">
        <f>COUNTIF('BOM Atual ZPCS12'!F:F,B1988)+(1-(SUMIF(Invoice!$A:$A,$B1988,Invoice!$B:$B)/100000000000))</f>
        <v>1.9999999000000002</v>
      </c>
      <c r="B1988" s="52" t="s">
        <v>1638</v>
      </c>
      <c r="C1988" s="44" t="s">
        <v>4812</v>
      </c>
      <c r="D1988" s="44" t="s">
        <v>147</v>
      </c>
      <c r="E1988" s="44" t="s">
        <v>51</v>
      </c>
      <c r="G1988" s="44">
        <v>1043</v>
      </c>
      <c r="H1988" s="44" t="s">
        <v>2537</v>
      </c>
    </row>
    <row r="1989" spans="1:8">
      <c r="A1989" s="31">
        <f>COUNTIF('BOM Atual ZPCS12'!F:F,B1989)+(1-(SUMIF(Invoice!$A:$A,$B1989,Invoice!$B:$B)/100000000000))</f>
        <v>1</v>
      </c>
      <c r="B1989" s="52" t="s">
        <v>4813</v>
      </c>
      <c r="C1989" s="44" t="s">
        <v>4814</v>
      </c>
      <c r="D1989" s="44" t="s">
        <v>147</v>
      </c>
      <c r="E1989" s="44" t="s">
        <v>51</v>
      </c>
      <c r="G1989" s="44">
        <v>1044</v>
      </c>
      <c r="H1989" s="44" t="s">
        <v>2537</v>
      </c>
    </row>
    <row r="1990" spans="1:8">
      <c r="A1990" s="31">
        <f>COUNTIF('BOM Atual ZPCS12'!F:F,B1990)+(1-(SUMIF(Invoice!$A:$A,$B1990,Invoice!$B:$B)/100000000000))</f>
        <v>1</v>
      </c>
      <c r="B1990" s="52" t="s">
        <v>4815</v>
      </c>
      <c r="C1990" s="44" t="s">
        <v>4816</v>
      </c>
      <c r="D1990" s="44" t="s">
        <v>147</v>
      </c>
      <c r="E1990" s="44" t="s">
        <v>51</v>
      </c>
      <c r="G1990" s="44">
        <v>1044</v>
      </c>
      <c r="H1990" s="44" t="s">
        <v>2537</v>
      </c>
    </row>
    <row r="1991" spans="1:8">
      <c r="A1991" s="31">
        <f>COUNTIF('BOM Atual ZPCS12'!F:F,B1991)+(1-(SUMIF(Invoice!$A:$A,$B1991,Invoice!$B:$B)/100000000000))</f>
        <v>1</v>
      </c>
      <c r="B1991" s="52" t="s">
        <v>4817</v>
      </c>
      <c r="C1991" s="44" t="s">
        <v>4818</v>
      </c>
      <c r="D1991" s="44" t="s">
        <v>147</v>
      </c>
      <c r="E1991" s="44" t="s">
        <v>51</v>
      </c>
      <c r="G1991" s="44">
        <v>1044</v>
      </c>
      <c r="H1991" s="44" t="s">
        <v>2537</v>
      </c>
    </row>
    <row r="1992" spans="1:8">
      <c r="A1992" s="31">
        <f>COUNTIF('BOM Atual ZPCS12'!F:F,B1992)+(1-(SUMIF(Invoice!$A:$A,$B1992,Invoice!$B:$B)/100000000000))</f>
        <v>1</v>
      </c>
      <c r="B1992" s="52" t="s">
        <v>4819</v>
      </c>
      <c r="C1992" s="44" t="s">
        <v>4820</v>
      </c>
      <c r="D1992" s="44" t="s">
        <v>147</v>
      </c>
      <c r="E1992" s="44" t="s">
        <v>51</v>
      </c>
      <c r="G1992" s="44">
        <v>1044</v>
      </c>
      <c r="H1992" s="44" t="s">
        <v>2537</v>
      </c>
    </row>
    <row r="1993" spans="1:8">
      <c r="A1993" s="31">
        <f>COUNTIF('BOM Atual ZPCS12'!F:F,B1993)+(1-(SUMIF(Invoice!$A:$A,$B1993,Invoice!$B:$B)/100000000000))</f>
        <v>1</v>
      </c>
      <c r="B1993" s="52" t="s">
        <v>4821</v>
      </c>
      <c r="C1993" s="44" t="s">
        <v>4822</v>
      </c>
      <c r="D1993" s="44" t="s">
        <v>147</v>
      </c>
      <c r="E1993" s="44" t="s">
        <v>51</v>
      </c>
      <c r="G1993" s="44">
        <v>1044</v>
      </c>
      <c r="H1993" s="44" t="s">
        <v>2537</v>
      </c>
    </row>
    <row r="1994" spans="1:8">
      <c r="A1994" s="31">
        <f>COUNTIF('BOM Atual ZPCS12'!F:F,B1994)+(1-(SUMIF(Invoice!$A:$A,$B1994,Invoice!$B:$B)/100000000000))</f>
        <v>1</v>
      </c>
      <c r="B1994" s="52" t="s">
        <v>4823</v>
      </c>
      <c r="C1994" s="44" t="s">
        <v>4824</v>
      </c>
      <c r="D1994" s="44" t="s">
        <v>147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4825</v>
      </c>
      <c r="C1995" s="44" t="s">
        <v>4826</v>
      </c>
      <c r="D1995" s="44" t="s">
        <v>147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4827</v>
      </c>
      <c r="C1996" s="44" t="s">
        <v>4828</v>
      </c>
      <c r="D1996" s="44" t="s">
        <v>147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4829</v>
      </c>
      <c r="C1997" s="44" t="s">
        <v>4830</v>
      </c>
      <c r="D1997" s="44" t="s">
        <v>147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</v>
      </c>
      <c r="B1998" s="52" t="s">
        <v>4831</v>
      </c>
      <c r="C1998" s="44" t="s">
        <v>4832</v>
      </c>
      <c r="D1998" s="44" t="s">
        <v>147</v>
      </c>
      <c r="E1998" s="44" t="s">
        <v>51</v>
      </c>
      <c r="G1998" s="44">
        <v>1047</v>
      </c>
      <c r="H1998" s="44" t="s">
        <v>2537</v>
      </c>
    </row>
    <row r="1999" spans="1:8">
      <c r="A1999" s="31">
        <f>COUNTIF('BOM Atual ZPCS12'!F:F,B1999)+(1-(SUMIF(Invoice!$A:$A,$B1999,Invoice!$B:$B)/100000000000))</f>
        <v>1</v>
      </c>
      <c r="B1999" s="52" t="s">
        <v>4833</v>
      </c>
      <c r="C1999" s="44" t="s">
        <v>4834</v>
      </c>
      <c r="D1999" s="44" t="s">
        <v>147</v>
      </c>
      <c r="E1999" s="44" t="s">
        <v>51</v>
      </c>
      <c r="G1999" s="44">
        <v>1047</v>
      </c>
      <c r="H1999" s="44" t="s">
        <v>2537</v>
      </c>
    </row>
    <row r="2000" spans="1:8">
      <c r="A2000" s="31">
        <f>COUNTIF('BOM Atual ZPCS12'!F:F,B2000)+(1-(SUMIF(Invoice!$A:$A,$B2000,Invoice!$B:$B)/100000000000))</f>
        <v>1</v>
      </c>
      <c r="B2000" s="52" t="s">
        <v>4835</v>
      </c>
      <c r="C2000" s="44" t="s">
        <v>4836</v>
      </c>
      <c r="D2000" s="44" t="s">
        <v>147</v>
      </c>
      <c r="E2000" s="44" t="s">
        <v>51</v>
      </c>
      <c r="G2000" s="44">
        <v>1047</v>
      </c>
      <c r="H2000" s="44" t="s">
        <v>2537</v>
      </c>
    </row>
    <row r="2001" spans="1:8">
      <c r="A2001" s="31">
        <f>COUNTIF('BOM Atual ZPCS12'!F:F,B2001)+(1-(SUMIF(Invoice!$A:$A,$B2001,Invoice!$B:$B)/100000000000))</f>
        <v>1</v>
      </c>
      <c r="B2001" s="52" t="s">
        <v>4837</v>
      </c>
      <c r="C2001" s="44" t="s">
        <v>4838</v>
      </c>
      <c r="D2001" s="44" t="s">
        <v>147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4839</v>
      </c>
      <c r="C2002" s="44" t="s">
        <v>4840</v>
      </c>
      <c r="D2002" s="44" t="s">
        <v>147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4841</v>
      </c>
      <c r="C2003" s="44" t="s">
        <v>4842</v>
      </c>
      <c r="D2003" s="44" t="s">
        <v>147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4843</v>
      </c>
      <c r="C2004" s="44" t="s">
        <v>4844</v>
      </c>
      <c r="D2004" s="44" t="s">
        <v>147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4845</v>
      </c>
      <c r="C2005" s="44" t="s">
        <v>4846</v>
      </c>
      <c r="D2005" s="44" t="s">
        <v>147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4847</v>
      </c>
      <c r="C2006" s="44" t="s">
        <v>4846</v>
      </c>
      <c r="D2006" s="44" t="s">
        <v>147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4848</v>
      </c>
      <c r="C2007" s="44" t="s">
        <v>4849</v>
      </c>
      <c r="D2007" s="44" t="s">
        <v>147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4850</v>
      </c>
      <c r="C2008" s="44" t="s">
        <v>4851</v>
      </c>
      <c r="D2008" s="44" t="s">
        <v>147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4852</v>
      </c>
      <c r="C2009" s="44" t="s">
        <v>4853</v>
      </c>
      <c r="D2009" s="44" t="s">
        <v>147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4854</v>
      </c>
      <c r="C2010" s="44" t="s">
        <v>4855</v>
      </c>
      <c r="D2010" s="44" t="s">
        <v>147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</v>
      </c>
      <c r="B2011" s="52" t="s">
        <v>4856</v>
      </c>
      <c r="C2011" s="44" t="s">
        <v>4857</v>
      </c>
      <c r="D2011" s="44" t="s">
        <v>147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1</v>
      </c>
      <c r="B2012" s="52" t="s">
        <v>4858</v>
      </c>
      <c r="C2012" s="44" t="s">
        <v>4859</v>
      </c>
      <c r="D2012" s="44" t="s">
        <v>147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1</v>
      </c>
      <c r="B2013" s="52" t="s">
        <v>4860</v>
      </c>
      <c r="C2013" s="44" t="s">
        <v>4861</v>
      </c>
      <c r="D2013" s="44" t="s">
        <v>147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</v>
      </c>
      <c r="B2014" s="52" t="s">
        <v>4862</v>
      </c>
      <c r="C2014" s="44" t="s">
        <v>4863</v>
      </c>
      <c r="D2014" s="44" t="s">
        <v>147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1</v>
      </c>
      <c r="B2015" s="52" t="s">
        <v>4864</v>
      </c>
      <c r="C2015" s="44" t="s">
        <v>4865</v>
      </c>
      <c r="D2015" s="44" t="s">
        <v>147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</v>
      </c>
      <c r="B2016" s="52" t="s">
        <v>4866</v>
      </c>
      <c r="C2016" s="44" t="s">
        <v>4867</v>
      </c>
      <c r="D2016" s="44" t="s">
        <v>147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</v>
      </c>
      <c r="B2017" s="52" t="s">
        <v>4868</v>
      </c>
      <c r="C2017" s="44" t="s">
        <v>4869</v>
      </c>
      <c r="D2017" s="44" t="s">
        <v>147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1</v>
      </c>
      <c r="B2018" s="52" t="s">
        <v>4870</v>
      </c>
      <c r="C2018" s="44" t="s">
        <v>4871</v>
      </c>
      <c r="D2018" s="44" t="s">
        <v>147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1</v>
      </c>
      <c r="B2019" s="52" t="s">
        <v>4872</v>
      </c>
      <c r="C2019" s="44" t="s">
        <v>4873</v>
      </c>
      <c r="D2019" s="44" t="s">
        <v>147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</v>
      </c>
      <c r="B2020" s="52" t="s">
        <v>4874</v>
      </c>
      <c r="C2020" s="44" t="s">
        <v>4875</v>
      </c>
      <c r="D2020" s="44" t="s">
        <v>147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</v>
      </c>
      <c r="B2021" s="52" t="s">
        <v>4876</v>
      </c>
      <c r="C2021" s="44" t="s">
        <v>4877</v>
      </c>
      <c r="D2021" s="44" t="s">
        <v>147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1</v>
      </c>
      <c r="B2022" s="52" t="s">
        <v>4878</v>
      </c>
      <c r="C2022" s="44" t="s">
        <v>4879</v>
      </c>
      <c r="D2022" s="44" t="s">
        <v>147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2072</v>
      </c>
      <c r="C2023" s="44" t="s">
        <v>2073</v>
      </c>
      <c r="D2023" s="44" t="s">
        <v>147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1.9999999659999999</v>
      </c>
      <c r="B2024" s="52" t="s">
        <v>2075</v>
      </c>
      <c r="C2024" s="44" t="s">
        <v>2076</v>
      </c>
      <c r="D2024" s="44" t="s">
        <v>147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2077</v>
      </c>
      <c r="C2025" s="44" t="s">
        <v>2078</v>
      </c>
      <c r="D2025" s="44" t="s">
        <v>147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1</v>
      </c>
      <c r="B2026" s="52" t="s">
        <v>4880</v>
      </c>
      <c r="C2026" s="44" t="s">
        <v>4881</v>
      </c>
      <c r="D2026" s="44" t="s">
        <v>147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</v>
      </c>
      <c r="B2027" s="52" t="s">
        <v>4882</v>
      </c>
      <c r="C2027" s="44" t="s">
        <v>4883</v>
      </c>
      <c r="D2027" s="44" t="s">
        <v>147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</v>
      </c>
      <c r="B2028" s="52" t="s">
        <v>4884</v>
      </c>
      <c r="C2028" s="44" t="s">
        <v>4885</v>
      </c>
      <c r="D2028" s="44" t="s">
        <v>147</v>
      </c>
      <c r="E2028" s="44" t="s">
        <v>51</v>
      </c>
      <c r="G2028" s="44">
        <v>1061</v>
      </c>
      <c r="H2028" s="44" t="s">
        <v>2537</v>
      </c>
    </row>
    <row r="2029" spans="1:8">
      <c r="A2029" s="31">
        <f>COUNTIF('BOM Atual ZPCS12'!F:F,B2029)+(1-(SUMIF(Invoice!$A:$A,$B2029,Invoice!$B:$B)/100000000000))</f>
        <v>1</v>
      </c>
      <c r="B2029" s="52" t="s">
        <v>4886</v>
      </c>
      <c r="C2029" s="44" t="s">
        <v>4887</v>
      </c>
      <c r="D2029" s="44" t="s">
        <v>147</v>
      </c>
      <c r="E2029" s="44" t="s">
        <v>51</v>
      </c>
      <c r="G2029" s="44">
        <v>1061</v>
      </c>
      <c r="H2029" s="44" t="s">
        <v>2537</v>
      </c>
    </row>
    <row r="2030" spans="1:8">
      <c r="A2030" s="31">
        <f>COUNTIF('BOM Atual ZPCS12'!F:F,B2030)+(1-(SUMIF(Invoice!$A:$A,$B2030,Invoice!$B:$B)/100000000000))</f>
        <v>1</v>
      </c>
      <c r="B2030" s="52" t="s">
        <v>4888</v>
      </c>
      <c r="C2030" s="44" t="s">
        <v>4889</v>
      </c>
      <c r="D2030" s="44" t="s">
        <v>147</v>
      </c>
      <c r="E2030" s="44" t="s">
        <v>51</v>
      </c>
      <c r="G2030" s="44">
        <v>1061</v>
      </c>
      <c r="H2030" s="44" t="s">
        <v>2537</v>
      </c>
    </row>
    <row r="2031" spans="1:8">
      <c r="A2031" s="31">
        <f>COUNTIF('BOM Atual ZPCS12'!F:F,B2031)+(1-(SUMIF(Invoice!$A:$A,$B2031,Invoice!$B:$B)/100000000000))</f>
        <v>1</v>
      </c>
      <c r="B2031" s="52" t="s">
        <v>4890</v>
      </c>
      <c r="C2031" s="44" t="s">
        <v>4891</v>
      </c>
      <c r="D2031" s="44" t="s">
        <v>147</v>
      </c>
      <c r="E2031" s="44" t="s">
        <v>51</v>
      </c>
      <c r="G2031" s="44">
        <v>1062</v>
      </c>
      <c r="H2031" s="44" t="s">
        <v>2537</v>
      </c>
    </row>
    <row r="2032" spans="1:8">
      <c r="A2032" s="31">
        <f>COUNTIF('BOM Atual ZPCS12'!F:F,B2032)+(1-(SUMIF(Invoice!$A:$A,$B2032,Invoice!$B:$B)/100000000000))</f>
        <v>1</v>
      </c>
      <c r="B2032" s="52" t="s">
        <v>4892</v>
      </c>
      <c r="C2032" s="44" t="s">
        <v>4893</v>
      </c>
      <c r="D2032" s="44" t="s">
        <v>147</v>
      </c>
      <c r="E2032" s="44" t="s">
        <v>51</v>
      </c>
      <c r="G2032" s="44">
        <v>1062</v>
      </c>
      <c r="H2032" s="44" t="s">
        <v>2537</v>
      </c>
    </row>
    <row r="2033" spans="1:8">
      <c r="A2033" s="31">
        <f>COUNTIF('BOM Atual ZPCS12'!F:F,B2033)+(1-(SUMIF(Invoice!$A:$A,$B2033,Invoice!$B:$B)/100000000000))</f>
        <v>1</v>
      </c>
      <c r="B2033" s="52" t="s">
        <v>4894</v>
      </c>
      <c r="C2033" s="44" t="s">
        <v>4895</v>
      </c>
      <c r="D2033" s="44" t="s">
        <v>147</v>
      </c>
      <c r="E2033" s="44" t="s">
        <v>51</v>
      </c>
      <c r="G2033" s="44">
        <v>1062</v>
      </c>
      <c r="H2033" s="44" t="s">
        <v>2537</v>
      </c>
    </row>
    <row r="2034" spans="1:8">
      <c r="A2034" s="31">
        <f>COUNTIF('BOM Atual ZPCS12'!F:F,B2034)+(1-(SUMIF(Invoice!$A:$A,$B2034,Invoice!$B:$B)/100000000000))</f>
        <v>1</v>
      </c>
      <c r="B2034" s="52" t="s">
        <v>4896</v>
      </c>
      <c r="C2034" s="44" t="s">
        <v>4897</v>
      </c>
      <c r="D2034" s="44" t="s">
        <v>147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</v>
      </c>
      <c r="B2035" s="52" t="s">
        <v>4898</v>
      </c>
      <c r="C2035" s="44" t="s">
        <v>4897</v>
      </c>
      <c r="D2035" s="44" t="s">
        <v>147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1</v>
      </c>
      <c r="B2036" s="52" t="s">
        <v>4899</v>
      </c>
      <c r="C2036" s="44" t="s">
        <v>4900</v>
      </c>
      <c r="D2036" s="44" t="s">
        <v>147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1.9999999900000001</v>
      </c>
      <c r="B2037" s="52" t="s">
        <v>464</v>
      </c>
      <c r="C2037" s="44" t="s">
        <v>4901</v>
      </c>
      <c r="D2037" s="44" t="s">
        <v>147</v>
      </c>
      <c r="E2037" s="44" t="s">
        <v>51</v>
      </c>
      <c r="G2037" s="44">
        <v>1064</v>
      </c>
      <c r="H2037" s="44" t="s">
        <v>2537</v>
      </c>
    </row>
    <row r="2038" spans="1:8">
      <c r="A2038" s="31">
        <f>COUNTIF('BOM Atual ZPCS12'!F:F,B2038)+(1-(SUMIF(Invoice!$A:$A,$B2038,Invoice!$B:$B)/100000000000))</f>
        <v>2</v>
      </c>
      <c r="B2038" s="52" t="s">
        <v>467</v>
      </c>
      <c r="C2038" s="44" t="s">
        <v>468</v>
      </c>
      <c r="D2038" s="44" t="s">
        <v>147</v>
      </c>
      <c r="E2038" s="44" t="s">
        <v>51</v>
      </c>
      <c r="G2038" s="44">
        <v>1064</v>
      </c>
      <c r="H2038" s="44" t="s">
        <v>2537</v>
      </c>
    </row>
    <row r="2039" spans="1:8">
      <c r="A2039" s="31">
        <f>COUNTIF('BOM Atual ZPCS12'!F:F,B2039)+(1-(SUMIF(Invoice!$A:$A,$B2039,Invoice!$B:$B)/100000000000))</f>
        <v>1</v>
      </c>
      <c r="B2039" s="52" t="s">
        <v>4902</v>
      </c>
      <c r="C2039" s="44" t="s">
        <v>4903</v>
      </c>
      <c r="D2039" s="44" t="s">
        <v>147</v>
      </c>
      <c r="E2039" s="44" t="s">
        <v>51</v>
      </c>
      <c r="G2039" s="44">
        <v>1064</v>
      </c>
      <c r="H2039" s="44" t="s">
        <v>2537</v>
      </c>
    </row>
    <row r="2040" spans="1:8">
      <c r="A2040" s="31">
        <f>COUNTIF('BOM Atual ZPCS12'!F:F,B2040)+(1-(SUMIF(Invoice!$A:$A,$B2040,Invoice!$B:$B)/100000000000))</f>
        <v>2</v>
      </c>
      <c r="B2040" s="52" t="s">
        <v>469</v>
      </c>
      <c r="C2040" s="44" t="s">
        <v>470</v>
      </c>
      <c r="D2040" s="44" t="s">
        <v>147</v>
      </c>
      <c r="E2040" s="44" t="s">
        <v>51</v>
      </c>
      <c r="G2040" s="44">
        <v>1064</v>
      </c>
      <c r="H2040" s="44" t="s">
        <v>2537</v>
      </c>
    </row>
    <row r="2041" spans="1:8">
      <c r="A2041" s="31">
        <f>COUNTIF('BOM Atual ZPCS12'!F:F,B2041)+(1-(SUMIF(Invoice!$A:$A,$B2041,Invoice!$B:$B)/100000000000))</f>
        <v>1</v>
      </c>
      <c r="B2041" s="52" t="s">
        <v>4904</v>
      </c>
      <c r="C2041" s="44" t="s">
        <v>4905</v>
      </c>
      <c r="D2041" s="44" t="s">
        <v>147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1</v>
      </c>
      <c r="B2042" s="52" t="s">
        <v>4906</v>
      </c>
      <c r="C2042" s="44" t="s">
        <v>4907</v>
      </c>
      <c r="D2042" s="44" t="s">
        <v>147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1</v>
      </c>
      <c r="B2043" s="52" t="s">
        <v>4908</v>
      </c>
      <c r="C2043" s="44" t="s">
        <v>4909</v>
      </c>
      <c r="D2043" s="44" t="s">
        <v>147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1</v>
      </c>
      <c r="B2044" s="52" t="s">
        <v>4910</v>
      </c>
      <c r="C2044" s="44" t="s">
        <v>4911</v>
      </c>
      <c r="D2044" s="44" t="s">
        <v>147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1</v>
      </c>
      <c r="B2045" s="52" t="s">
        <v>4912</v>
      </c>
      <c r="C2045" s="44" t="s">
        <v>4913</v>
      </c>
      <c r="D2045" s="44" t="s">
        <v>147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</v>
      </c>
      <c r="B2046" s="52" t="s">
        <v>4914</v>
      </c>
      <c r="C2046" s="44" t="s">
        <v>4915</v>
      </c>
      <c r="D2046" s="44" t="s">
        <v>147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1</v>
      </c>
      <c r="B2047" s="52" t="s">
        <v>4916</v>
      </c>
      <c r="C2047" s="44" t="s">
        <v>4917</v>
      </c>
      <c r="D2047" s="44" t="s">
        <v>147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1</v>
      </c>
      <c r="B2048" s="52" t="s">
        <v>4918</v>
      </c>
      <c r="C2048" s="44" t="s">
        <v>4919</v>
      </c>
      <c r="D2048" s="44" t="s">
        <v>147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</v>
      </c>
      <c r="B2049" s="52" t="s">
        <v>4920</v>
      </c>
      <c r="C2049" s="44" t="s">
        <v>4921</v>
      </c>
      <c r="D2049" s="44" t="s">
        <v>147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1</v>
      </c>
      <c r="B2050" s="52" t="s">
        <v>4922</v>
      </c>
      <c r="C2050" s="44" t="s">
        <v>4919</v>
      </c>
      <c r="D2050" s="44" t="s">
        <v>147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1</v>
      </c>
      <c r="B2051" s="52" t="s">
        <v>4923</v>
      </c>
      <c r="C2051" s="44" t="s">
        <v>4924</v>
      </c>
      <c r="D2051" s="44" t="s">
        <v>147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1</v>
      </c>
      <c r="B2052" s="52" t="s">
        <v>4925</v>
      </c>
      <c r="C2052" s="44" t="s">
        <v>4926</v>
      </c>
      <c r="D2052" s="44" t="s">
        <v>147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</v>
      </c>
      <c r="B2053" s="52" t="s">
        <v>4927</v>
      </c>
      <c r="C2053" s="44" t="s">
        <v>4928</v>
      </c>
      <c r="D2053" s="44" t="s">
        <v>147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1</v>
      </c>
      <c r="B2054" s="52" t="s">
        <v>4929</v>
      </c>
      <c r="C2054" s="44" t="s">
        <v>4930</v>
      </c>
      <c r="D2054" s="44" t="s">
        <v>147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1</v>
      </c>
      <c r="B2055" s="52" t="s">
        <v>4931</v>
      </c>
      <c r="C2055" s="44" t="s">
        <v>4932</v>
      </c>
      <c r="D2055" s="44" t="s">
        <v>147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1</v>
      </c>
      <c r="B2056" s="52" t="s">
        <v>4933</v>
      </c>
      <c r="C2056" s="44" t="s">
        <v>4934</v>
      </c>
      <c r="D2056" s="44" t="s">
        <v>147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</v>
      </c>
      <c r="B2057" s="52" t="s">
        <v>4935</v>
      </c>
      <c r="C2057" s="44" t="s">
        <v>4936</v>
      </c>
      <c r="D2057" s="44" t="s">
        <v>147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1</v>
      </c>
      <c r="B2058" s="52" t="s">
        <v>4937</v>
      </c>
      <c r="C2058" s="44" t="s">
        <v>4934</v>
      </c>
      <c r="D2058" s="44" t="s">
        <v>147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1</v>
      </c>
      <c r="B2059" s="52" t="s">
        <v>4938</v>
      </c>
      <c r="C2059" s="44" t="s">
        <v>4939</v>
      </c>
      <c r="D2059" s="44" t="s">
        <v>147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1</v>
      </c>
      <c r="B2060" s="52" t="s">
        <v>4940</v>
      </c>
      <c r="C2060" s="44" t="s">
        <v>4941</v>
      </c>
      <c r="D2060" s="44" t="s">
        <v>147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</v>
      </c>
      <c r="B2061" s="52" t="s">
        <v>4942</v>
      </c>
      <c r="C2061" s="44" t="s">
        <v>4943</v>
      </c>
      <c r="D2061" s="44" t="s">
        <v>147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1</v>
      </c>
      <c r="B2062" s="52" t="s">
        <v>4944</v>
      </c>
      <c r="C2062" s="44" t="s">
        <v>4945</v>
      </c>
      <c r="D2062" s="44" t="s">
        <v>147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1</v>
      </c>
      <c r="B2063" s="52" t="s">
        <v>4946</v>
      </c>
      <c r="C2063" s="44" t="s">
        <v>4947</v>
      </c>
      <c r="D2063" s="44" t="s">
        <v>147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1</v>
      </c>
      <c r="B2064" s="52" t="s">
        <v>4948</v>
      </c>
      <c r="C2064" s="44" t="s">
        <v>4949</v>
      </c>
      <c r="D2064" s="44" t="s">
        <v>147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</v>
      </c>
      <c r="B2065" s="52" t="s">
        <v>4950</v>
      </c>
      <c r="C2065" s="44" t="s">
        <v>4949</v>
      </c>
      <c r="D2065" s="44" t="s">
        <v>147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1</v>
      </c>
      <c r="B2066" s="52" t="s">
        <v>4951</v>
      </c>
      <c r="C2066" s="44" t="s">
        <v>4952</v>
      </c>
      <c r="D2066" s="44" t="s">
        <v>147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1</v>
      </c>
      <c r="B2067" s="52" t="s">
        <v>4953</v>
      </c>
      <c r="C2067" s="44" t="s">
        <v>4954</v>
      </c>
      <c r="D2067" s="44" t="s">
        <v>147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</v>
      </c>
      <c r="B2068" s="52" t="s">
        <v>4955</v>
      </c>
      <c r="C2068" s="44" t="s">
        <v>4956</v>
      </c>
      <c r="D2068" s="44" t="s">
        <v>147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1</v>
      </c>
      <c r="B2069" s="52" t="s">
        <v>4957</v>
      </c>
      <c r="C2069" s="44" t="s">
        <v>4958</v>
      </c>
      <c r="D2069" s="44" t="s">
        <v>147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1</v>
      </c>
      <c r="B2070" s="52" t="s">
        <v>4959</v>
      </c>
      <c r="C2070" s="44" t="s">
        <v>4960</v>
      </c>
      <c r="D2070" s="44" t="s">
        <v>147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1</v>
      </c>
      <c r="B2071" s="52" t="s">
        <v>4961</v>
      </c>
      <c r="C2071" s="44" t="s">
        <v>4962</v>
      </c>
      <c r="D2071" s="44" t="s">
        <v>147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840</v>
      </c>
      <c r="C2072" s="44" t="s">
        <v>841</v>
      </c>
      <c r="D2072" s="44" t="s">
        <v>147</v>
      </c>
      <c r="E2072" s="44" t="s">
        <v>51</v>
      </c>
      <c r="G2072" s="44">
        <v>1076</v>
      </c>
      <c r="H2072" s="44" t="s">
        <v>2537</v>
      </c>
    </row>
    <row r="2073" spans="1:8">
      <c r="A2073" s="31">
        <f>COUNTIF('BOM Atual ZPCS12'!F:F,B2073)+(1-(SUMIF(Invoice!$A:$A,$B2073,Invoice!$B:$B)/100000000000))</f>
        <v>2</v>
      </c>
      <c r="B2073" s="52" t="s">
        <v>843</v>
      </c>
      <c r="C2073" s="44" t="s">
        <v>844</v>
      </c>
      <c r="D2073" s="44" t="s">
        <v>147</v>
      </c>
      <c r="E2073" s="44" t="s">
        <v>51</v>
      </c>
      <c r="G2073" s="44">
        <v>1076</v>
      </c>
      <c r="H2073" s="44" t="s">
        <v>2537</v>
      </c>
    </row>
    <row r="2074" spans="1:8">
      <c r="A2074" s="31">
        <f>COUNTIF('BOM Atual ZPCS12'!F:F,B2074)+(1-(SUMIF(Invoice!$A:$A,$B2074,Invoice!$B:$B)/100000000000))</f>
        <v>1</v>
      </c>
      <c r="B2074" s="52" t="s">
        <v>4963</v>
      </c>
      <c r="C2074" s="44" t="s">
        <v>4964</v>
      </c>
      <c r="D2074" s="44" t="s">
        <v>147</v>
      </c>
      <c r="E2074" s="44" t="s">
        <v>51</v>
      </c>
      <c r="G2074" s="44">
        <v>1076</v>
      </c>
      <c r="H2074" s="44" t="s">
        <v>2537</v>
      </c>
    </row>
    <row r="2075" spans="1:8">
      <c r="A2075" s="31">
        <f>COUNTIF('BOM Atual ZPCS12'!F:F,B2075)+(1-(SUMIF(Invoice!$A:$A,$B2075,Invoice!$B:$B)/100000000000))</f>
        <v>1.9999999000000002</v>
      </c>
      <c r="B2075" s="52" t="s">
        <v>845</v>
      </c>
      <c r="C2075" s="44" t="s">
        <v>846</v>
      </c>
      <c r="D2075" s="44" t="s">
        <v>147</v>
      </c>
      <c r="E2075" s="44" t="s">
        <v>51</v>
      </c>
      <c r="G2075" s="44">
        <v>1076</v>
      </c>
      <c r="H2075" s="44" t="s">
        <v>2537</v>
      </c>
    </row>
    <row r="2076" spans="1:8">
      <c r="A2076" s="31">
        <f>COUNTIF('BOM Atual ZPCS12'!F:F,B2076)+(1-(SUMIF(Invoice!$A:$A,$B2076,Invoice!$B:$B)/100000000000))</f>
        <v>1</v>
      </c>
      <c r="B2076" s="52" t="s">
        <v>4965</v>
      </c>
      <c r="C2076" s="44" t="s">
        <v>4966</v>
      </c>
      <c r="D2076" s="44" t="s">
        <v>147</v>
      </c>
      <c r="E2076" s="44" t="s">
        <v>51</v>
      </c>
      <c r="G2076" s="44">
        <v>1077</v>
      </c>
      <c r="H2076" s="44" t="s">
        <v>2537</v>
      </c>
    </row>
    <row r="2077" spans="1:8">
      <c r="A2077" s="31">
        <f>COUNTIF('BOM Atual ZPCS12'!F:F,B2077)+(1-(SUMIF(Invoice!$A:$A,$B2077,Invoice!$B:$B)/100000000000))</f>
        <v>1</v>
      </c>
      <c r="B2077" s="52" t="s">
        <v>4967</v>
      </c>
      <c r="C2077" s="44" t="s">
        <v>4968</v>
      </c>
      <c r="D2077" s="44" t="s">
        <v>147</v>
      </c>
      <c r="E2077" s="44" t="s">
        <v>51</v>
      </c>
      <c r="G2077" s="44">
        <v>1077</v>
      </c>
      <c r="H2077" s="44" t="s">
        <v>2537</v>
      </c>
    </row>
    <row r="2078" spans="1:8">
      <c r="A2078" s="31">
        <f>COUNTIF('BOM Atual ZPCS12'!F:F,B2078)+(1-(SUMIF(Invoice!$A:$A,$B2078,Invoice!$B:$B)/100000000000))</f>
        <v>1</v>
      </c>
      <c r="B2078" s="52" t="s">
        <v>4969</v>
      </c>
      <c r="C2078" s="44" t="s">
        <v>4970</v>
      </c>
      <c r="D2078" s="44" t="s">
        <v>147</v>
      </c>
      <c r="E2078" s="44" t="s">
        <v>51</v>
      </c>
      <c r="G2078" s="44">
        <v>1077</v>
      </c>
      <c r="H2078" s="44" t="s">
        <v>2537</v>
      </c>
    </row>
    <row r="2079" spans="1:8">
      <c r="A2079" s="31">
        <f>COUNTIF('BOM Atual ZPCS12'!F:F,B2079)+(1-(SUMIF(Invoice!$A:$A,$B2079,Invoice!$B:$B)/100000000000))</f>
        <v>1</v>
      </c>
      <c r="B2079" s="52" t="s">
        <v>4971</v>
      </c>
      <c r="C2079" s="44" t="s">
        <v>4972</v>
      </c>
      <c r="D2079" s="44" t="s">
        <v>147</v>
      </c>
      <c r="E2079" s="44" t="s">
        <v>51</v>
      </c>
      <c r="G2079" s="44">
        <v>1077</v>
      </c>
      <c r="H2079" s="44" t="s">
        <v>2537</v>
      </c>
    </row>
    <row r="2080" spans="1:8">
      <c r="A2080" s="31">
        <f>COUNTIF('BOM Atual ZPCS12'!F:F,B2080)+(1-(SUMIF(Invoice!$A:$A,$B2080,Invoice!$B:$B)/100000000000))</f>
        <v>1</v>
      </c>
      <c r="B2080" s="52" t="s">
        <v>4973</v>
      </c>
      <c r="C2080" s="44" t="s">
        <v>4974</v>
      </c>
      <c r="D2080" s="44" t="s">
        <v>147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</v>
      </c>
      <c r="B2081" s="52" t="s">
        <v>4975</v>
      </c>
      <c r="C2081" s="44" t="s">
        <v>4976</v>
      </c>
      <c r="D2081" s="44" t="s">
        <v>147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1</v>
      </c>
      <c r="B2082" s="52" t="s">
        <v>4977</v>
      </c>
      <c r="C2082" s="44" t="s">
        <v>4978</v>
      </c>
      <c r="D2082" s="44" t="s">
        <v>147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</v>
      </c>
      <c r="B2083" s="52" t="s">
        <v>4979</v>
      </c>
      <c r="C2083" s="44" t="s">
        <v>4980</v>
      </c>
      <c r="D2083" s="44" t="s">
        <v>147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1</v>
      </c>
      <c r="B2084" s="52" t="s">
        <v>4981</v>
      </c>
      <c r="C2084" s="44" t="s">
        <v>4982</v>
      </c>
      <c r="D2084" s="44" t="s">
        <v>147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1</v>
      </c>
      <c r="B2085" s="52" t="s">
        <v>4983</v>
      </c>
      <c r="C2085" s="44" t="s">
        <v>4984</v>
      </c>
      <c r="D2085" s="44" t="s">
        <v>147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1</v>
      </c>
      <c r="B2086" s="52" t="s">
        <v>4985</v>
      </c>
      <c r="C2086" s="44" t="s">
        <v>4986</v>
      </c>
      <c r="D2086" s="44" t="s">
        <v>147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1</v>
      </c>
      <c r="B2087" s="52" t="s">
        <v>4987</v>
      </c>
      <c r="C2087" s="44" t="s">
        <v>4988</v>
      </c>
      <c r="D2087" s="44" t="s">
        <v>147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</v>
      </c>
      <c r="B2088" s="52" t="s">
        <v>4989</v>
      </c>
      <c r="C2088" s="44" t="s">
        <v>4990</v>
      </c>
      <c r="D2088" s="44" t="s">
        <v>147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1</v>
      </c>
      <c r="B2089" s="52" t="s">
        <v>4991</v>
      </c>
      <c r="C2089" s="44" t="s">
        <v>4990</v>
      </c>
      <c r="D2089" s="44" t="s">
        <v>147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1</v>
      </c>
      <c r="B2090" s="52" t="s">
        <v>4992</v>
      </c>
      <c r="C2090" s="44" t="s">
        <v>4993</v>
      </c>
      <c r="D2090" s="44" t="s">
        <v>147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</v>
      </c>
      <c r="B2091" s="52" t="s">
        <v>4994</v>
      </c>
      <c r="C2091" s="44" t="s">
        <v>4995</v>
      </c>
      <c r="D2091" s="44" t="s">
        <v>147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1</v>
      </c>
      <c r="B2092" s="52" t="s">
        <v>4996</v>
      </c>
      <c r="C2092" s="44" t="s">
        <v>4997</v>
      </c>
      <c r="D2092" s="44" t="s">
        <v>147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1</v>
      </c>
      <c r="B2093" s="52" t="s">
        <v>4998</v>
      </c>
      <c r="C2093" s="44" t="s">
        <v>4995</v>
      </c>
      <c r="D2093" s="44" t="s">
        <v>147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1</v>
      </c>
      <c r="B2094" s="52" t="s">
        <v>4999</v>
      </c>
      <c r="C2094" s="44" t="s">
        <v>5000</v>
      </c>
      <c r="D2094" s="44" t="s">
        <v>147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960</v>
      </c>
      <c r="C2095" s="44" t="s">
        <v>5001</v>
      </c>
      <c r="D2095" s="44" t="s">
        <v>147</v>
      </c>
      <c r="E2095" s="44" t="s">
        <v>51</v>
      </c>
      <c r="G2095" s="44">
        <v>1082</v>
      </c>
      <c r="H2095" s="44" t="s">
        <v>2537</v>
      </c>
    </row>
    <row r="2096" spans="1:8">
      <c r="A2096" s="31">
        <f>COUNTIF('BOM Atual ZPCS12'!F:F,B2096)+(1-(SUMIF(Invoice!$A:$A,$B2096,Invoice!$B:$B)/100000000000))</f>
        <v>2</v>
      </c>
      <c r="B2096" s="52" t="s">
        <v>963</v>
      </c>
      <c r="C2096" s="44" t="s">
        <v>964</v>
      </c>
      <c r="D2096" s="44" t="s">
        <v>147</v>
      </c>
      <c r="E2096" s="44" t="s">
        <v>51</v>
      </c>
      <c r="G2096" s="44">
        <v>1082</v>
      </c>
      <c r="H2096" s="44" t="s">
        <v>2537</v>
      </c>
    </row>
    <row r="2097" spans="1:8">
      <c r="A2097" s="31">
        <f>COUNTIF('BOM Atual ZPCS12'!F:F,B2097)+(1-(SUMIF(Invoice!$A:$A,$B2097,Invoice!$B:$B)/100000000000))</f>
        <v>1</v>
      </c>
      <c r="B2097" s="52" t="s">
        <v>5002</v>
      </c>
      <c r="C2097" s="44" t="s">
        <v>5001</v>
      </c>
      <c r="D2097" s="44" t="s">
        <v>147</v>
      </c>
      <c r="E2097" s="44" t="s">
        <v>51</v>
      </c>
      <c r="G2097" s="44">
        <v>1082</v>
      </c>
      <c r="H2097" s="44" t="s">
        <v>2537</v>
      </c>
    </row>
    <row r="2098" spans="1:8">
      <c r="A2098" s="31">
        <f>COUNTIF('BOM Atual ZPCS12'!F:F,B2098)+(1-(SUMIF(Invoice!$A:$A,$B2098,Invoice!$B:$B)/100000000000))</f>
        <v>2</v>
      </c>
      <c r="B2098" s="52" t="s">
        <v>965</v>
      </c>
      <c r="C2098" s="44" t="s">
        <v>966</v>
      </c>
      <c r="D2098" s="44" t="s">
        <v>147</v>
      </c>
      <c r="E2098" s="44" t="s">
        <v>51</v>
      </c>
      <c r="G2098" s="44">
        <v>1082</v>
      </c>
      <c r="H2098" s="44" t="s">
        <v>2537</v>
      </c>
    </row>
    <row r="2099" spans="1:8">
      <c r="A2099" s="31">
        <f>COUNTIF('BOM Atual ZPCS12'!F:F,B2099)+(1-(SUMIF(Invoice!$A:$A,$B2099,Invoice!$B:$B)/100000000000))</f>
        <v>1</v>
      </c>
      <c r="B2099" s="52" t="s">
        <v>5003</v>
      </c>
      <c r="C2099" s="44" t="s">
        <v>5004</v>
      </c>
      <c r="D2099" s="44" t="s">
        <v>147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1</v>
      </c>
      <c r="B2100" s="52" t="s">
        <v>5005</v>
      </c>
      <c r="C2100" s="44" t="s">
        <v>5006</v>
      </c>
      <c r="D2100" s="44" t="s">
        <v>147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1</v>
      </c>
      <c r="B2101" s="52" t="s">
        <v>5007</v>
      </c>
      <c r="C2101" s="44" t="s">
        <v>5008</v>
      </c>
      <c r="D2101" s="44" t="s">
        <v>147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</v>
      </c>
      <c r="B2102" s="52" t="s">
        <v>5009</v>
      </c>
      <c r="C2102" s="44" t="s">
        <v>5010</v>
      </c>
      <c r="D2102" s="44" t="s">
        <v>147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1</v>
      </c>
      <c r="B2103" s="52" t="s">
        <v>5011</v>
      </c>
      <c r="C2103" s="44" t="s">
        <v>5012</v>
      </c>
      <c r="D2103" s="44" t="s">
        <v>147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</v>
      </c>
      <c r="B2104" s="52" t="s">
        <v>5013</v>
      </c>
      <c r="C2104" s="44" t="s">
        <v>5014</v>
      </c>
      <c r="D2104" s="44" t="s">
        <v>147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1</v>
      </c>
      <c r="B2105" s="52" t="s">
        <v>5015</v>
      </c>
      <c r="C2105" s="44" t="s">
        <v>5016</v>
      </c>
      <c r="D2105" s="44" t="s">
        <v>147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1</v>
      </c>
      <c r="B2106" s="52" t="s">
        <v>5017</v>
      </c>
      <c r="C2106" s="44" t="s">
        <v>5018</v>
      </c>
      <c r="D2106" s="44" t="s">
        <v>147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1</v>
      </c>
      <c r="B2107" s="52" t="s">
        <v>5019</v>
      </c>
      <c r="C2107" s="44" t="s">
        <v>5020</v>
      </c>
      <c r="D2107" s="44" t="s">
        <v>147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</v>
      </c>
      <c r="B2108" s="52" t="s">
        <v>5021</v>
      </c>
      <c r="C2108" s="44" t="s">
        <v>5022</v>
      </c>
      <c r="D2108" s="44" t="s">
        <v>147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1</v>
      </c>
      <c r="B2109" s="52" t="s">
        <v>5023</v>
      </c>
      <c r="C2109" s="44" t="s">
        <v>5020</v>
      </c>
      <c r="D2109" s="44" t="s">
        <v>147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1</v>
      </c>
      <c r="B2110" s="52" t="s">
        <v>5024</v>
      </c>
      <c r="C2110" s="44" t="s">
        <v>5025</v>
      </c>
      <c r="D2110" s="44" t="s">
        <v>147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1</v>
      </c>
      <c r="B2111" s="52" t="s">
        <v>5026</v>
      </c>
      <c r="C2111" s="44" t="s">
        <v>5027</v>
      </c>
      <c r="D2111" s="44" t="s">
        <v>147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1</v>
      </c>
      <c r="B2112" s="52" t="s">
        <v>5028</v>
      </c>
      <c r="C2112" s="44" t="s">
        <v>5029</v>
      </c>
      <c r="D2112" s="44" t="s">
        <v>147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1</v>
      </c>
      <c r="B2113" s="52" t="s">
        <v>5030</v>
      </c>
      <c r="C2113" s="44" t="s">
        <v>5031</v>
      </c>
      <c r="D2113" s="44" t="s">
        <v>147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</v>
      </c>
      <c r="B2114" s="52" t="s">
        <v>5032</v>
      </c>
      <c r="C2114" s="44" t="s">
        <v>5033</v>
      </c>
      <c r="D2114" s="44" t="s">
        <v>147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1</v>
      </c>
      <c r="B2115" s="52" t="s">
        <v>5034</v>
      </c>
      <c r="C2115" s="44" t="s">
        <v>5035</v>
      </c>
      <c r="D2115" s="44" t="s">
        <v>147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1</v>
      </c>
      <c r="B2116" s="52" t="s">
        <v>5036</v>
      </c>
      <c r="C2116" s="44" t="s">
        <v>5037</v>
      </c>
      <c r="D2116" s="44" t="s">
        <v>147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1</v>
      </c>
      <c r="B2117" s="52" t="s">
        <v>5038</v>
      </c>
      <c r="C2117" s="44" t="s">
        <v>5039</v>
      </c>
      <c r="D2117" s="44" t="s">
        <v>147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</v>
      </c>
      <c r="B2118" s="52" t="s">
        <v>5040</v>
      </c>
      <c r="C2118" s="44" t="s">
        <v>5041</v>
      </c>
      <c r="D2118" s="44" t="s">
        <v>147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1</v>
      </c>
      <c r="B2119" s="52" t="s">
        <v>5042</v>
      </c>
      <c r="C2119" s="44" t="s">
        <v>5043</v>
      </c>
      <c r="D2119" s="44" t="s">
        <v>147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</v>
      </c>
      <c r="B2120" s="52" t="s">
        <v>5044</v>
      </c>
      <c r="C2120" s="44" t="s">
        <v>5045</v>
      </c>
      <c r="D2120" s="44" t="s">
        <v>147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1</v>
      </c>
      <c r="B2121" s="52" t="s">
        <v>5046</v>
      </c>
      <c r="C2121" s="44" t="s">
        <v>5043</v>
      </c>
      <c r="D2121" s="44" t="s">
        <v>147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1</v>
      </c>
      <c r="B2122" s="52" t="s">
        <v>5047</v>
      </c>
      <c r="C2122" s="44" t="s">
        <v>5048</v>
      </c>
      <c r="D2122" s="44" t="s">
        <v>147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</v>
      </c>
      <c r="B2123" s="52" t="s">
        <v>5049</v>
      </c>
      <c r="C2123" s="44" t="s">
        <v>5050</v>
      </c>
      <c r="D2123" s="44" t="s">
        <v>147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1</v>
      </c>
      <c r="B2124" s="52" t="s">
        <v>5051</v>
      </c>
      <c r="C2124" s="44" t="s">
        <v>5052</v>
      </c>
      <c r="D2124" s="44" t="s">
        <v>147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1</v>
      </c>
      <c r="B2125" s="52" t="s">
        <v>5053</v>
      </c>
      <c r="C2125" s="44" t="s">
        <v>5054</v>
      </c>
      <c r="D2125" s="44" t="s">
        <v>147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1</v>
      </c>
      <c r="B2126" s="52" t="s">
        <v>5055</v>
      </c>
      <c r="C2126" s="44" t="s">
        <v>5056</v>
      </c>
      <c r="D2126" s="44" t="s">
        <v>147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</v>
      </c>
      <c r="B2127" s="52" t="s">
        <v>5057</v>
      </c>
      <c r="C2127" s="44" t="s">
        <v>5058</v>
      </c>
      <c r="D2127" s="44" t="s">
        <v>147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1</v>
      </c>
      <c r="B2128" s="52" t="s">
        <v>5059</v>
      </c>
      <c r="C2128" s="44" t="s">
        <v>5058</v>
      </c>
      <c r="D2128" s="44" t="s">
        <v>147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1</v>
      </c>
      <c r="B2129" s="52" t="s">
        <v>5060</v>
      </c>
      <c r="C2129" s="44" t="s">
        <v>5061</v>
      </c>
      <c r="D2129" s="44" t="s">
        <v>147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1</v>
      </c>
      <c r="B2130" s="52" t="s">
        <v>5062</v>
      </c>
      <c r="C2130" s="44" t="s">
        <v>5063</v>
      </c>
      <c r="D2130" s="44" t="s">
        <v>147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1</v>
      </c>
      <c r="B2131" s="52" t="s">
        <v>5064</v>
      </c>
      <c r="C2131" s="44" t="s">
        <v>5065</v>
      </c>
      <c r="D2131" s="44" t="s">
        <v>147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1</v>
      </c>
      <c r="B2132" s="52" t="s">
        <v>5066</v>
      </c>
      <c r="C2132" s="44" t="s">
        <v>5067</v>
      </c>
      <c r="D2132" s="44" t="s">
        <v>147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</v>
      </c>
      <c r="B2133" s="52" t="s">
        <v>5068</v>
      </c>
      <c r="C2133" s="44" t="s">
        <v>5069</v>
      </c>
      <c r="D2133" s="44" t="s">
        <v>147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1</v>
      </c>
      <c r="B2134" s="52" t="s">
        <v>5070</v>
      </c>
      <c r="C2134" s="44" t="s">
        <v>5071</v>
      </c>
      <c r="D2134" s="44" t="s">
        <v>147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</v>
      </c>
      <c r="B2135" s="52" t="s">
        <v>5072</v>
      </c>
      <c r="C2135" s="44" t="s">
        <v>5073</v>
      </c>
      <c r="D2135" s="44" t="s">
        <v>147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1</v>
      </c>
      <c r="B2136" s="52" t="s">
        <v>5074</v>
      </c>
      <c r="C2136" s="44" t="s">
        <v>5071</v>
      </c>
      <c r="D2136" s="44" t="s">
        <v>147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1</v>
      </c>
      <c r="B2137" s="52" t="s">
        <v>5075</v>
      </c>
      <c r="C2137" s="44" t="s">
        <v>5076</v>
      </c>
      <c r="D2137" s="44" t="s">
        <v>147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1</v>
      </c>
      <c r="B2138" s="52" t="s">
        <v>5077</v>
      </c>
      <c r="C2138" s="44" t="s">
        <v>5078</v>
      </c>
      <c r="D2138" s="44" t="s">
        <v>147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</v>
      </c>
      <c r="B2139" s="52" t="s">
        <v>5079</v>
      </c>
      <c r="C2139" s="44" t="s">
        <v>5080</v>
      </c>
      <c r="D2139" s="44" t="s">
        <v>147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1</v>
      </c>
      <c r="B2140" s="52" t="s">
        <v>5081</v>
      </c>
      <c r="C2140" s="44" t="s">
        <v>5082</v>
      </c>
      <c r="D2140" s="44" t="s">
        <v>147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1</v>
      </c>
      <c r="B2141" s="52" t="s">
        <v>5083</v>
      </c>
      <c r="C2141" s="44" t="s">
        <v>5084</v>
      </c>
      <c r="D2141" s="44" t="s">
        <v>147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1</v>
      </c>
      <c r="B2142" s="52" t="s">
        <v>5085</v>
      </c>
      <c r="C2142" s="44" t="s">
        <v>5086</v>
      </c>
      <c r="D2142" s="44" t="s">
        <v>147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</v>
      </c>
      <c r="B2143" s="52" t="s">
        <v>5087</v>
      </c>
      <c r="C2143" s="44" t="s">
        <v>5088</v>
      </c>
      <c r="D2143" s="44" t="s">
        <v>147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1</v>
      </c>
      <c r="B2144" s="52" t="s">
        <v>5089</v>
      </c>
      <c r="C2144" s="44" t="s">
        <v>5086</v>
      </c>
      <c r="D2144" s="44" t="s">
        <v>147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1</v>
      </c>
      <c r="B2145" s="52" t="s">
        <v>5090</v>
      </c>
      <c r="C2145" s="44" t="s">
        <v>5091</v>
      </c>
      <c r="D2145" s="44" t="s">
        <v>147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1</v>
      </c>
      <c r="B2146" s="52" t="s">
        <v>5092</v>
      </c>
      <c r="C2146" s="44" t="s">
        <v>5093</v>
      </c>
      <c r="D2146" s="44" t="s">
        <v>147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1</v>
      </c>
      <c r="B2147" s="52" t="s">
        <v>5094</v>
      </c>
      <c r="C2147" s="44" t="s">
        <v>5091</v>
      </c>
      <c r="D2147" s="44" t="s">
        <v>147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</v>
      </c>
      <c r="B2148" s="52" t="s">
        <v>5095</v>
      </c>
      <c r="C2148" s="44" t="s">
        <v>5096</v>
      </c>
      <c r="D2148" s="44" t="s">
        <v>147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1</v>
      </c>
      <c r="B2149" s="52" t="s">
        <v>5097</v>
      </c>
      <c r="C2149" s="44" t="s">
        <v>5098</v>
      </c>
      <c r="D2149" s="44" t="s">
        <v>147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</v>
      </c>
      <c r="B2150" s="52" t="s">
        <v>5099</v>
      </c>
      <c r="C2150" s="44" t="s">
        <v>5100</v>
      </c>
      <c r="D2150" s="44" t="s">
        <v>147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1</v>
      </c>
      <c r="B2151" s="52" t="s">
        <v>5101</v>
      </c>
      <c r="C2151" s="44" t="s">
        <v>5102</v>
      </c>
      <c r="D2151" s="44" t="s">
        <v>147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1</v>
      </c>
      <c r="B2152" s="52" t="s">
        <v>5103</v>
      </c>
      <c r="C2152" s="44" t="s">
        <v>5104</v>
      </c>
      <c r="D2152" s="44" t="s">
        <v>147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</v>
      </c>
      <c r="B2153" s="52" t="s">
        <v>5105</v>
      </c>
      <c r="C2153" s="44" t="s">
        <v>5104</v>
      </c>
      <c r="D2153" s="44" t="s">
        <v>147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1</v>
      </c>
      <c r="B2154" s="52" t="s">
        <v>5106</v>
      </c>
      <c r="C2154" s="44" t="s">
        <v>5104</v>
      </c>
      <c r="D2154" s="44" t="s">
        <v>147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1</v>
      </c>
      <c r="B2155" s="52" t="s">
        <v>5107</v>
      </c>
      <c r="C2155" s="44" t="s">
        <v>5108</v>
      </c>
      <c r="D2155" s="44" t="s">
        <v>147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</v>
      </c>
      <c r="B2156" s="52" t="s">
        <v>5109</v>
      </c>
      <c r="C2156" s="44" t="s">
        <v>5110</v>
      </c>
      <c r="D2156" s="44" t="s">
        <v>147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1</v>
      </c>
      <c r="B2157" s="52" t="s">
        <v>5111</v>
      </c>
      <c r="C2157" s="44" t="s">
        <v>5112</v>
      </c>
      <c r="D2157" s="44" t="s">
        <v>147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1</v>
      </c>
      <c r="B2158" s="52" t="s">
        <v>5113</v>
      </c>
      <c r="C2158" s="44" t="s">
        <v>5110</v>
      </c>
      <c r="D2158" s="44" t="s">
        <v>147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1</v>
      </c>
      <c r="B2159" s="52" t="s">
        <v>5114</v>
      </c>
      <c r="C2159" s="44" t="s">
        <v>5115</v>
      </c>
      <c r="D2159" s="44" t="s">
        <v>147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1.9999999000000002</v>
      </c>
      <c r="B2160" s="52" t="s">
        <v>1114</v>
      </c>
      <c r="C2160" s="44" t="s">
        <v>5116</v>
      </c>
      <c r="D2160" s="44" t="s">
        <v>147</v>
      </c>
      <c r="E2160" s="44" t="s">
        <v>51</v>
      </c>
      <c r="G2160" s="44">
        <v>1101</v>
      </c>
      <c r="H2160" s="44" t="s">
        <v>2537</v>
      </c>
    </row>
    <row r="2161" spans="1:8">
      <c r="A2161" s="31">
        <f>COUNTIF('BOM Atual ZPCS12'!F:F,B2161)+(1-(SUMIF(Invoice!$A:$A,$B2161,Invoice!$B:$B)/100000000000))</f>
        <v>2</v>
      </c>
      <c r="B2161" s="52" t="s">
        <v>1117</v>
      </c>
      <c r="C2161" s="44" t="s">
        <v>5116</v>
      </c>
      <c r="D2161" s="44" t="s">
        <v>147</v>
      </c>
      <c r="E2161" s="44" t="s">
        <v>51</v>
      </c>
      <c r="G2161" s="44">
        <v>1101</v>
      </c>
      <c r="H2161" s="44" t="s">
        <v>2537</v>
      </c>
    </row>
    <row r="2162" spans="1:8">
      <c r="A2162" s="31">
        <f>COUNTIF('BOM Atual ZPCS12'!F:F,B2162)+(1-(SUMIF(Invoice!$A:$A,$B2162,Invoice!$B:$B)/100000000000))</f>
        <v>1</v>
      </c>
      <c r="B2162" s="52" t="s">
        <v>5117</v>
      </c>
      <c r="C2162" s="44" t="s">
        <v>5116</v>
      </c>
      <c r="D2162" s="44" t="s">
        <v>147</v>
      </c>
      <c r="E2162" s="44" t="s">
        <v>51</v>
      </c>
      <c r="G2162" s="44">
        <v>1101</v>
      </c>
      <c r="H2162" s="44" t="s">
        <v>2537</v>
      </c>
    </row>
    <row r="2163" spans="1:8">
      <c r="A2163" s="31">
        <f>COUNTIF('BOM Atual ZPCS12'!F:F,B2163)+(1-(SUMIF(Invoice!$A:$A,$B2163,Invoice!$B:$B)/100000000000))</f>
        <v>1</v>
      </c>
      <c r="B2163" s="52" t="s">
        <v>5118</v>
      </c>
      <c r="C2163" s="44" t="s">
        <v>5119</v>
      </c>
      <c r="D2163" s="44" t="s">
        <v>147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</v>
      </c>
      <c r="B2164" s="52" t="s">
        <v>5120</v>
      </c>
      <c r="C2164" s="44" t="s">
        <v>5121</v>
      </c>
      <c r="D2164" s="44" t="s">
        <v>147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1</v>
      </c>
      <c r="B2165" s="52" t="s">
        <v>5122</v>
      </c>
      <c r="C2165" s="44" t="s">
        <v>5123</v>
      </c>
      <c r="D2165" s="44" t="s">
        <v>147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1</v>
      </c>
      <c r="B2166" s="52" t="s">
        <v>5124</v>
      </c>
      <c r="C2166" s="44" t="s">
        <v>5125</v>
      </c>
      <c r="D2166" s="44" t="s">
        <v>147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1</v>
      </c>
      <c r="B2167" s="52" t="s">
        <v>5126</v>
      </c>
      <c r="C2167" s="44" t="s">
        <v>5127</v>
      </c>
      <c r="D2167" s="44" t="s">
        <v>147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</v>
      </c>
      <c r="B2168" s="52" t="s">
        <v>5128</v>
      </c>
      <c r="C2168" s="44" t="s">
        <v>5129</v>
      </c>
      <c r="D2168" s="44" t="s">
        <v>147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1</v>
      </c>
      <c r="B2169" s="52" t="s">
        <v>5130</v>
      </c>
      <c r="C2169" s="44" t="s">
        <v>5131</v>
      </c>
      <c r="D2169" s="44" t="s">
        <v>147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1</v>
      </c>
      <c r="B2170" s="52" t="s">
        <v>5132</v>
      </c>
      <c r="C2170" s="44" t="s">
        <v>5133</v>
      </c>
      <c r="D2170" s="44" t="s">
        <v>147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1</v>
      </c>
      <c r="B2171" s="52" t="s">
        <v>5134</v>
      </c>
      <c r="C2171" s="44" t="s">
        <v>5135</v>
      </c>
      <c r="D2171" s="44" t="s">
        <v>147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1</v>
      </c>
      <c r="B2172" s="52" t="s">
        <v>5136</v>
      </c>
      <c r="C2172" s="44" t="s">
        <v>5137</v>
      </c>
      <c r="D2172" s="44" t="s">
        <v>147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1</v>
      </c>
      <c r="B2173" s="52" t="s">
        <v>5138</v>
      </c>
      <c r="C2173" s="44" t="s">
        <v>5139</v>
      </c>
      <c r="D2173" s="44" t="s">
        <v>147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1</v>
      </c>
      <c r="B2174" s="52" t="s">
        <v>5140</v>
      </c>
      <c r="C2174" s="44" t="s">
        <v>5141</v>
      </c>
      <c r="D2174" s="44" t="s">
        <v>147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</v>
      </c>
      <c r="B2175" s="52" t="s">
        <v>5142</v>
      </c>
      <c r="C2175" s="44" t="s">
        <v>5143</v>
      </c>
      <c r="D2175" s="44" t="s">
        <v>147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1</v>
      </c>
      <c r="B2176" s="52" t="s">
        <v>5144</v>
      </c>
      <c r="C2176" s="44" t="s">
        <v>5145</v>
      </c>
      <c r="D2176" s="44" t="s">
        <v>147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1</v>
      </c>
      <c r="B2177" s="52" t="s">
        <v>5146</v>
      </c>
      <c r="C2177" s="44" t="s">
        <v>5145</v>
      </c>
      <c r="D2177" s="44" t="s">
        <v>147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</v>
      </c>
      <c r="B2178" s="52" t="s">
        <v>5147</v>
      </c>
      <c r="C2178" s="44" t="s">
        <v>5148</v>
      </c>
      <c r="D2178" s="44" t="s">
        <v>147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1</v>
      </c>
      <c r="B2179" s="52" t="s">
        <v>5149</v>
      </c>
      <c r="C2179" s="44" t="s">
        <v>5150</v>
      </c>
      <c r="D2179" s="44" t="s">
        <v>147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1</v>
      </c>
      <c r="B2180" s="52" t="s">
        <v>5151</v>
      </c>
      <c r="C2180" s="44" t="s">
        <v>5150</v>
      </c>
      <c r="D2180" s="44" t="s">
        <v>147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1</v>
      </c>
      <c r="B2181" s="52" t="s">
        <v>5152</v>
      </c>
      <c r="C2181" s="44" t="s">
        <v>5153</v>
      </c>
      <c r="D2181" s="44" t="s">
        <v>147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</v>
      </c>
      <c r="B2182" s="52" t="s">
        <v>5154</v>
      </c>
      <c r="C2182" s="44" t="s">
        <v>5150</v>
      </c>
      <c r="D2182" s="44" t="s">
        <v>147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1</v>
      </c>
      <c r="B2183" s="52" t="s">
        <v>5155</v>
      </c>
      <c r="C2183" s="44" t="s">
        <v>5156</v>
      </c>
      <c r="D2183" s="44" t="s">
        <v>147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1</v>
      </c>
      <c r="B2184" s="52" t="s">
        <v>5157</v>
      </c>
      <c r="C2184" s="44" t="s">
        <v>5158</v>
      </c>
      <c r="D2184" s="44" t="s">
        <v>147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1</v>
      </c>
      <c r="B2185" s="52" t="s">
        <v>5159</v>
      </c>
      <c r="C2185" s="44" t="s">
        <v>5160</v>
      </c>
      <c r="D2185" s="44" t="s">
        <v>147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1</v>
      </c>
      <c r="B2186" s="52" t="s">
        <v>5161</v>
      </c>
      <c r="C2186" s="44" t="s">
        <v>5162</v>
      </c>
      <c r="D2186" s="44" t="s">
        <v>147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1</v>
      </c>
      <c r="B2187" s="52" t="s">
        <v>5163</v>
      </c>
      <c r="C2187" s="44" t="s">
        <v>5164</v>
      </c>
      <c r="D2187" s="44" t="s">
        <v>147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</v>
      </c>
      <c r="B2188" s="52" t="s">
        <v>5165</v>
      </c>
      <c r="C2188" s="44" t="s">
        <v>5166</v>
      </c>
      <c r="D2188" s="44" t="s">
        <v>147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1</v>
      </c>
      <c r="B2189" s="52" t="s">
        <v>5167</v>
      </c>
      <c r="C2189" s="44" t="s">
        <v>5168</v>
      </c>
      <c r="D2189" s="44" t="s">
        <v>147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1</v>
      </c>
      <c r="B2190" s="52" t="s">
        <v>5169</v>
      </c>
      <c r="C2190" s="44" t="s">
        <v>5170</v>
      </c>
      <c r="D2190" s="44" t="s">
        <v>147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1</v>
      </c>
      <c r="B2191" s="52" t="s">
        <v>5171</v>
      </c>
      <c r="C2191" s="44" t="s">
        <v>5172</v>
      </c>
      <c r="D2191" s="44" t="s">
        <v>147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1</v>
      </c>
      <c r="B2192" s="52" t="s">
        <v>5173</v>
      </c>
      <c r="C2192" s="44" t="s">
        <v>5174</v>
      </c>
      <c r="D2192" s="44" t="s">
        <v>147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</v>
      </c>
      <c r="B2193" s="52" t="s">
        <v>5175</v>
      </c>
      <c r="C2193" s="44" t="s">
        <v>5176</v>
      </c>
      <c r="D2193" s="44" t="s">
        <v>147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1</v>
      </c>
      <c r="B2194" s="52" t="s">
        <v>5177</v>
      </c>
      <c r="C2194" s="44" t="s">
        <v>5178</v>
      </c>
      <c r="D2194" s="44" t="s">
        <v>147</v>
      </c>
      <c r="E2194" s="44" t="s">
        <v>51</v>
      </c>
      <c r="G2194" s="44">
        <v>1110</v>
      </c>
      <c r="H2194" s="44" t="s">
        <v>2537</v>
      </c>
    </row>
    <row r="2195" spans="1:8">
      <c r="A2195" s="31">
        <f>COUNTIF('BOM Atual ZPCS12'!F:F,B2195)+(1-(SUMIF(Invoice!$A:$A,$B2195,Invoice!$B:$B)/100000000000))</f>
        <v>1</v>
      </c>
      <c r="B2195" s="52" t="s">
        <v>5179</v>
      </c>
      <c r="C2195" s="44" t="s">
        <v>5178</v>
      </c>
      <c r="D2195" s="44" t="s">
        <v>147</v>
      </c>
      <c r="E2195" s="44" t="s">
        <v>51</v>
      </c>
      <c r="G2195" s="44">
        <v>1110</v>
      </c>
      <c r="H2195" s="44" t="s">
        <v>2537</v>
      </c>
    </row>
    <row r="2196" spans="1:8">
      <c r="A2196" s="31">
        <f>COUNTIF('BOM Atual ZPCS12'!F:F,B2196)+(1-(SUMIF(Invoice!$A:$A,$B2196,Invoice!$B:$B)/100000000000))</f>
        <v>1</v>
      </c>
      <c r="B2196" s="52" t="s">
        <v>5180</v>
      </c>
      <c r="C2196" s="44" t="s">
        <v>5178</v>
      </c>
      <c r="D2196" s="44" t="s">
        <v>147</v>
      </c>
      <c r="E2196" s="44" t="s">
        <v>51</v>
      </c>
      <c r="G2196" s="44">
        <v>1110</v>
      </c>
      <c r="H2196" s="44" t="s">
        <v>2537</v>
      </c>
    </row>
    <row r="2197" spans="1:8">
      <c r="A2197" s="31">
        <f>COUNTIF('BOM Atual ZPCS12'!F:F,B2197)+(1-(SUMIF(Invoice!$A:$A,$B2197,Invoice!$B:$B)/100000000000))</f>
        <v>1</v>
      </c>
      <c r="B2197" s="52" t="s">
        <v>5181</v>
      </c>
      <c r="C2197" s="44" t="s">
        <v>5178</v>
      </c>
      <c r="D2197" s="44" t="s">
        <v>147</v>
      </c>
      <c r="E2197" s="44" t="s">
        <v>51</v>
      </c>
      <c r="G2197" s="44">
        <v>1110</v>
      </c>
      <c r="H2197" s="44" t="s">
        <v>2537</v>
      </c>
    </row>
    <row r="2198" spans="1:8">
      <c r="A2198" s="31">
        <f>COUNTIF('BOM Atual ZPCS12'!F:F,B2198)+(1-(SUMIF(Invoice!$A:$A,$B2198,Invoice!$B:$B)/100000000000))</f>
        <v>1</v>
      </c>
      <c r="B2198" s="52" t="s">
        <v>5182</v>
      </c>
      <c r="C2198" s="44" t="s">
        <v>5183</v>
      </c>
      <c r="D2198" s="44" t="s">
        <v>147</v>
      </c>
      <c r="E2198" s="44" t="s">
        <v>51</v>
      </c>
      <c r="G2198" s="44">
        <v>1110</v>
      </c>
      <c r="H2198" s="44" t="s">
        <v>2537</v>
      </c>
    </row>
    <row r="2199" spans="1:8">
      <c r="A2199" s="31">
        <f>COUNTIF('BOM Atual ZPCS12'!F:F,B2199)+(1-(SUMIF(Invoice!$A:$A,$B2199,Invoice!$B:$B)/100000000000))</f>
        <v>1</v>
      </c>
      <c r="B2199" s="52" t="s">
        <v>5184</v>
      </c>
      <c r="C2199" s="44" t="s">
        <v>5178</v>
      </c>
      <c r="D2199" s="44" t="s">
        <v>147</v>
      </c>
      <c r="E2199" s="44" t="s">
        <v>51</v>
      </c>
      <c r="G2199" s="44">
        <v>1110</v>
      </c>
      <c r="H2199" s="44" t="s">
        <v>2537</v>
      </c>
    </row>
    <row r="2200" spans="1:8">
      <c r="A2200" s="31">
        <f>COUNTIF('BOM Atual ZPCS12'!F:F,B2200)+(1-(SUMIF(Invoice!$A:$A,$B2200,Invoice!$B:$B)/100000000000))</f>
        <v>1</v>
      </c>
      <c r="B2200" s="52" t="s">
        <v>5185</v>
      </c>
      <c r="C2200" s="44" t="s">
        <v>5186</v>
      </c>
      <c r="D2200" s="44" t="s">
        <v>147</v>
      </c>
      <c r="E2200" s="44" t="s">
        <v>51</v>
      </c>
      <c r="G2200" s="44">
        <v>1111</v>
      </c>
      <c r="H2200" s="44" t="s">
        <v>2537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1613</v>
      </c>
      <c r="C2201" s="44" t="s">
        <v>5186</v>
      </c>
      <c r="D2201" s="44" t="s">
        <v>147</v>
      </c>
      <c r="E2201" s="44" t="s">
        <v>51</v>
      </c>
      <c r="G2201" s="44">
        <v>1111</v>
      </c>
      <c r="H2201" s="44" t="s">
        <v>2537</v>
      </c>
    </row>
    <row r="2202" spans="1:8">
      <c r="A2202" s="31">
        <f>COUNTIF('BOM Atual ZPCS12'!F:F,B2202)+(1-(SUMIF(Invoice!$A:$A,$B2202,Invoice!$B:$B)/100000000000))</f>
        <v>2</v>
      </c>
      <c r="B2202" s="52" t="s">
        <v>1616</v>
      </c>
      <c r="C2202" s="44" t="s">
        <v>5186</v>
      </c>
      <c r="D2202" s="44" t="s">
        <v>147</v>
      </c>
      <c r="E2202" s="44" t="s">
        <v>51</v>
      </c>
      <c r="G2202" s="44">
        <v>1111</v>
      </c>
      <c r="H2202" s="44" t="s">
        <v>2537</v>
      </c>
    </row>
    <row r="2203" spans="1:8">
      <c r="A2203" s="31">
        <f>COUNTIF('BOM Atual ZPCS12'!F:F,B2203)+(1-(SUMIF(Invoice!$A:$A,$B2203,Invoice!$B:$B)/100000000000))</f>
        <v>2</v>
      </c>
      <c r="B2203" s="52" t="s">
        <v>1617</v>
      </c>
      <c r="C2203" s="44" t="s">
        <v>5186</v>
      </c>
      <c r="D2203" s="44" t="s">
        <v>147</v>
      </c>
      <c r="E2203" s="44" t="s">
        <v>51</v>
      </c>
      <c r="G2203" s="44">
        <v>1111</v>
      </c>
      <c r="H2203" s="44" t="s">
        <v>2537</v>
      </c>
    </row>
    <row r="2204" spans="1:8">
      <c r="A2204" s="31">
        <f>COUNTIF('BOM Atual ZPCS12'!F:F,B2204)+(1-(SUMIF(Invoice!$A:$A,$B2204,Invoice!$B:$B)/100000000000))</f>
        <v>2</v>
      </c>
      <c r="B2204" s="52" t="s">
        <v>1618</v>
      </c>
      <c r="C2204" s="44" t="s">
        <v>1619</v>
      </c>
      <c r="D2204" s="44" t="s">
        <v>147</v>
      </c>
      <c r="E2204" s="44" t="s">
        <v>51</v>
      </c>
      <c r="G2204" s="44">
        <v>1111</v>
      </c>
      <c r="H2204" s="44" t="s">
        <v>2537</v>
      </c>
    </row>
    <row r="2205" spans="1:8">
      <c r="A2205" s="31">
        <f>COUNTIF('BOM Atual ZPCS12'!F:F,B2205)+(1-(SUMIF(Invoice!$A:$A,$B2205,Invoice!$B:$B)/100000000000))</f>
        <v>2</v>
      </c>
      <c r="B2205" s="52" t="s">
        <v>1620</v>
      </c>
      <c r="C2205" s="44" t="s">
        <v>5186</v>
      </c>
      <c r="D2205" s="44" t="s">
        <v>147</v>
      </c>
      <c r="E2205" s="44" t="s">
        <v>51</v>
      </c>
      <c r="G2205" s="44">
        <v>1111</v>
      </c>
      <c r="H2205" s="44" t="s">
        <v>2537</v>
      </c>
    </row>
    <row r="2206" spans="1:8">
      <c r="A2206" s="31">
        <f>COUNTIF('BOM Atual ZPCS12'!F:F,B2206)+(1-(SUMIF(Invoice!$A:$A,$B2206,Invoice!$B:$B)/100000000000))</f>
        <v>1</v>
      </c>
      <c r="B2206" s="52" t="s">
        <v>5187</v>
      </c>
      <c r="C2206" s="44" t="s">
        <v>5188</v>
      </c>
      <c r="D2206" s="44" t="s">
        <v>147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1</v>
      </c>
      <c r="B2207" s="52" t="s">
        <v>5189</v>
      </c>
      <c r="C2207" s="44" t="s">
        <v>5190</v>
      </c>
      <c r="D2207" s="44" t="s">
        <v>147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1</v>
      </c>
      <c r="B2208" s="52" t="s">
        <v>5191</v>
      </c>
      <c r="C2208" s="44" t="s">
        <v>5192</v>
      </c>
      <c r="D2208" s="44" t="s">
        <v>147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</v>
      </c>
      <c r="B2209" s="52" t="s">
        <v>5193</v>
      </c>
      <c r="C2209" s="44" t="s">
        <v>5194</v>
      </c>
      <c r="D2209" s="44" t="s">
        <v>147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</v>
      </c>
      <c r="B2210" s="52" t="s">
        <v>5195</v>
      </c>
      <c r="C2210" s="44" t="s">
        <v>5196</v>
      </c>
      <c r="D2210" s="44" t="s">
        <v>147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1</v>
      </c>
      <c r="B2211" s="52" t="s">
        <v>5197</v>
      </c>
      <c r="C2211" s="44" t="s">
        <v>5198</v>
      </c>
      <c r="D2211" s="44" t="s">
        <v>147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5199</v>
      </c>
      <c r="C2212" s="44" t="s">
        <v>5200</v>
      </c>
      <c r="D2212" s="44" t="s">
        <v>147</v>
      </c>
      <c r="E2212" s="44" t="s">
        <v>51</v>
      </c>
      <c r="G2212" s="44">
        <v>1114</v>
      </c>
      <c r="H2212" s="44" t="s">
        <v>2537</v>
      </c>
    </row>
    <row r="2213" spans="1:8">
      <c r="A2213" s="31">
        <f>COUNTIF('BOM Atual ZPCS12'!F:F,B2213)+(1-(SUMIF(Invoice!$A:$A,$B2213,Invoice!$B:$B)/100000000000))</f>
        <v>2</v>
      </c>
      <c r="B2213" s="52" t="s">
        <v>168</v>
      </c>
      <c r="C2213" s="44" t="s">
        <v>169</v>
      </c>
      <c r="D2213" s="44" t="s">
        <v>147</v>
      </c>
      <c r="E2213" s="44" t="s">
        <v>51</v>
      </c>
      <c r="G2213" s="44">
        <v>1114</v>
      </c>
      <c r="H2213" s="44" t="s">
        <v>2537</v>
      </c>
    </row>
    <row r="2214" spans="1:8">
      <c r="A2214" s="31">
        <f>COUNTIF('BOM Atual ZPCS12'!F:F,B2214)+(1-(SUMIF(Invoice!$A:$A,$B2214,Invoice!$B:$B)/100000000000))</f>
        <v>1.9999999879999999</v>
      </c>
      <c r="B2214" s="52" t="s">
        <v>171</v>
      </c>
      <c r="C2214" s="44" t="s">
        <v>172</v>
      </c>
      <c r="D2214" s="44" t="s">
        <v>147</v>
      </c>
      <c r="E2214" s="44" t="s">
        <v>51</v>
      </c>
      <c r="G2214" s="44">
        <v>1114</v>
      </c>
      <c r="H2214" s="44" t="s">
        <v>2537</v>
      </c>
    </row>
    <row r="2215" spans="1:8">
      <c r="A2215" s="31">
        <f>COUNTIF('BOM Atual ZPCS12'!F:F,B2215)+(1-(SUMIF(Invoice!$A:$A,$B2215,Invoice!$B:$B)/100000000000))</f>
        <v>1</v>
      </c>
      <c r="B2215" s="52" t="s">
        <v>5201</v>
      </c>
      <c r="C2215" s="44" t="s">
        <v>5202</v>
      </c>
      <c r="D2215" s="44" t="s">
        <v>147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5203</v>
      </c>
      <c r="C2216" s="44" t="s">
        <v>5202</v>
      </c>
      <c r="D2216" s="44" t="s">
        <v>147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5204</v>
      </c>
      <c r="C2217" s="44" t="s">
        <v>5205</v>
      </c>
      <c r="D2217" s="44" t="s">
        <v>147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5206</v>
      </c>
      <c r="C2218" s="44" t="s">
        <v>5207</v>
      </c>
      <c r="D2218" s="44" t="s">
        <v>147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5208</v>
      </c>
      <c r="C2219" s="44" t="s">
        <v>5209</v>
      </c>
      <c r="D2219" s="44" t="s">
        <v>147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5210</v>
      </c>
      <c r="C2220" s="44" t="s">
        <v>5211</v>
      </c>
      <c r="D2220" s="44" t="s">
        <v>147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5212</v>
      </c>
      <c r="C2221" s="44" t="s">
        <v>5213</v>
      </c>
      <c r="D2221" s="44" t="s">
        <v>147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5214</v>
      </c>
      <c r="C2222" s="44" t="s">
        <v>5215</v>
      </c>
      <c r="D2222" s="44" t="s">
        <v>147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5216</v>
      </c>
      <c r="C2223" s="44" t="s">
        <v>5217</v>
      </c>
      <c r="D2223" s="44" t="s">
        <v>147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5218</v>
      </c>
      <c r="C2224" s="44" t="s">
        <v>5219</v>
      </c>
      <c r="D2224" s="44" t="s">
        <v>147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5220</v>
      </c>
      <c r="C2225" s="44" t="s">
        <v>5221</v>
      </c>
      <c r="D2225" s="44" t="s">
        <v>147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5222</v>
      </c>
      <c r="C2226" s="44" t="s">
        <v>5223</v>
      </c>
      <c r="D2226" s="44" t="s">
        <v>147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5224</v>
      </c>
      <c r="C2227" s="44" t="s">
        <v>5225</v>
      </c>
      <c r="D2227" s="44" t="s">
        <v>147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5226</v>
      </c>
      <c r="C2228" s="44" t="s">
        <v>5225</v>
      </c>
      <c r="D2228" s="44" t="s">
        <v>147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5227</v>
      </c>
      <c r="C2229" s="44" t="s">
        <v>5225</v>
      </c>
      <c r="D2229" s="44" t="s">
        <v>147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1.9999999900000001</v>
      </c>
      <c r="B2230" s="52" t="s">
        <v>381</v>
      </c>
      <c r="C2230" s="44" t="s">
        <v>5228</v>
      </c>
      <c r="D2230" s="44" t="s">
        <v>147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2</v>
      </c>
      <c r="B2231" s="52" t="s">
        <v>383</v>
      </c>
      <c r="C2231" s="44" t="s">
        <v>5229</v>
      </c>
      <c r="D2231" s="44" t="s">
        <v>147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2</v>
      </c>
      <c r="B2232" s="52" t="s">
        <v>385</v>
      </c>
      <c r="C2232" s="44" t="s">
        <v>5230</v>
      </c>
      <c r="D2232" s="44" t="s">
        <v>147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5231</v>
      </c>
      <c r="C2233" s="44" t="s">
        <v>5232</v>
      </c>
      <c r="D2233" s="44" t="s">
        <v>147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5233</v>
      </c>
      <c r="C2234" s="44" t="s">
        <v>5234</v>
      </c>
      <c r="D2234" s="44" t="s">
        <v>147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5235</v>
      </c>
      <c r="C2235" s="44" t="s">
        <v>5236</v>
      </c>
      <c r="D2235" s="44" t="s">
        <v>147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5237</v>
      </c>
      <c r="C2236" s="44" t="s">
        <v>5238</v>
      </c>
      <c r="D2236" s="44" t="s">
        <v>147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5239</v>
      </c>
      <c r="C2237" s="44" t="s">
        <v>5240</v>
      </c>
      <c r="D2237" s="44" t="s">
        <v>147</v>
      </c>
      <c r="E2237" s="44" t="s">
        <v>51</v>
      </c>
      <c r="G2237" s="44">
        <v>1124</v>
      </c>
      <c r="H2237" s="44" t="s">
        <v>2537</v>
      </c>
    </row>
    <row r="2238" spans="1:8">
      <c r="A2238" s="31">
        <f>COUNTIF('BOM Atual ZPCS12'!F:F,B2238)+(1-(SUMIF(Invoice!$A:$A,$B2238,Invoice!$B:$B)/100000000000))</f>
        <v>1</v>
      </c>
      <c r="B2238" s="52" t="s">
        <v>5241</v>
      </c>
      <c r="C2238" s="44" t="s">
        <v>5242</v>
      </c>
      <c r="D2238" s="44" t="s">
        <v>147</v>
      </c>
      <c r="E2238" s="44" t="s">
        <v>51</v>
      </c>
      <c r="G2238" s="44">
        <v>1124</v>
      </c>
      <c r="H2238" s="44" t="s">
        <v>2537</v>
      </c>
    </row>
    <row r="2239" spans="1:8">
      <c r="A2239" s="31">
        <f>COUNTIF('BOM Atual ZPCS12'!F:F,B2239)+(1-(SUMIF(Invoice!$A:$A,$B2239,Invoice!$B:$B)/100000000000))</f>
        <v>1</v>
      </c>
      <c r="B2239" s="52" t="s">
        <v>5243</v>
      </c>
      <c r="C2239" s="44" t="s">
        <v>5244</v>
      </c>
      <c r="D2239" s="44" t="s">
        <v>147</v>
      </c>
      <c r="E2239" s="44" t="s">
        <v>51</v>
      </c>
      <c r="G2239" s="44">
        <v>1124</v>
      </c>
      <c r="H2239" s="44" t="s">
        <v>2537</v>
      </c>
    </row>
    <row r="2240" spans="1:8">
      <c r="A2240" s="31">
        <f>COUNTIF('BOM Atual ZPCS12'!F:F,B2240)+(1-(SUMIF(Invoice!$A:$A,$B2240,Invoice!$B:$B)/100000000000))</f>
        <v>1</v>
      </c>
      <c r="B2240" s="52" t="s">
        <v>5245</v>
      </c>
      <c r="C2240" s="44" t="s">
        <v>5246</v>
      </c>
      <c r="D2240" s="44" t="s">
        <v>147</v>
      </c>
      <c r="E2240" s="44" t="s">
        <v>51</v>
      </c>
      <c r="G2240" s="44">
        <v>1124</v>
      </c>
      <c r="H2240" s="44" t="s">
        <v>2537</v>
      </c>
    </row>
    <row r="2241" spans="1:8">
      <c r="A2241" s="31">
        <f>COUNTIF('BOM Atual ZPCS12'!F:F,B2241)+(1-(SUMIF(Invoice!$A:$A,$B2241,Invoice!$B:$B)/100000000000))</f>
        <v>1</v>
      </c>
      <c r="B2241" s="52" t="s">
        <v>5247</v>
      </c>
      <c r="C2241" s="44" t="s">
        <v>5248</v>
      </c>
      <c r="D2241" s="44" t="s">
        <v>147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5249</v>
      </c>
      <c r="C2242" s="44" t="s">
        <v>5250</v>
      </c>
      <c r="D2242" s="44" t="s">
        <v>147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5251</v>
      </c>
      <c r="C2243" s="44" t="s">
        <v>5252</v>
      </c>
      <c r="D2243" s="44" t="s">
        <v>147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5253</v>
      </c>
      <c r="C2244" s="44" t="s">
        <v>5254</v>
      </c>
      <c r="D2244" s="44" t="s">
        <v>147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5255</v>
      </c>
      <c r="C2245" s="44" t="s">
        <v>5256</v>
      </c>
      <c r="D2245" s="44" t="s">
        <v>147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5257</v>
      </c>
      <c r="C2246" s="44" t="s">
        <v>5258</v>
      </c>
      <c r="D2246" s="44" t="s">
        <v>147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5259</v>
      </c>
      <c r="C2247" s="44" t="s">
        <v>5260</v>
      </c>
      <c r="D2247" s="44" t="s">
        <v>147</v>
      </c>
      <c r="E2247" s="44" t="s">
        <v>51</v>
      </c>
      <c r="G2247" s="44">
        <v>1127</v>
      </c>
      <c r="H2247" s="44" t="s">
        <v>2537</v>
      </c>
    </row>
    <row r="2248" spans="1:8">
      <c r="A2248" s="31">
        <f>COUNTIF('BOM Atual ZPCS12'!F:F,B2248)+(1-(SUMIF(Invoice!$A:$A,$B2248,Invoice!$B:$B)/100000000000))</f>
        <v>1</v>
      </c>
      <c r="B2248" s="52" t="s">
        <v>5261</v>
      </c>
      <c r="C2248" s="44" t="s">
        <v>5262</v>
      </c>
      <c r="D2248" s="44" t="s">
        <v>147</v>
      </c>
      <c r="E2248" s="44" t="s">
        <v>51</v>
      </c>
      <c r="G2248" s="44">
        <v>1127</v>
      </c>
      <c r="H2248" s="44" t="s">
        <v>2537</v>
      </c>
    </row>
    <row r="2249" spans="1:8">
      <c r="A2249" s="31">
        <f>COUNTIF('BOM Atual ZPCS12'!F:F,B2249)+(1-(SUMIF(Invoice!$A:$A,$B2249,Invoice!$B:$B)/100000000000))</f>
        <v>1</v>
      </c>
      <c r="B2249" s="52" t="s">
        <v>5263</v>
      </c>
      <c r="C2249" s="44" t="s">
        <v>5264</v>
      </c>
      <c r="D2249" s="44" t="s">
        <v>147</v>
      </c>
      <c r="E2249" s="44" t="s">
        <v>51</v>
      </c>
      <c r="G2249" s="44">
        <v>1127</v>
      </c>
      <c r="H2249" s="44" t="s">
        <v>2537</v>
      </c>
    </row>
    <row r="2250" spans="1:8">
      <c r="A2250" s="31">
        <f>COUNTIF('BOM Atual ZPCS12'!F:F,B2250)+(1-(SUMIF(Invoice!$A:$A,$B2250,Invoice!$B:$B)/100000000000))</f>
        <v>1</v>
      </c>
      <c r="B2250" s="52" t="s">
        <v>5265</v>
      </c>
      <c r="C2250" s="44" t="s">
        <v>5266</v>
      </c>
      <c r="D2250" s="44" t="s">
        <v>147</v>
      </c>
      <c r="E2250" s="44" t="s">
        <v>51</v>
      </c>
      <c r="G2250" s="44">
        <v>1127</v>
      </c>
      <c r="H2250" s="44" t="s">
        <v>2537</v>
      </c>
    </row>
    <row r="2251" spans="1:8">
      <c r="A2251" s="31">
        <f>COUNTIF('BOM Atual ZPCS12'!F:F,B2251)+(1-(SUMIF(Invoice!$A:$A,$B2251,Invoice!$B:$B)/100000000000))</f>
        <v>1</v>
      </c>
      <c r="B2251" s="52" t="s">
        <v>5267</v>
      </c>
      <c r="C2251" s="44" t="s">
        <v>5268</v>
      </c>
      <c r="D2251" s="44" t="s">
        <v>147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5269</v>
      </c>
      <c r="C2252" s="44" t="s">
        <v>5270</v>
      </c>
      <c r="D2252" s="44" t="s">
        <v>147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5271</v>
      </c>
      <c r="C2253" s="44" t="s">
        <v>5272</v>
      </c>
      <c r="D2253" s="44" t="s">
        <v>147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5273</v>
      </c>
      <c r="C2254" s="44" t="s">
        <v>5274</v>
      </c>
      <c r="D2254" s="44" t="s">
        <v>147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5275</v>
      </c>
      <c r="C2255" s="44" t="s">
        <v>5276</v>
      </c>
      <c r="D2255" s="44" t="s">
        <v>147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5277</v>
      </c>
      <c r="C2256" s="44" t="s">
        <v>5278</v>
      </c>
      <c r="D2256" s="44" t="s">
        <v>147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5279</v>
      </c>
      <c r="C2257" s="44" t="s">
        <v>5280</v>
      </c>
      <c r="D2257" s="44" t="s">
        <v>147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5281</v>
      </c>
      <c r="C2258" s="44" t="s">
        <v>5282</v>
      </c>
      <c r="D2258" s="44" t="s">
        <v>147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5283</v>
      </c>
      <c r="C2259" s="44" t="s">
        <v>5282</v>
      </c>
      <c r="D2259" s="44" t="s">
        <v>147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5284</v>
      </c>
      <c r="C2260" s="44" t="s">
        <v>5285</v>
      </c>
      <c r="D2260" s="44" t="s">
        <v>147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5286</v>
      </c>
      <c r="C2261" s="44" t="s">
        <v>5287</v>
      </c>
      <c r="D2261" s="44" t="s">
        <v>147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5288</v>
      </c>
      <c r="C2262" s="44" t="s">
        <v>5289</v>
      </c>
      <c r="D2262" s="44" t="s">
        <v>147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5290</v>
      </c>
      <c r="C2263" s="44" t="s">
        <v>1980</v>
      </c>
      <c r="D2263" s="44" t="s">
        <v>147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5291</v>
      </c>
      <c r="C2264" s="44" t="s">
        <v>1982</v>
      </c>
      <c r="D2264" s="44" t="s">
        <v>147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1</v>
      </c>
      <c r="B2265" s="52" t="s">
        <v>5292</v>
      </c>
      <c r="C2265" s="44" t="s">
        <v>5293</v>
      </c>
      <c r="D2265" s="44" t="s">
        <v>147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</v>
      </c>
      <c r="B2266" s="52" t="s">
        <v>5294</v>
      </c>
      <c r="C2266" s="44" t="s">
        <v>5295</v>
      </c>
      <c r="D2266" s="44" t="s">
        <v>147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1</v>
      </c>
      <c r="B2267" s="52" t="s">
        <v>5296</v>
      </c>
      <c r="C2267" s="44" t="s">
        <v>5297</v>
      </c>
      <c r="D2267" s="44" t="s">
        <v>147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5298</v>
      </c>
      <c r="C2268" s="44" t="s">
        <v>5299</v>
      </c>
      <c r="D2268" s="44" t="s">
        <v>147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5300</v>
      </c>
      <c r="C2269" s="44" t="s">
        <v>5301</v>
      </c>
      <c r="D2269" s="44" t="s">
        <v>147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5302</v>
      </c>
      <c r="C2270" s="44" t="s">
        <v>5303</v>
      </c>
      <c r="D2270" s="44" t="s">
        <v>147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5304</v>
      </c>
      <c r="C2271" s="44" t="s">
        <v>5305</v>
      </c>
      <c r="D2271" s="44" t="s">
        <v>147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5306</v>
      </c>
      <c r="C2272" s="44" t="s">
        <v>5307</v>
      </c>
      <c r="D2272" s="44" t="s">
        <v>147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5308</v>
      </c>
      <c r="C2273" s="44" t="s">
        <v>5309</v>
      </c>
      <c r="D2273" s="44" t="s">
        <v>147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5310</v>
      </c>
      <c r="C2274" s="44" t="s">
        <v>5311</v>
      </c>
      <c r="D2274" s="44" t="s">
        <v>147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5312</v>
      </c>
      <c r="C2275" s="44" t="s">
        <v>5313</v>
      </c>
      <c r="D2275" s="44" t="s">
        <v>147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5314</v>
      </c>
      <c r="C2276" s="44" t="s">
        <v>5315</v>
      </c>
      <c r="D2276" s="44" t="s">
        <v>147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5316</v>
      </c>
      <c r="C2277" s="44" t="s">
        <v>5317</v>
      </c>
      <c r="D2277" s="44" t="s">
        <v>147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5318</v>
      </c>
      <c r="C2278" s="44" t="s">
        <v>5319</v>
      </c>
      <c r="D2278" s="44" t="s">
        <v>147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5320</v>
      </c>
      <c r="C2279" s="44" t="s">
        <v>5321</v>
      </c>
      <c r="D2279" s="44" t="s">
        <v>147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5322</v>
      </c>
      <c r="C2280" s="44" t="s">
        <v>5323</v>
      </c>
      <c r="D2280" s="44" t="s">
        <v>147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5324</v>
      </c>
      <c r="C2281" s="44" t="s">
        <v>5325</v>
      </c>
      <c r="D2281" s="44" t="s">
        <v>147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5326</v>
      </c>
      <c r="C2282" s="44" t="s">
        <v>5327</v>
      </c>
      <c r="D2282" s="44" t="s">
        <v>147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5328</v>
      </c>
      <c r="C2283" s="44" t="s">
        <v>5329</v>
      </c>
      <c r="D2283" s="44" t="s">
        <v>147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5330</v>
      </c>
      <c r="C2284" s="44" t="s">
        <v>5331</v>
      </c>
      <c r="D2284" s="44" t="s">
        <v>147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5332</v>
      </c>
      <c r="C2285" s="44" t="s">
        <v>5333</v>
      </c>
      <c r="D2285" s="44" t="s">
        <v>147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5334</v>
      </c>
      <c r="C2286" s="44" t="s">
        <v>5331</v>
      </c>
      <c r="D2286" s="44" t="s">
        <v>147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5335</v>
      </c>
      <c r="C2287" s="44" t="s">
        <v>5336</v>
      </c>
      <c r="D2287" s="44" t="s">
        <v>147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1</v>
      </c>
      <c r="B2288" s="52" t="s">
        <v>5337</v>
      </c>
      <c r="C2288" s="44" t="s">
        <v>5338</v>
      </c>
      <c r="D2288" s="44" t="s">
        <v>147</v>
      </c>
      <c r="E2288" s="44" t="s">
        <v>51</v>
      </c>
      <c r="G2288" s="44">
        <v>1155</v>
      </c>
      <c r="H2288" s="44" t="s">
        <v>2537</v>
      </c>
    </row>
    <row r="2289" spans="1:8">
      <c r="A2289" s="31">
        <f>COUNTIF('BOM Atual ZPCS12'!F:F,B2289)+(1-(SUMIF(Invoice!$A:$A,$B2289,Invoice!$B:$B)/100000000000))</f>
        <v>1</v>
      </c>
      <c r="B2289" s="52" t="s">
        <v>5339</v>
      </c>
      <c r="C2289" s="44" t="s">
        <v>5340</v>
      </c>
      <c r="D2289" s="44" t="s">
        <v>147</v>
      </c>
      <c r="E2289" s="44" t="s">
        <v>51</v>
      </c>
      <c r="G2289" s="44">
        <v>1155</v>
      </c>
      <c r="H2289" s="44" t="s">
        <v>2537</v>
      </c>
    </row>
    <row r="2290" spans="1:8">
      <c r="A2290" s="31">
        <f>COUNTIF('BOM Atual ZPCS12'!F:F,B2290)+(1-(SUMIF(Invoice!$A:$A,$B2290,Invoice!$B:$B)/100000000000))</f>
        <v>1</v>
      </c>
      <c r="B2290" s="52" t="s">
        <v>5341</v>
      </c>
      <c r="C2290" s="44" t="s">
        <v>5342</v>
      </c>
      <c r="D2290" s="44" t="s">
        <v>147</v>
      </c>
      <c r="E2290" s="44" t="s">
        <v>51</v>
      </c>
      <c r="G2290" s="44">
        <v>1155</v>
      </c>
      <c r="H2290" s="44" t="s">
        <v>2537</v>
      </c>
    </row>
    <row r="2291" spans="1:8">
      <c r="A2291" s="31">
        <f>COUNTIF('BOM Atual ZPCS12'!F:F,B2291)+(1-(SUMIF(Invoice!$A:$A,$B2291,Invoice!$B:$B)/100000000000))</f>
        <v>1</v>
      </c>
      <c r="B2291" s="52" t="s">
        <v>5343</v>
      </c>
      <c r="C2291" s="44" t="s">
        <v>5344</v>
      </c>
      <c r="D2291" s="44" t="s">
        <v>147</v>
      </c>
      <c r="E2291" s="44" t="s">
        <v>51</v>
      </c>
      <c r="G2291" s="44">
        <v>1155</v>
      </c>
      <c r="H2291" s="44" t="s">
        <v>2537</v>
      </c>
    </row>
    <row r="2292" spans="1:8">
      <c r="A2292" s="31">
        <f>COUNTIF('BOM Atual ZPCS12'!F:F,B2292)+(1-(SUMIF(Invoice!$A:$A,$B2292,Invoice!$B:$B)/100000000000))</f>
        <v>1</v>
      </c>
      <c r="B2292" s="52" t="s">
        <v>5345</v>
      </c>
      <c r="C2292" s="44" t="s">
        <v>5346</v>
      </c>
      <c r="D2292" s="44" t="s">
        <v>147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5347</v>
      </c>
      <c r="C2293" s="44" t="s">
        <v>5348</v>
      </c>
      <c r="D2293" s="44" t="s">
        <v>147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5349</v>
      </c>
      <c r="C2294" s="44" t="s">
        <v>5346</v>
      </c>
      <c r="D2294" s="44" t="s">
        <v>147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5350</v>
      </c>
      <c r="C2295" s="44" t="s">
        <v>5351</v>
      </c>
      <c r="D2295" s="44" t="s">
        <v>147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5352</v>
      </c>
      <c r="C2296" s="44" t="s">
        <v>5353</v>
      </c>
      <c r="D2296" s="44" t="s">
        <v>147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5354</v>
      </c>
      <c r="C2297" s="44" t="s">
        <v>5355</v>
      </c>
      <c r="D2297" s="44" t="s">
        <v>147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5356</v>
      </c>
      <c r="C2298" s="44" t="s">
        <v>5357</v>
      </c>
      <c r="D2298" s="44" t="s">
        <v>147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5358</v>
      </c>
      <c r="C2299" s="44" t="s">
        <v>5359</v>
      </c>
      <c r="D2299" s="44" t="s">
        <v>147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5360</v>
      </c>
      <c r="C2300" s="44" t="s">
        <v>5361</v>
      </c>
      <c r="D2300" s="44" t="s">
        <v>147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5362</v>
      </c>
      <c r="C2301" s="44" t="s">
        <v>5363</v>
      </c>
      <c r="D2301" s="44" t="s">
        <v>147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5364</v>
      </c>
      <c r="C2302" s="44" t="s">
        <v>5361</v>
      </c>
      <c r="D2302" s="44" t="s">
        <v>147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5365</v>
      </c>
      <c r="C2303" s="44" t="s">
        <v>5366</v>
      </c>
      <c r="D2303" s="44" t="s">
        <v>147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2</v>
      </c>
      <c r="B2304" s="52" t="s">
        <v>974</v>
      </c>
      <c r="C2304" s="44" t="s">
        <v>975</v>
      </c>
      <c r="D2304" s="44" t="s">
        <v>147</v>
      </c>
      <c r="E2304" s="44" t="s">
        <v>51</v>
      </c>
      <c r="G2304" s="44">
        <v>1162</v>
      </c>
      <c r="H2304" s="44" t="s">
        <v>2537</v>
      </c>
    </row>
    <row r="2305" spans="1:8">
      <c r="A2305" s="31">
        <f>COUNTIF('BOM Atual ZPCS12'!F:F,B2305)+(1-(SUMIF(Invoice!$A:$A,$B2305,Invoice!$B:$B)/100000000000))</f>
        <v>2</v>
      </c>
      <c r="B2305" s="52" t="s">
        <v>977</v>
      </c>
      <c r="C2305" s="44" t="s">
        <v>978</v>
      </c>
      <c r="D2305" s="44" t="s">
        <v>147</v>
      </c>
      <c r="E2305" s="44" t="s">
        <v>51</v>
      </c>
      <c r="G2305" s="44">
        <v>1162</v>
      </c>
      <c r="H2305" s="44" t="s">
        <v>2537</v>
      </c>
    </row>
    <row r="2306" spans="1:8">
      <c r="A2306" s="31">
        <f>COUNTIF('BOM Atual ZPCS12'!F:F,B2306)+(1-(SUMIF(Invoice!$A:$A,$B2306,Invoice!$B:$B)/100000000000))</f>
        <v>1</v>
      </c>
      <c r="B2306" s="52" t="s">
        <v>5367</v>
      </c>
      <c r="C2306" s="44" t="s">
        <v>5368</v>
      </c>
      <c r="D2306" s="44" t="s">
        <v>147</v>
      </c>
      <c r="E2306" s="44" t="s">
        <v>51</v>
      </c>
      <c r="G2306" s="44">
        <v>1162</v>
      </c>
      <c r="H2306" s="44" t="s">
        <v>2537</v>
      </c>
    </row>
    <row r="2307" spans="1:8">
      <c r="A2307" s="31">
        <f>COUNTIF('BOM Atual ZPCS12'!F:F,B2307)+(1-(SUMIF(Invoice!$A:$A,$B2307,Invoice!$B:$B)/100000000000))</f>
        <v>1.9999999000000002</v>
      </c>
      <c r="B2307" s="52" t="s">
        <v>979</v>
      </c>
      <c r="C2307" s="44" t="s">
        <v>980</v>
      </c>
      <c r="D2307" s="44" t="s">
        <v>147</v>
      </c>
      <c r="E2307" s="44" t="s">
        <v>51</v>
      </c>
      <c r="G2307" s="44">
        <v>1162</v>
      </c>
      <c r="H2307" s="44" t="s">
        <v>2537</v>
      </c>
    </row>
    <row r="2308" spans="1:8">
      <c r="A2308" s="31">
        <f>COUNTIF('BOM Atual ZPCS12'!F:F,B2308)+(1-(SUMIF(Invoice!$A:$A,$B2308,Invoice!$B:$B)/100000000000))</f>
        <v>1</v>
      </c>
      <c r="B2308" s="52" t="s">
        <v>5369</v>
      </c>
      <c r="C2308" s="44" t="s">
        <v>5370</v>
      </c>
      <c r="D2308" s="44" t="s">
        <v>147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5371</v>
      </c>
      <c r="C2309" s="44" t="s">
        <v>5372</v>
      </c>
      <c r="D2309" s="44" t="s">
        <v>147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5373</v>
      </c>
      <c r="C2310" s="44" t="s">
        <v>5374</v>
      </c>
      <c r="D2310" s="44" t="s">
        <v>147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5375</v>
      </c>
      <c r="C2311" s="44" t="s">
        <v>5376</v>
      </c>
      <c r="D2311" s="44" t="s">
        <v>147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5377</v>
      </c>
      <c r="C2312" s="44" t="s">
        <v>5378</v>
      </c>
      <c r="D2312" s="44" t="s">
        <v>147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5379</v>
      </c>
      <c r="C2313" s="44" t="s">
        <v>5380</v>
      </c>
      <c r="D2313" s="44" t="s">
        <v>147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5381</v>
      </c>
      <c r="C2314" s="44" t="s">
        <v>5382</v>
      </c>
      <c r="D2314" s="44" t="s">
        <v>147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5383</v>
      </c>
      <c r="C2315" s="44" t="s">
        <v>5384</v>
      </c>
      <c r="D2315" s="44" t="s">
        <v>147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5385</v>
      </c>
      <c r="C2316" s="44" t="s">
        <v>5386</v>
      </c>
      <c r="D2316" s="44" t="s">
        <v>147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5387</v>
      </c>
      <c r="C2317" s="44" t="s">
        <v>5388</v>
      </c>
      <c r="D2317" s="44" t="s">
        <v>147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5389</v>
      </c>
      <c r="C2318" s="44" t="s">
        <v>5386</v>
      </c>
      <c r="D2318" s="44" t="s">
        <v>147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5390</v>
      </c>
      <c r="C2319" s="44" t="s">
        <v>5391</v>
      </c>
      <c r="D2319" s="44" t="s">
        <v>147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5392</v>
      </c>
      <c r="C2320" s="44" t="s">
        <v>5393</v>
      </c>
      <c r="D2320" s="44" t="s">
        <v>147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5394</v>
      </c>
      <c r="C2321" s="44" t="s">
        <v>5395</v>
      </c>
      <c r="D2321" s="44" t="s">
        <v>147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5396</v>
      </c>
      <c r="C2322" s="44" t="s">
        <v>5397</v>
      </c>
      <c r="D2322" s="44" t="s">
        <v>147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5398</v>
      </c>
      <c r="C2323" s="44" t="s">
        <v>5399</v>
      </c>
      <c r="D2323" s="44" t="s">
        <v>147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5400</v>
      </c>
      <c r="C2324" s="44" t="s">
        <v>5401</v>
      </c>
      <c r="D2324" s="44" t="s">
        <v>147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5402</v>
      </c>
      <c r="C2325" s="44" t="s">
        <v>5403</v>
      </c>
      <c r="D2325" s="44" t="s">
        <v>147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5404</v>
      </c>
      <c r="C2326" s="44" t="s">
        <v>5405</v>
      </c>
      <c r="D2326" s="44" t="s">
        <v>147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5406</v>
      </c>
      <c r="C2327" s="44" t="s">
        <v>5407</v>
      </c>
      <c r="D2327" s="44" t="s">
        <v>147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2</v>
      </c>
      <c r="B2328" s="52" t="s">
        <v>1349</v>
      </c>
      <c r="C2328" s="44" t="s">
        <v>5408</v>
      </c>
      <c r="D2328" s="44" t="s">
        <v>147</v>
      </c>
      <c r="E2328" s="44" t="s">
        <v>51</v>
      </c>
      <c r="G2328" s="44">
        <v>1171</v>
      </c>
      <c r="H2328" s="44" t="s">
        <v>2537</v>
      </c>
    </row>
    <row r="2329" spans="1:8">
      <c r="A2329" s="31">
        <f>COUNTIF('BOM Atual ZPCS12'!F:F,B2329)+(1-(SUMIF(Invoice!$A:$A,$B2329,Invoice!$B:$B)/100000000000))</f>
        <v>1.9999999499999999</v>
      </c>
      <c r="B2329" s="52" t="s">
        <v>1352</v>
      </c>
      <c r="C2329" s="44" t="s">
        <v>1353</v>
      </c>
      <c r="D2329" s="44" t="s">
        <v>147</v>
      </c>
      <c r="E2329" s="44" t="s">
        <v>51</v>
      </c>
      <c r="G2329" s="44">
        <v>1171</v>
      </c>
      <c r="H2329" s="44" t="s">
        <v>2537</v>
      </c>
    </row>
    <row r="2330" spans="1:8">
      <c r="A2330" s="31">
        <f>COUNTIF('BOM Atual ZPCS12'!F:F,B2330)+(1-(SUMIF(Invoice!$A:$A,$B2330,Invoice!$B:$B)/100000000000))</f>
        <v>1</v>
      </c>
      <c r="B2330" s="52" t="s">
        <v>5409</v>
      </c>
      <c r="C2330" s="44" t="s">
        <v>5410</v>
      </c>
      <c r="D2330" s="44" t="s">
        <v>147</v>
      </c>
      <c r="E2330" s="44" t="s">
        <v>51</v>
      </c>
      <c r="G2330" s="44">
        <v>1171</v>
      </c>
      <c r="H2330" s="44" t="s">
        <v>2537</v>
      </c>
    </row>
    <row r="2331" spans="1:8">
      <c r="A2331" s="31">
        <f>COUNTIF('BOM Atual ZPCS12'!F:F,B2331)+(1-(SUMIF(Invoice!$A:$A,$B2331,Invoice!$B:$B)/100000000000))</f>
        <v>2</v>
      </c>
      <c r="B2331" s="52" t="s">
        <v>1354</v>
      </c>
      <c r="C2331" s="44" t="s">
        <v>1355</v>
      </c>
      <c r="D2331" s="44" t="s">
        <v>147</v>
      </c>
      <c r="E2331" s="44" t="s">
        <v>51</v>
      </c>
      <c r="G2331" s="44">
        <v>1171</v>
      </c>
      <c r="H2331" s="44" t="s">
        <v>2537</v>
      </c>
    </row>
    <row r="2332" spans="1:8">
      <c r="A2332" s="31">
        <f>COUNTIF('BOM Atual ZPCS12'!F:F,B2332)+(1-(SUMIF(Invoice!$A:$A,$B2332,Invoice!$B:$B)/100000000000))</f>
        <v>1</v>
      </c>
      <c r="B2332" s="52" t="s">
        <v>5411</v>
      </c>
      <c r="C2332" s="44" t="s">
        <v>5412</v>
      </c>
      <c r="D2332" s="44" t="s">
        <v>147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5413</v>
      </c>
      <c r="C2333" s="44" t="s">
        <v>5414</v>
      </c>
      <c r="D2333" s="44" t="s">
        <v>147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5415</v>
      </c>
      <c r="C2334" s="44" t="s">
        <v>5416</v>
      </c>
      <c r="D2334" s="44" t="s">
        <v>147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5417</v>
      </c>
      <c r="C2335" s="44" t="s">
        <v>5418</v>
      </c>
      <c r="D2335" s="44" t="s">
        <v>147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5419</v>
      </c>
      <c r="C2336" s="44" t="s">
        <v>5420</v>
      </c>
      <c r="D2336" s="44" t="s">
        <v>147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5421</v>
      </c>
      <c r="C2337" s="44" t="s">
        <v>5422</v>
      </c>
      <c r="D2337" s="44" t="s">
        <v>147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5423</v>
      </c>
      <c r="C2338" s="44" t="s">
        <v>5424</v>
      </c>
      <c r="D2338" s="44" t="s">
        <v>147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5425</v>
      </c>
      <c r="C2339" s="44" t="s">
        <v>5426</v>
      </c>
      <c r="D2339" s="44" t="s">
        <v>147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2</v>
      </c>
      <c r="B2340" s="52" t="s">
        <v>2030</v>
      </c>
      <c r="C2340" s="44" t="s">
        <v>2031</v>
      </c>
      <c r="D2340" s="44" t="s">
        <v>147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2</v>
      </c>
      <c r="B2341" s="52" t="s">
        <v>2033</v>
      </c>
      <c r="C2341" s="44" t="s">
        <v>2034</v>
      </c>
      <c r="D2341" s="44" t="s">
        <v>147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1.999999984</v>
      </c>
      <c r="B2342" s="52" t="s">
        <v>2035</v>
      </c>
      <c r="C2342" s="44" t="s">
        <v>2036</v>
      </c>
      <c r="D2342" s="44" t="s">
        <v>147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2</v>
      </c>
      <c r="B2343" s="52" t="s">
        <v>178</v>
      </c>
      <c r="C2343" s="44" t="s">
        <v>179</v>
      </c>
      <c r="D2343" s="44" t="s">
        <v>147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1.9999999900000001</v>
      </c>
      <c r="B2344" s="52" t="s">
        <v>181</v>
      </c>
      <c r="C2344" s="44" t="s">
        <v>5427</v>
      </c>
      <c r="D2344" s="44" t="s">
        <v>147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5428</v>
      </c>
      <c r="C2345" s="44" t="s">
        <v>5429</v>
      </c>
      <c r="D2345" s="44" t="s">
        <v>147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5430</v>
      </c>
      <c r="C2346" s="44" t="s">
        <v>5429</v>
      </c>
      <c r="D2346" s="44" t="s">
        <v>147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5431</v>
      </c>
      <c r="C2347" s="44" t="s">
        <v>5432</v>
      </c>
      <c r="D2347" s="44" t="s">
        <v>147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5433</v>
      </c>
      <c r="C2348" s="44" t="s">
        <v>5434</v>
      </c>
      <c r="D2348" s="44" t="s">
        <v>147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5435</v>
      </c>
      <c r="C2349" s="44" t="s">
        <v>5436</v>
      </c>
      <c r="D2349" s="44" t="s">
        <v>147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5437</v>
      </c>
      <c r="C2350" s="44" t="s">
        <v>5438</v>
      </c>
      <c r="D2350" s="44" t="s">
        <v>147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5439</v>
      </c>
      <c r="C2351" s="44" t="s">
        <v>5440</v>
      </c>
      <c r="D2351" s="44" t="s">
        <v>147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5441</v>
      </c>
      <c r="C2352" s="44" t="s">
        <v>5442</v>
      </c>
      <c r="D2352" s="44" t="s">
        <v>147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5443</v>
      </c>
      <c r="C2353" s="44" t="s">
        <v>5444</v>
      </c>
      <c r="D2353" s="44" t="s">
        <v>147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5445</v>
      </c>
      <c r="C2354" s="44" t="s">
        <v>5446</v>
      </c>
      <c r="D2354" s="44" t="s">
        <v>147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5447</v>
      </c>
      <c r="C2355" s="44" t="s">
        <v>5448</v>
      </c>
      <c r="D2355" s="44" t="s">
        <v>147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5449</v>
      </c>
      <c r="C2356" s="44" t="s">
        <v>5450</v>
      </c>
      <c r="D2356" s="44" t="s">
        <v>147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1.9999999800000001</v>
      </c>
      <c r="B2357" s="52" t="s">
        <v>247</v>
      </c>
      <c r="C2357" s="44" t="s">
        <v>248</v>
      </c>
      <c r="D2357" s="44" t="s">
        <v>147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2</v>
      </c>
      <c r="B2358" s="52" t="s">
        <v>250</v>
      </c>
      <c r="C2358" s="44" t="s">
        <v>251</v>
      </c>
      <c r="D2358" s="44" t="s">
        <v>147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5451</v>
      </c>
      <c r="C2359" s="44" t="s">
        <v>5452</v>
      </c>
      <c r="D2359" s="44" t="s">
        <v>147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5453</v>
      </c>
      <c r="C2360" s="44" t="s">
        <v>5454</v>
      </c>
      <c r="D2360" s="44" t="s">
        <v>147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5455</v>
      </c>
      <c r="C2361" s="44" t="s">
        <v>5456</v>
      </c>
      <c r="D2361" s="44" t="s">
        <v>147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5457</v>
      </c>
      <c r="C2362" s="44" t="s">
        <v>5458</v>
      </c>
      <c r="D2362" s="44" t="s">
        <v>147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5459</v>
      </c>
      <c r="C2363" s="44" t="s">
        <v>5460</v>
      </c>
      <c r="D2363" s="44" t="s">
        <v>147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5461</v>
      </c>
      <c r="C2364" s="44" t="s">
        <v>5462</v>
      </c>
      <c r="D2364" s="44" t="s">
        <v>147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5463</v>
      </c>
      <c r="C2365" s="44" t="s">
        <v>5464</v>
      </c>
      <c r="D2365" s="44" t="s">
        <v>147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5465</v>
      </c>
      <c r="C2366" s="44" t="s">
        <v>5466</v>
      </c>
      <c r="D2366" s="44" t="s">
        <v>147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5467</v>
      </c>
      <c r="C2367" s="44" t="s">
        <v>5468</v>
      </c>
      <c r="D2367" s="44" t="s">
        <v>147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2</v>
      </c>
      <c r="B2368" s="52" t="s">
        <v>575</v>
      </c>
      <c r="C2368" s="44" t="s">
        <v>5469</v>
      </c>
      <c r="D2368" s="44" t="s">
        <v>147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2</v>
      </c>
      <c r="B2369" s="52" t="s">
        <v>577</v>
      </c>
      <c r="C2369" s="44" t="s">
        <v>5470</v>
      </c>
      <c r="D2369" s="44" t="s">
        <v>147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1.9999999900000001</v>
      </c>
      <c r="B2370" s="52" t="s">
        <v>579</v>
      </c>
      <c r="C2370" s="44" t="s">
        <v>580</v>
      </c>
      <c r="D2370" s="44" t="s">
        <v>147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1</v>
      </c>
      <c r="B2371" s="52" t="s">
        <v>5471</v>
      </c>
      <c r="C2371" s="44" t="s">
        <v>5472</v>
      </c>
      <c r="D2371" s="44" t="s">
        <v>147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1</v>
      </c>
      <c r="B2372" s="52" t="s">
        <v>5473</v>
      </c>
      <c r="C2372" s="44" t="s">
        <v>5474</v>
      </c>
      <c r="D2372" s="44" t="s">
        <v>147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</v>
      </c>
      <c r="B2373" s="52" t="s">
        <v>5475</v>
      </c>
      <c r="C2373" s="44" t="s">
        <v>5476</v>
      </c>
      <c r="D2373" s="44" t="s">
        <v>147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</v>
      </c>
      <c r="B2374" s="52" t="s">
        <v>5477</v>
      </c>
      <c r="C2374" s="44" t="s">
        <v>5478</v>
      </c>
      <c r="D2374" s="44" t="s">
        <v>147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1</v>
      </c>
      <c r="B2375" s="52" t="s">
        <v>5479</v>
      </c>
      <c r="C2375" s="44" t="s">
        <v>5480</v>
      </c>
      <c r="D2375" s="44" t="s">
        <v>147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5481</v>
      </c>
      <c r="C2376" s="44" t="s">
        <v>5482</v>
      </c>
      <c r="D2376" s="44" t="s">
        <v>147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5483</v>
      </c>
      <c r="C2377" s="44" t="s">
        <v>5484</v>
      </c>
      <c r="D2377" s="44" t="s">
        <v>147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5485</v>
      </c>
      <c r="C2378" s="44" t="s">
        <v>5482</v>
      </c>
      <c r="D2378" s="44" t="s">
        <v>147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5486</v>
      </c>
      <c r="C2379" s="44" t="s">
        <v>5487</v>
      </c>
      <c r="D2379" s="44" t="s">
        <v>147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5488</v>
      </c>
      <c r="C2380" s="44" t="s">
        <v>5489</v>
      </c>
      <c r="D2380" s="44" t="s">
        <v>147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5490</v>
      </c>
      <c r="C2381" s="44" t="s">
        <v>5491</v>
      </c>
      <c r="D2381" s="44" t="s">
        <v>147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5492</v>
      </c>
      <c r="C2382" s="44" t="s">
        <v>5493</v>
      </c>
      <c r="D2382" s="44" t="s">
        <v>147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5494</v>
      </c>
      <c r="C2383" s="44" t="s">
        <v>5495</v>
      </c>
      <c r="D2383" s="44" t="s">
        <v>147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5496</v>
      </c>
      <c r="C2384" s="44" t="s">
        <v>5497</v>
      </c>
      <c r="D2384" s="44" t="s">
        <v>147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5498</v>
      </c>
      <c r="C2385" s="44" t="s">
        <v>5499</v>
      </c>
      <c r="D2385" s="44" t="s">
        <v>147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5500</v>
      </c>
      <c r="C2386" s="44" t="s">
        <v>5497</v>
      </c>
      <c r="D2386" s="44" t="s">
        <v>147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5501</v>
      </c>
      <c r="C2387" s="44" t="s">
        <v>5502</v>
      </c>
      <c r="D2387" s="44" t="s">
        <v>147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5503</v>
      </c>
      <c r="C2388" s="44" t="s">
        <v>5504</v>
      </c>
      <c r="D2388" s="44" t="s">
        <v>147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5505</v>
      </c>
      <c r="C2389" s="44" t="s">
        <v>5506</v>
      </c>
      <c r="D2389" s="44" t="s">
        <v>147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5507</v>
      </c>
      <c r="C2390" s="44" t="s">
        <v>5504</v>
      </c>
      <c r="D2390" s="44" t="s">
        <v>147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5508</v>
      </c>
      <c r="C2391" s="44" t="s">
        <v>5509</v>
      </c>
      <c r="D2391" s="44" t="s">
        <v>147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5510</v>
      </c>
      <c r="C2392" s="44" t="s">
        <v>5511</v>
      </c>
      <c r="D2392" s="44" t="s">
        <v>147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5512</v>
      </c>
      <c r="C2393" s="44" t="s">
        <v>5513</v>
      </c>
      <c r="D2393" s="44" t="s">
        <v>147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5514</v>
      </c>
      <c r="C2394" s="44" t="s">
        <v>5515</v>
      </c>
      <c r="D2394" s="44" t="s">
        <v>147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5516</v>
      </c>
      <c r="C2395" s="44" t="s">
        <v>5517</v>
      </c>
      <c r="D2395" s="44" t="s">
        <v>147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5518</v>
      </c>
      <c r="C2396" s="44" t="s">
        <v>5519</v>
      </c>
      <c r="D2396" s="44" t="s">
        <v>147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5520</v>
      </c>
      <c r="C2397" s="44" t="s">
        <v>5521</v>
      </c>
      <c r="D2397" s="44" t="s">
        <v>147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5522</v>
      </c>
      <c r="C2398" s="44" t="s">
        <v>5523</v>
      </c>
      <c r="D2398" s="44" t="s">
        <v>147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5524</v>
      </c>
      <c r="C2399" s="44" t="s">
        <v>5525</v>
      </c>
      <c r="D2399" s="44" t="s">
        <v>147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5526</v>
      </c>
      <c r="C2400" s="44" t="s">
        <v>5527</v>
      </c>
      <c r="D2400" s="44" t="s">
        <v>147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5528</v>
      </c>
      <c r="C2401" s="44" t="s">
        <v>5529</v>
      </c>
      <c r="D2401" s="44" t="s">
        <v>147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5530</v>
      </c>
      <c r="C2402" s="44" t="s">
        <v>5531</v>
      </c>
      <c r="D2402" s="44" t="s">
        <v>147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5532</v>
      </c>
      <c r="C2403" s="44" t="s">
        <v>5533</v>
      </c>
      <c r="D2403" s="44" t="s">
        <v>147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5534</v>
      </c>
      <c r="C2404" s="44" t="s">
        <v>5535</v>
      </c>
      <c r="D2404" s="44" t="s">
        <v>147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5536</v>
      </c>
      <c r="C2405" s="44" t="s">
        <v>5537</v>
      </c>
      <c r="D2405" s="44" t="s">
        <v>147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5538</v>
      </c>
      <c r="C2406" s="44" t="s">
        <v>5539</v>
      </c>
      <c r="D2406" s="44" t="s">
        <v>147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5540</v>
      </c>
      <c r="C2407" s="44" t="s">
        <v>5541</v>
      </c>
      <c r="D2407" s="44" t="s">
        <v>147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5542</v>
      </c>
      <c r="C2408" s="44" t="s">
        <v>5543</v>
      </c>
      <c r="D2408" s="44" t="s">
        <v>147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5544</v>
      </c>
      <c r="C2409" s="44" t="s">
        <v>5545</v>
      </c>
      <c r="D2409" s="44" t="s">
        <v>147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5546</v>
      </c>
      <c r="C2410" s="44" t="s">
        <v>5547</v>
      </c>
      <c r="D2410" s="44" t="s">
        <v>147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5548</v>
      </c>
      <c r="C2411" s="44" t="s">
        <v>5549</v>
      </c>
      <c r="D2411" s="44" t="s">
        <v>147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5550</v>
      </c>
      <c r="C2412" s="44" t="s">
        <v>5551</v>
      </c>
      <c r="D2412" s="44" t="s">
        <v>147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5552</v>
      </c>
      <c r="C2413" s="44" t="s">
        <v>5553</v>
      </c>
      <c r="D2413" s="44" t="s">
        <v>147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5554</v>
      </c>
      <c r="C2414" s="44" t="s">
        <v>5551</v>
      </c>
      <c r="D2414" s="44" t="s">
        <v>147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5555</v>
      </c>
      <c r="C2415" s="44" t="s">
        <v>5556</v>
      </c>
      <c r="D2415" s="44" t="s">
        <v>147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5557</v>
      </c>
      <c r="C2416" s="44" t="s">
        <v>5558</v>
      </c>
      <c r="D2416" s="44" t="s">
        <v>147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5559</v>
      </c>
      <c r="C2417" s="44" t="s">
        <v>5558</v>
      </c>
      <c r="D2417" s="44" t="s">
        <v>147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5560</v>
      </c>
      <c r="C2418" s="44" t="s">
        <v>5561</v>
      </c>
      <c r="D2418" s="44" t="s">
        <v>147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5562</v>
      </c>
      <c r="C2419" s="44" t="s">
        <v>5563</v>
      </c>
      <c r="D2419" s="44" t="s">
        <v>147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5564</v>
      </c>
      <c r="C2420" s="44" t="s">
        <v>5565</v>
      </c>
      <c r="D2420" s="44" t="s">
        <v>147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5566</v>
      </c>
      <c r="C2421" s="44" t="s">
        <v>5567</v>
      </c>
      <c r="D2421" s="44" t="s">
        <v>147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5568</v>
      </c>
      <c r="C2422" s="44" t="s">
        <v>5565</v>
      </c>
      <c r="D2422" s="44" t="s">
        <v>147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5569</v>
      </c>
      <c r="C2423" s="44" t="s">
        <v>5570</v>
      </c>
      <c r="D2423" s="44" t="s">
        <v>147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1.9999999499999999</v>
      </c>
      <c r="B2424" s="52" t="s">
        <v>1153</v>
      </c>
      <c r="C2424" s="44" t="s">
        <v>1154</v>
      </c>
      <c r="D2424" s="44" t="s">
        <v>147</v>
      </c>
      <c r="E2424" s="44" t="s">
        <v>51</v>
      </c>
      <c r="G2424" s="44">
        <v>1219</v>
      </c>
      <c r="H2424" s="44" t="s">
        <v>2537</v>
      </c>
    </row>
    <row r="2425" spans="1:8">
      <c r="A2425" s="31">
        <f>COUNTIF('BOM Atual ZPCS12'!F:F,B2425)+(1-(SUMIF(Invoice!$A:$A,$B2425,Invoice!$B:$B)/100000000000))</f>
        <v>2</v>
      </c>
      <c r="B2425" s="52" t="s">
        <v>1156</v>
      </c>
      <c r="C2425" s="44" t="s">
        <v>1157</v>
      </c>
      <c r="D2425" s="44" t="s">
        <v>147</v>
      </c>
      <c r="E2425" s="44" t="s">
        <v>51</v>
      </c>
      <c r="G2425" s="44">
        <v>1219</v>
      </c>
      <c r="H2425" s="44" t="s">
        <v>2537</v>
      </c>
    </row>
    <row r="2426" spans="1:8">
      <c r="A2426" s="31">
        <f>COUNTIF('BOM Atual ZPCS12'!F:F,B2426)+(1-(SUMIF(Invoice!$A:$A,$B2426,Invoice!$B:$B)/100000000000))</f>
        <v>1</v>
      </c>
      <c r="B2426" s="52" t="s">
        <v>5571</v>
      </c>
      <c r="C2426" s="44" t="s">
        <v>5572</v>
      </c>
      <c r="D2426" s="44" t="s">
        <v>147</v>
      </c>
      <c r="E2426" s="44" t="s">
        <v>51</v>
      </c>
      <c r="G2426" s="44">
        <v>1219</v>
      </c>
      <c r="H2426" s="44" t="s">
        <v>2537</v>
      </c>
    </row>
    <row r="2427" spans="1:8">
      <c r="A2427" s="31">
        <f>COUNTIF('BOM Atual ZPCS12'!F:F,B2427)+(1-(SUMIF(Invoice!$A:$A,$B2427,Invoice!$B:$B)/100000000000))</f>
        <v>2</v>
      </c>
      <c r="B2427" s="52" t="s">
        <v>1158</v>
      </c>
      <c r="C2427" s="44" t="s">
        <v>1159</v>
      </c>
      <c r="D2427" s="44" t="s">
        <v>147</v>
      </c>
      <c r="E2427" s="44" t="s">
        <v>51</v>
      </c>
      <c r="G2427" s="44">
        <v>1219</v>
      </c>
      <c r="H2427" s="44" t="s">
        <v>2537</v>
      </c>
    </row>
    <row r="2428" spans="1:8">
      <c r="A2428" s="31">
        <f>COUNTIF('BOM Atual ZPCS12'!F:F,B2428)+(1-(SUMIF(Invoice!$A:$A,$B2428,Invoice!$B:$B)/100000000000))</f>
        <v>1</v>
      </c>
      <c r="B2428" s="52" t="s">
        <v>5573</v>
      </c>
      <c r="C2428" s="44" t="s">
        <v>5574</v>
      </c>
      <c r="D2428" s="44" t="s">
        <v>147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5575</v>
      </c>
      <c r="C2429" s="44" t="s">
        <v>5574</v>
      </c>
      <c r="D2429" s="44" t="s">
        <v>147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5576</v>
      </c>
      <c r="C2430" s="44" t="s">
        <v>5577</v>
      </c>
      <c r="D2430" s="44" t="s">
        <v>147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5578</v>
      </c>
      <c r="C2431" s="44" t="s">
        <v>5579</v>
      </c>
      <c r="D2431" s="44" t="s">
        <v>147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1.9999999499999999</v>
      </c>
      <c r="B2432" s="52" t="s">
        <v>1235</v>
      </c>
      <c r="C2432" s="44" t="s">
        <v>1236</v>
      </c>
      <c r="D2432" s="44" t="s">
        <v>147</v>
      </c>
      <c r="E2432" s="44" t="s">
        <v>51</v>
      </c>
      <c r="G2432" s="44">
        <v>1222</v>
      </c>
      <c r="H2432" s="44" t="s">
        <v>2537</v>
      </c>
    </row>
    <row r="2433" spans="1:8">
      <c r="A2433" s="31">
        <f>COUNTIF('BOM Atual ZPCS12'!F:F,B2433)+(1-(SUMIF(Invoice!$A:$A,$B2433,Invoice!$B:$B)/100000000000))</f>
        <v>2</v>
      </c>
      <c r="B2433" s="52" t="s">
        <v>1238</v>
      </c>
      <c r="C2433" s="44" t="s">
        <v>1239</v>
      </c>
      <c r="D2433" s="44" t="s">
        <v>147</v>
      </c>
      <c r="E2433" s="44" t="s">
        <v>51</v>
      </c>
      <c r="G2433" s="44">
        <v>1222</v>
      </c>
      <c r="H2433" s="44" t="s">
        <v>2537</v>
      </c>
    </row>
    <row r="2434" spans="1:8">
      <c r="A2434" s="31">
        <f>COUNTIF('BOM Atual ZPCS12'!F:F,B2434)+(1-(SUMIF(Invoice!$A:$A,$B2434,Invoice!$B:$B)/100000000000))</f>
        <v>1</v>
      </c>
      <c r="B2434" s="52" t="s">
        <v>5580</v>
      </c>
      <c r="C2434" s="44" t="s">
        <v>5581</v>
      </c>
      <c r="D2434" s="44" t="s">
        <v>147</v>
      </c>
      <c r="E2434" s="44" t="s">
        <v>51</v>
      </c>
      <c r="G2434" s="44">
        <v>1222</v>
      </c>
      <c r="H2434" s="44" t="s">
        <v>2537</v>
      </c>
    </row>
    <row r="2435" spans="1:8">
      <c r="A2435" s="31">
        <f>COUNTIF('BOM Atual ZPCS12'!F:F,B2435)+(1-(SUMIF(Invoice!$A:$A,$B2435,Invoice!$B:$B)/100000000000))</f>
        <v>2</v>
      </c>
      <c r="B2435" s="52" t="s">
        <v>1240</v>
      </c>
      <c r="C2435" s="44" t="s">
        <v>1241</v>
      </c>
      <c r="D2435" s="44" t="s">
        <v>147</v>
      </c>
      <c r="E2435" s="44" t="s">
        <v>51</v>
      </c>
      <c r="G2435" s="44">
        <v>1222</v>
      </c>
      <c r="H2435" s="44" t="s">
        <v>2537</v>
      </c>
    </row>
    <row r="2436" spans="1:8">
      <c r="A2436" s="31">
        <f>COUNTIF('BOM Atual ZPCS12'!F:F,B2436)+(1-(SUMIF(Invoice!$A:$A,$B2436,Invoice!$B:$B)/100000000000))</f>
        <v>1</v>
      </c>
      <c r="B2436" s="52" t="s">
        <v>5582</v>
      </c>
      <c r="C2436" s="44" t="s">
        <v>5583</v>
      </c>
      <c r="D2436" s="44" t="s">
        <v>147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5584</v>
      </c>
      <c r="C2437" s="44" t="s">
        <v>5585</v>
      </c>
      <c r="D2437" s="44" t="s">
        <v>147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5586</v>
      </c>
      <c r="C2438" s="44" t="s">
        <v>5585</v>
      </c>
      <c r="D2438" s="44" t="s">
        <v>147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5587</v>
      </c>
      <c r="C2439" s="44" t="s">
        <v>5588</v>
      </c>
      <c r="D2439" s="44" t="s">
        <v>147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5589</v>
      </c>
      <c r="C2440" s="44" t="s">
        <v>5590</v>
      </c>
      <c r="D2440" s="44" t="s">
        <v>147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5591</v>
      </c>
      <c r="C2441" s="44" t="s">
        <v>5592</v>
      </c>
      <c r="D2441" s="44" t="s">
        <v>147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5593</v>
      </c>
      <c r="C2442" s="44" t="s">
        <v>5594</v>
      </c>
      <c r="D2442" s="44" t="s">
        <v>147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5595</v>
      </c>
      <c r="C2443" s="44" t="s">
        <v>5596</v>
      </c>
      <c r="D2443" s="44" t="s">
        <v>147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5597</v>
      </c>
      <c r="C2444" s="44" t="s">
        <v>5598</v>
      </c>
      <c r="D2444" s="44" t="s">
        <v>147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5599</v>
      </c>
      <c r="C2445" s="44" t="s">
        <v>5600</v>
      </c>
      <c r="D2445" s="44" t="s">
        <v>147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5601</v>
      </c>
      <c r="C2446" s="44" t="s">
        <v>5602</v>
      </c>
      <c r="D2446" s="44" t="s">
        <v>147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5603</v>
      </c>
      <c r="C2447" s="44" t="s">
        <v>5604</v>
      </c>
      <c r="D2447" s="44" t="s">
        <v>147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1.9999999499999999</v>
      </c>
      <c r="B2448" s="52" t="s">
        <v>1265</v>
      </c>
      <c r="C2448" s="44" t="s">
        <v>1266</v>
      </c>
      <c r="D2448" s="44" t="s">
        <v>147</v>
      </c>
      <c r="E2448" s="44" t="s">
        <v>51</v>
      </c>
      <c r="G2448" s="44">
        <v>1226</v>
      </c>
      <c r="H2448" s="44" t="s">
        <v>2537</v>
      </c>
    </row>
    <row r="2449" spans="1:8">
      <c r="A2449" s="31">
        <f>COUNTIF('BOM Atual ZPCS12'!F:F,B2449)+(1-(SUMIF(Invoice!$A:$A,$B2449,Invoice!$B:$B)/100000000000))</f>
        <v>2</v>
      </c>
      <c r="B2449" s="52" t="s">
        <v>1268</v>
      </c>
      <c r="C2449" s="44" t="s">
        <v>1269</v>
      </c>
      <c r="D2449" s="44" t="s">
        <v>147</v>
      </c>
      <c r="E2449" s="44" t="s">
        <v>51</v>
      </c>
      <c r="G2449" s="44">
        <v>1226</v>
      </c>
      <c r="H2449" s="44" t="s">
        <v>2537</v>
      </c>
    </row>
    <row r="2450" spans="1:8">
      <c r="A2450" s="31">
        <f>COUNTIF('BOM Atual ZPCS12'!F:F,B2450)+(1-(SUMIF(Invoice!$A:$A,$B2450,Invoice!$B:$B)/100000000000))</f>
        <v>1</v>
      </c>
      <c r="B2450" s="52" t="s">
        <v>5605</v>
      </c>
      <c r="C2450" s="44" t="s">
        <v>5606</v>
      </c>
      <c r="D2450" s="44" t="s">
        <v>147</v>
      </c>
      <c r="E2450" s="44" t="s">
        <v>51</v>
      </c>
      <c r="G2450" s="44">
        <v>1226</v>
      </c>
      <c r="H2450" s="44" t="s">
        <v>2537</v>
      </c>
    </row>
    <row r="2451" spans="1:8">
      <c r="A2451" s="31">
        <f>COUNTIF('BOM Atual ZPCS12'!F:F,B2451)+(1-(SUMIF(Invoice!$A:$A,$B2451,Invoice!$B:$B)/100000000000))</f>
        <v>2</v>
      </c>
      <c r="B2451" s="52" t="s">
        <v>1270</v>
      </c>
      <c r="C2451" s="44" t="s">
        <v>1271</v>
      </c>
      <c r="D2451" s="44" t="s">
        <v>147</v>
      </c>
      <c r="E2451" s="44" t="s">
        <v>51</v>
      </c>
      <c r="G2451" s="44">
        <v>1226</v>
      </c>
      <c r="H2451" s="44" t="s">
        <v>2537</v>
      </c>
    </row>
    <row r="2452" spans="1:8">
      <c r="A2452" s="31">
        <f>COUNTIF('BOM Atual ZPCS12'!F:F,B2452)+(1-(SUMIF(Invoice!$A:$A,$B2452,Invoice!$B:$B)/100000000000))</f>
        <v>1</v>
      </c>
      <c r="B2452" s="52" t="s">
        <v>5607</v>
      </c>
      <c r="C2452" s="44" t="s">
        <v>5608</v>
      </c>
      <c r="D2452" s="44" t="s">
        <v>147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5609</v>
      </c>
      <c r="C2453" s="44" t="s">
        <v>5608</v>
      </c>
      <c r="D2453" s="44" t="s">
        <v>147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5610</v>
      </c>
      <c r="C2454" s="44" t="s">
        <v>5608</v>
      </c>
      <c r="D2454" s="44" t="s">
        <v>147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5611</v>
      </c>
      <c r="C2455" s="44" t="s">
        <v>5612</v>
      </c>
      <c r="D2455" s="44" t="s">
        <v>147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5613</v>
      </c>
      <c r="C2456" s="44" t="s">
        <v>5614</v>
      </c>
      <c r="D2456" s="44" t="s">
        <v>147</v>
      </c>
      <c r="E2456" s="44" t="s">
        <v>51</v>
      </c>
      <c r="G2456" s="44">
        <v>1228</v>
      </c>
      <c r="H2456" s="44" t="s">
        <v>2537</v>
      </c>
    </row>
    <row r="2457" spans="1:8">
      <c r="A2457" s="31">
        <f>COUNTIF('BOM Atual ZPCS12'!F:F,B2457)+(1-(SUMIF(Invoice!$A:$A,$B2457,Invoice!$B:$B)/100000000000))</f>
        <v>2</v>
      </c>
      <c r="B2457" s="52" t="s">
        <v>1412</v>
      </c>
      <c r="C2457" s="44" t="s">
        <v>1413</v>
      </c>
      <c r="D2457" s="44" t="s">
        <v>147</v>
      </c>
      <c r="E2457" s="44" t="s">
        <v>51</v>
      </c>
      <c r="G2457" s="44">
        <v>1228</v>
      </c>
      <c r="H2457" s="44" t="s">
        <v>2537</v>
      </c>
    </row>
    <row r="2458" spans="1:8">
      <c r="A2458" s="31">
        <f>COUNTIF('BOM Atual ZPCS12'!F:F,B2458)+(1-(SUMIF(Invoice!$A:$A,$B2458,Invoice!$B:$B)/100000000000))</f>
        <v>2</v>
      </c>
      <c r="B2458" s="52" t="s">
        <v>1415</v>
      </c>
      <c r="C2458" s="44" t="s">
        <v>1416</v>
      </c>
      <c r="D2458" s="44" t="s">
        <v>147</v>
      </c>
      <c r="E2458" s="44" t="s">
        <v>51</v>
      </c>
      <c r="G2458" s="44">
        <v>1228</v>
      </c>
      <c r="H2458" s="44" t="s">
        <v>2537</v>
      </c>
    </row>
    <row r="2459" spans="1:8">
      <c r="A2459" s="31">
        <f>COUNTIF('BOM Atual ZPCS12'!F:F,B2459)+(1-(SUMIF(Invoice!$A:$A,$B2459,Invoice!$B:$B)/100000000000))</f>
        <v>2</v>
      </c>
      <c r="B2459" s="52" t="s">
        <v>1417</v>
      </c>
      <c r="C2459" s="44" t="s">
        <v>1418</v>
      </c>
      <c r="D2459" s="44" t="s">
        <v>147</v>
      </c>
      <c r="E2459" s="44" t="s">
        <v>51</v>
      </c>
      <c r="G2459" s="44">
        <v>1228</v>
      </c>
      <c r="H2459" s="44" t="s">
        <v>2537</v>
      </c>
    </row>
    <row r="2460" spans="1:8">
      <c r="A2460" s="31">
        <f>COUNTIF('BOM Atual ZPCS12'!F:F,B2460)+(1-(SUMIF(Invoice!$A:$A,$B2460,Invoice!$B:$B)/100000000000))</f>
        <v>2</v>
      </c>
      <c r="B2460" s="52" t="s">
        <v>1419</v>
      </c>
      <c r="C2460" s="44" t="s">
        <v>5614</v>
      </c>
      <c r="D2460" s="44" t="s">
        <v>147</v>
      </c>
      <c r="E2460" s="44" t="s">
        <v>51</v>
      </c>
      <c r="G2460" s="44">
        <v>1228</v>
      </c>
      <c r="H2460" s="44" t="s">
        <v>2537</v>
      </c>
    </row>
    <row r="2461" spans="1:8">
      <c r="A2461" s="31">
        <f>COUNTIF('BOM Atual ZPCS12'!F:F,B2461)+(1-(SUMIF(Invoice!$A:$A,$B2461,Invoice!$B:$B)/100000000000))</f>
        <v>1.9999997</v>
      </c>
      <c r="B2461" s="52" t="s">
        <v>1421</v>
      </c>
      <c r="C2461" s="44" t="s">
        <v>1422</v>
      </c>
      <c r="D2461" s="44" t="s">
        <v>147</v>
      </c>
      <c r="E2461" s="44" t="s">
        <v>51</v>
      </c>
      <c r="G2461" s="44">
        <v>1228</v>
      </c>
      <c r="H2461" s="44" t="s">
        <v>2537</v>
      </c>
    </row>
    <row r="2462" spans="1:8">
      <c r="A2462" s="31">
        <f>COUNTIF('BOM Atual ZPCS12'!F:F,B2462)+(1-(SUMIF(Invoice!$A:$A,$B2462,Invoice!$B:$B)/100000000000))</f>
        <v>1</v>
      </c>
      <c r="B2462" s="52" t="s">
        <v>5615</v>
      </c>
      <c r="C2462" s="44" t="s">
        <v>5616</v>
      </c>
      <c r="D2462" s="44" t="s">
        <v>147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5617</v>
      </c>
      <c r="C2463" s="44" t="s">
        <v>5618</v>
      </c>
      <c r="D2463" s="44" t="s">
        <v>147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5619</v>
      </c>
      <c r="C2464" s="44" t="s">
        <v>5620</v>
      </c>
      <c r="D2464" s="44" t="s">
        <v>147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5621</v>
      </c>
      <c r="C2465" s="44" t="s">
        <v>5622</v>
      </c>
      <c r="D2465" s="44" t="s">
        <v>147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5623</v>
      </c>
      <c r="C2466" s="44" t="s">
        <v>5624</v>
      </c>
      <c r="D2466" s="44" t="s">
        <v>147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5625</v>
      </c>
      <c r="C2467" s="44" t="s">
        <v>5626</v>
      </c>
      <c r="D2467" s="44" t="s">
        <v>147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5627</v>
      </c>
      <c r="C2468" s="44" t="s">
        <v>5628</v>
      </c>
      <c r="D2468" s="44" t="s">
        <v>147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5629</v>
      </c>
      <c r="C2469" s="44" t="s">
        <v>5630</v>
      </c>
      <c r="D2469" s="44" t="s">
        <v>147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5631</v>
      </c>
      <c r="C2470" s="44" t="s">
        <v>5632</v>
      </c>
      <c r="D2470" s="44" t="s">
        <v>147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5633</v>
      </c>
      <c r="C2471" s="44" t="s">
        <v>5634</v>
      </c>
      <c r="D2471" s="44" t="s">
        <v>147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5635</v>
      </c>
      <c r="C2472" s="44" t="s">
        <v>5636</v>
      </c>
      <c r="D2472" s="44" t="s">
        <v>147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2</v>
      </c>
      <c r="B2473" s="52" t="s">
        <v>1441</v>
      </c>
      <c r="C2473" s="44" t="s">
        <v>1442</v>
      </c>
      <c r="D2473" s="44" t="s">
        <v>147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2</v>
      </c>
      <c r="B2474" s="52" t="s">
        <v>1444</v>
      </c>
      <c r="C2474" s="44" t="s">
        <v>1445</v>
      </c>
      <c r="D2474" s="44" t="s">
        <v>147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2</v>
      </c>
      <c r="B2475" s="52" t="s">
        <v>1446</v>
      </c>
      <c r="C2475" s="44" t="s">
        <v>1447</v>
      </c>
      <c r="D2475" s="44" t="s">
        <v>147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1.9999992500000001</v>
      </c>
      <c r="B2476" s="52" t="s">
        <v>1448</v>
      </c>
      <c r="C2476" s="44" t="s">
        <v>1449</v>
      </c>
      <c r="D2476" s="44" t="s">
        <v>147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5637</v>
      </c>
      <c r="C2477" s="44" t="s">
        <v>5638</v>
      </c>
      <c r="D2477" s="44" t="s">
        <v>147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5639</v>
      </c>
      <c r="C2478" s="44" t="s">
        <v>5640</v>
      </c>
      <c r="D2478" s="44" t="s">
        <v>147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5641</v>
      </c>
      <c r="C2479" s="44" t="s">
        <v>5640</v>
      </c>
      <c r="D2479" s="44" t="s">
        <v>147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5642</v>
      </c>
      <c r="C2480" s="44" t="s">
        <v>5640</v>
      </c>
      <c r="D2480" s="44" t="s">
        <v>147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5643</v>
      </c>
      <c r="C2481" s="44" t="s">
        <v>5644</v>
      </c>
      <c r="D2481" s="44" t="s">
        <v>147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5645</v>
      </c>
      <c r="C2482" s="44" t="s">
        <v>5640</v>
      </c>
      <c r="D2482" s="44" t="s">
        <v>147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5646</v>
      </c>
      <c r="C2483" s="44" t="s">
        <v>5640</v>
      </c>
      <c r="D2483" s="44" t="s">
        <v>147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1.9999999000000002</v>
      </c>
      <c r="B2484" s="52" t="s">
        <v>1465</v>
      </c>
      <c r="C2484" s="44" t="s">
        <v>1466</v>
      </c>
      <c r="D2484" s="44" t="s">
        <v>147</v>
      </c>
      <c r="E2484" s="44" t="s">
        <v>51</v>
      </c>
      <c r="G2484" s="44">
        <v>1233</v>
      </c>
      <c r="H2484" s="44" t="s">
        <v>2537</v>
      </c>
    </row>
    <row r="2485" spans="1:8">
      <c r="A2485" s="31">
        <f>COUNTIF('BOM Atual ZPCS12'!F:F,B2485)+(1-(SUMIF(Invoice!$A:$A,$B2485,Invoice!$B:$B)/100000000000))</f>
        <v>1</v>
      </c>
      <c r="B2485" s="52" t="s">
        <v>5647</v>
      </c>
      <c r="C2485" s="44" t="s">
        <v>5648</v>
      </c>
      <c r="D2485" s="44" t="s">
        <v>147</v>
      </c>
      <c r="E2485" s="44" t="s">
        <v>51</v>
      </c>
      <c r="G2485" s="44">
        <v>1233</v>
      </c>
      <c r="H2485" s="44" t="s">
        <v>2537</v>
      </c>
    </row>
    <row r="2486" spans="1:8">
      <c r="A2486" s="31">
        <f>COUNTIF('BOM Atual ZPCS12'!F:F,B2486)+(1-(SUMIF(Invoice!$A:$A,$B2486,Invoice!$B:$B)/100000000000))</f>
        <v>2</v>
      </c>
      <c r="B2486" s="52" t="s">
        <v>1468</v>
      </c>
      <c r="C2486" s="44" t="s">
        <v>5648</v>
      </c>
      <c r="D2486" s="44" t="s">
        <v>147</v>
      </c>
      <c r="E2486" s="44" t="s">
        <v>51</v>
      </c>
      <c r="G2486" s="44">
        <v>1233</v>
      </c>
      <c r="H2486" s="44" t="s">
        <v>2537</v>
      </c>
    </row>
    <row r="2487" spans="1:8">
      <c r="A2487" s="31">
        <f>COUNTIF('BOM Atual ZPCS12'!F:F,B2487)+(1-(SUMIF(Invoice!$A:$A,$B2487,Invoice!$B:$B)/100000000000))</f>
        <v>2</v>
      </c>
      <c r="B2487" s="52" t="s">
        <v>1470</v>
      </c>
      <c r="C2487" s="44" t="s">
        <v>5649</v>
      </c>
      <c r="D2487" s="44" t="s">
        <v>147</v>
      </c>
      <c r="E2487" s="44" t="s">
        <v>51</v>
      </c>
      <c r="G2487" s="44">
        <v>1233</v>
      </c>
      <c r="H2487" s="44" t="s">
        <v>2537</v>
      </c>
    </row>
    <row r="2488" spans="1:8">
      <c r="A2488" s="31">
        <f>COUNTIF('BOM Atual ZPCS12'!F:F,B2488)+(1-(SUMIF(Invoice!$A:$A,$B2488,Invoice!$B:$B)/100000000000))</f>
        <v>1</v>
      </c>
      <c r="B2488" s="52" t="s">
        <v>5650</v>
      </c>
      <c r="C2488" s="44" t="s">
        <v>5651</v>
      </c>
      <c r="D2488" s="44" t="s">
        <v>147</v>
      </c>
      <c r="E2488" s="44" t="s">
        <v>51</v>
      </c>
      <c r="G2488" s="44">
        <v>1233</v>
      </c>
      <c r="H2488" s="44" t="s">
        <v>2537</v>
      </c>
    </row>
    <row r="2489" spans="1:8">
      <c r="A2489" s="31">
        <f>COUNTIF('BOM Atual ZPCS12'!F:F,B2489)+(1-(SUMIF(Invoice!$A:$A,$B2489,Invoice!$B:$B)/100000000000))</f>
        <v>2</v>
      </c>
      <c r="B2489" s="52" t="s">
        <v>1472</v>
      </c>
      <c r="C2489" s="44" t="s">
        <v>5648</v>
      </c>
      <c r="D2489" s="44" t="s">
        <v>147</v>
      </c>
      <c r="E2489" s="44" t="s">
        <v>51</v>
      </c>
      <c r="G2489" s="44">
        <v>1233</v>
      </c>
      <c r="H2489" s="44" t="s">
        <v>2537</v>
      </c>
    </row>
    <row r="2490" spans="1:8">
      <c r="A2490" s="31">
        <f>COUNTIF('BOM Atual ZPCS12'!F:F,B2490)+(1-(SUMIF(Invoice!$A:$A,$B2490,Invoice!$B:$B)/100000000000))</f>
        <v>1</v>
      </c>
      <c r="B2490" s="52" t="s">
        <v>5652</v>
      </c>
      <c r="C2490" s="44" t="s">
        <v>5653</v>
      </c>
      <c r="D2490" s="44" t="s">
        <v>147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5654</v>
      </c>
      <c r="C2491" s="44" t="s">
        <v>5655</v>
      </c>
      <c r="D2491" s="44" t="s">
        <v>147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5656</v>
      </c>
      <c r="C2492" s="44" t="s">
        <v>5657</v>
      </c>
      <c r="D2492" s="44" t="s">
        <v>147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5658</v>
      </c>
      <c r="C2493" s="44" t="s">
        <v>5659</v>
      </c>
      <c r="D2493" s="44" t="s">
        <v>147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5660</v>
      </c>
      <c r="C2494" s="44" t="s">
        <v>5661</v>
      </c>
      <c r="D2494" s="44" t="s">
        <v>147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5662</v>
      </c>
      <c r="C2495" s="44" t="s">
        <v>5663</v>
      </c>
      <c r="D2495" s="44" t="s">
        <v>147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5664</v>
      </c>
      <c r="C2496" s="44" t="s">
        <v>5663</v>
      </c>
      <c r="D2496" s="44" t="s">
        <v>147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5665</v>
      </c>
      <c r="C2497" s="44" t="s">
        <v>5663</v>
      </c>
      <c r="D2497" s="44" t="s">
        <v>147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5666</v>
      </c>
      <c r="C2498" s="44" t="s">
        <v>5667</v>
      </c>
      <c r="D2498" s="44" t="s">
        <v>147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5668</v>
      </c>
      <c r="C2499" s="44" t="s">
        <v>5669</v>
      </c>
      <c r="D2499" s="44" t="s">
        <v>147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5670</v>
      </c>
      <c r="C2500" s="44" t="s">
        <v>5663</v>
      </c>
      <c r="D2500" s="44" t="s">
        <v>147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1.9999999900000001</v>
      </c>
      <c r="B2501" s="52" t="s">
        <v>1848</v>
      </c>
      <c r="C2501" s="44" t="s">
        <v>5671</v>
      </c>
      <c r="D2501" s="44" t="s">
        <v>147</v>
      </c>
      <c r="E2501" s="44" t="s">
        <v>51</v>
      </c>
      <c r="G2501" s="44">
        <v>1236</v>
      </c>
      <c r="H2501" s="44" t="s">
        <v>2537</v>
      </c>
    </row>
    <row r="2502" spans="1:8">
      <c r="A2502" s="31">
        <f>COUNTIF('BOM Atual ZPCS12'!F:F,B2502)+(1-(SUMIF(Invoice!$A:$A,$B2502,Invoice!$B:$B)/100000000000))</f>
        <v>1</v>
      </c>
      <c r="B2502" s="52" t="s">
        <v>5672</v>
      </c>
      <c r="C2502" s="44" t="s">
        <v>5673</v>
      </c>
      <c r="D2502" s="44" t="s">
        <v>147</v>
      </c>
      <c r="E2502" s="44" t="s">
        <v>51</v>
      </c>
      <c r="G2502" s="44">
        <v>1236</v>
      </c>
      <c r="H2502" s="44" t="s">
        <v>2537</v>
      </c>
    </row>
    <row r="2503" spans="1:8">
      <c r="A2503" s="31">
        <f>COUNTIF('BOM Atual ZPCS12'!F:F,B2503)+(1-(SUMIF(Invoice!$A:$A,$B2503,Invoice!$B:$B)/100000000000))</f>
        <v>2</v>
      </c>
      <c r="B2503" s="52" t="s">
        <v>1851</v>
      </c>
      <c r="C2503" s="44" t="s">
        <v>1852</v>
      </c>
      <c r="D2503" s="44" t="s">
        <v>147</v>
      </c>
      <c r="E2503" s="44" t="s">
        <v>51</v>
      </c>
      <c r="G2503" s="44">
        <v>1236</v>
      </c>
      <c r="H2503" s="44" t="s">
        <v>2537</v>
      </c>
    </row>
    <row r="2504" spans="1:8">
      <c r="A2504" s="31">
        <f>COUNTIF('BOM Atual ZPCS12'!F:F,B2504)+(1-(SUMIF(Invoice!$A:$A,$B2504,Invoice!$B:$B)/100000000000))</f>
        <v>1.999999968</v>
      </c>
      <c r="B2504" s="52" t="s">
        <v>1867</v>
      </c>
      <c r="C2504" s="44" t="s">
        <v>1868</v>
      </c>
      <c r="D2504" s="44" t="s">
        <v>147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2</v>
      </c>
      <c r="B2505" s="52" t="s">
        <v>1870</v>
      </c>
      <c r="C2505" s="44" t="s">
        <v>1871</v>
      </c>
      <c r="D2505" s="44" t="s">
        <v>147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5674</v>
      </c>
      <c r="C2506" s="44" t="s">
        <v>5675</v>
      </c>
      <c r="D2506" s="44" t="s">
        <v>147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5676</v>
      </c>
      <c r="C2507" s="44" t="s">
        <v>5677</v>
      </c>
      <c r="D2507" s="44" t="s">
        <v>147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5678</v>
      </c>
      <c r="C2508" s="44" t="s">
        <v>5679</v>
      </c>
      <c r="D2508" s="44" t="s">
        <v>147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5680</v>
      </c>
      <c r="C2509" s="44" t="s">
        <v>5681</v>
      </c>
      <c r="D2509" s="44" t="s">
        <v>147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1.9999999900000001</v>
      </c>
      <c r="B2510" s="52" t="s">
        <v>1983</v>
      </c>
      <c r="C2510" s="44" t="s">
        <v>5682</v>
      </c>
      <c r="D2510" s="44" t="s">
        <v>147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2</v>
      </c>
      <c r="B2511" s="52" t="s">
        <v>1986</v>
      </c>
      <c r="C2511" s="44" t="s">
        <v>5682</v>
      </c>
      <c r="D2511" s="44" t="s">
        <v>147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5683</v>
      </c>
      <c r="C2512" s="44" t="s">
        <v>5684</v>
      </c>
      <c r="D2512" s="44" t="s">
        <v>147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5685</v>
      </c>
      <c r="C2513" s="44" t="s">
        <v>5686</v>
      </c>
      <c r="D2513" s="44" t="s">
        <v>147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5687</v>
      </c>
      <c r="C2514" s="44" t="s">
        <v>5688</v>
      </c>
      <c r="D2514" s="44" t="s">
        <v>147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5689</v>
      </c>
      <c r="C2515" s="44" t="s">
        <v>5690</v>
      </c>
      <c r="D2515" s="44" t="s">
        <v>147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2</v>
      </c>
      <c r="B2516" s="52" t="s">
        <v>201</v>
      </c>
      <c r="C2516" s="44" t="s">
        <v>202</v>
      </c>
      <c r="D2516" s="44" t="s">
        <v>147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1.9999999900000001</v>
      </c>
      <c r="B2517" s="52" t="s">
        <v>204</v>
      </c>
      <c r="C2517" s="44" t="s">
        <v>205</v>
      </c>
      <c r="D2517" s="44" t="s">
        <v>147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1.9999999900000001</v>
      </c>
      <c r="B2518" s="52" t="s">
        <v>206</v>
      </c>
      <c r="C2518" s="44" t="s">
        <v>207</v>
      </c>
      <c r="D2518" s="44" t="s">
        <v>147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2</v>
      </c>
      <c r="B2519" s="52" t="s">
        <v>209</v>
      </c>
      <c r="C2519" s="44" t="s">
        <v>210</v>
      </c>
      <c r="D2519" s="44" t="s">
        <v>147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2</v>
      </c>
      <c r="B2520" s="52" t="s">
        <v>217</v>
      </c>
      <c r="C2520" s="44" t="s">
        <v>218</v>
      </c>
      <c r="D2520" s="44" t="s">
        <v>147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1.9999999898</v>
      </c>
      <c r="B2521" s="52" t="s">
        <v>220</v>
      </c>
      <c r="C2521" s="44" t="s">
        <v>221</v>
      </c>
      <c r="D2521" s="44" t="s">
        <v>147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2</v>
      </c>
      <c r="B2522" s="52" t="s">
        <v>222</v>
      </c>
      <c r="C2522" s="44" t="s">
        <v>223</v>
      </c>
      <c r="D2522" s="44" t="s">
        <v>147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1.9999999891</v>
      </c>
      <c r="B2523" s="52" t="s">
        <v>225</v>
      </c>
      <c r="C2523" s="44" t="s">
        <v>226</v>
      </c>
      <c r="D2523" s="44" t="s">
        <v>147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1.9999999899200001</v>
      </c>
      <c r="B2524" s="52" t="s">
        <v>227</v>
      </c>
      <c r="C2524" s="44" t="s">
        <v>228</v>
      </c>
      <c r="D2524" s="44" t="s">
        <v>147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2</v>
      </c>
      <c r="B2525" s="52" t="s">
        <v>230</v>
      </c>
      <c r="C2525" s="44" t="s">
        <v>231</v>
      </c>
      <c r="D2525" s="44" t="s">
        <v>147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2</v>
      </c>
      <c r="B2526" s="52" t="s">
        <v>232</v>
      </c>
      <c r="C2526" s="44" t="s">
        <v>233</v>
      </c>
      <c r="D2526" s="44" t="s">
        <v>147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1.9999999900000001</v>
      </c>
      <c r="B2527" s="52" t="s">
        <v>235</v>
      </c>
      <c r="C2527" s="44" t="s">
        <v>236</v>
      </c>
      <c r="D2527" s="44" t="s">
        <v>147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2</v>
      </c>
      <c r="B2528" s="52" t="s">
        <v>237</v>
      </c>
      <c r="C2528" s="44" t="s">
        <v>238</v>
      </c>
      <c r="D2528" s="44" t="s">
        <v>147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1.9999999887</v>
      </c>
      <c r="B2529" s="52" t="s">
        <v>240</v>
      </c>
      <c r="C2529" s="44" t="s">
        <v>241</v>
      </c>
      <c r="D2529" s="44" t="s">
        <v>147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1.99999998944</v>
      </c>
      <c r="B2530" s="52" t="s">
        <v>242</v>
      </c>
      <c r="C2530" s="44" t="s">
        <v>243</v>
      </c>
      <c r="D2530" s="44" t="s">
        <v>147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2</v>
      </c>
      <c r="B2531" s="52" t="s">
        <v>245</v>
      </c>
      <c r="C2531" s="44" t="s">
        <v>246</v>
      </c>
      <c r="D2531" s="44" t="s">
        <v>147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1.9999999896</v>
      </c>
      <c r="B2532" s="52" t="s">
        <v>283</v>
      </c>
      <c r="C2532" s="44" t="s">
        <v>284</v>
      </c>
      <c r="D2532" s="44" t="s">
        <v>147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2</v>
      </c>
      <c r="B2533" s="52" t="s">
        <v>286</v>
      </c>
      <c r="C2533" s="44" t="s">
        <v>287</v>
      </c>
      <c r="D2533" s="44" t="s">
        <v>147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1.9999999900000001</v>
      </c>
      <c r="B2534" s="52" t="s">
        <v>329</v>
      </c>
      <c r="C2534" s="44" t="s">
        <v>5691</v>
      </c>
      <c r="D2534" s="44" t="s">
        <v>147</v>
      </c>
      <c r="E2534" s="44" t="s">
        <v>51</v>
      </c>
      <c r="G2534" s="44">
        <v>1253</v>
      </c>
      <c r="H2534" s="44" t="s">
        <v>2537</v>
      </c>
    </row>
    <row r="2535" spans="1:8">
      <c r="A2535" s="31">
        <f>COUNTIF('BOM Atual ZPCS12'!F:F,B2535)+(1-(SUMIF(Invoice!$A:$A,$B2535,Invoice!$B:$B)/100000000000))</f>
        <v>2</v>
      </c>
      <c r="B2535" s="52" t="s">
        <v>331</v>
      </c>
      <c r="C2535" s="44" t="s">
        <v>5692</v>
      </c>
      <c r="D2535" s="44" t="s">
        <v>147</v>
      </c>
      <c r="E2535" s="44" t="s">
        <v>51</v>
      </c>
      <c r="G2535" s="44">
        <v>1253</v>
      </c>
      <c r="H2535" s="44" t="s">
        <v>2537</v>
      </c>
    </row>
    <row r="2536" spans="1:8">
      <c r="A2536" s="31">
        <f>COUNTIF('BOM Atual ZPCS12'!F:F,B2536)+(1-(SUMIF(Invoice!$A:$A,$B2536,Invoice!$B:$B)/100000000000))</f>
        <v>1</v>
      </c>
      <c r="B2536" s="52" t="s">
        <v>5693</v>
      </c>
      <c r="C2536" s="44" t="s">
        <v>5694</v>
      </c>
      <c r="D2536" s="44" t="s">
        <v>147</v>
      </c>
      <c r="E2536" s="44" t="s">
        <v>51</v>
      </c>
      <c r="G2536" s="44">
        <v>1253</v>
      </c>
      <c r="H2536" s="44" t="s">
        <v>2537</v>
      </c>
    </row>
    <row r="2537" spans="1:8">
      <c r="A2537" s="31">
        <f>COUNTIF('BOM Atual ZPCS12'!F:F,B2537)+(1-(SUMIF(Invoice!$A:$A,$B2537,Invoice!$B:$B)/100000000000))</f>
        <v>2</v>
      </c>
      <c r="B2537" s="52" t="s">
        <v>292</v>
      </c>
      <c r="C2537" s="44" t="s">
        <v>293</v>
      </c>
      <c r="D2537" s="44" t="s">
        <v>147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2</v>
      </c>
      <c r="B2538" s="52" t="s">
        <v>294</v>
      </c>
      <c r="C2538" s="44" t="s">
        <v>295</v>
      </c>
      <c r="D2538" s="44" t="s">
        <v>147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2.9999999900000001</v>
      </c>
      <c r="B2539" s="52" t="s">
        <v>296</v>
      </c>
      <c r="C2539" s="44" t="s">
        <v>297</v>
      </c>
      <c r="D2539" s="44" t="s">
        <v>147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2</v>
      </c>
      <c r="B2540" s="52" t="s">
        <v>359</v>
      </c>
      <c r="C2540" s="44" t="s">
        <v>360</v>
      </c>
      <c r="D2540" s="44" t="s">
        <v>147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1.9999999900000001</v>
      </c>
      <c r="B2541" s="52" t="s">
        <v>361</v>
      </c>
      <c r="C2541" s="44" t="s">
        <v>362</v>
      </c>
      <c r="D2541" s="44" t="s">
        <v>147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2</v>
      </c>
      <c r="B2542" s="52" t="s">
        <v>302</v>
      </c>
      <c r="C2542" s="44" t="s">
        <v>5695</v>
      </c>
      <c r="D2542" s="44" t="s">
        <v>147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1.9999999800000001</v>
      </c>
      <c r="B2543" s="52" t="s">
        <v>304</v>
      </c>
      <c r="C2543" s="44" t="s">
        <v>305</v>
      </c>
      <c r="D2543" s="44" t="s">
        <v>147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2</v>
      </c>
      <c r="B2544" s="52" t="s">
        <v>306</v>
      </c>
      <c r="C2544" s="44" t="s">
        <v>307</v>
      </c>
      <c r="D2544" s="44" t="s">
        <v>147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1.9999998400000001</v>
      </c>
      <c r="B2545" s="52" t="s">
        <v>515</v>
      </c>
      <c r="C2545" s="44" t="s">
        <v>516</v>
      </c>
      <c r="D2545" s="44" t="s">
        <v>147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2</v>
      </c>
      <c r="B2546" s="52" t="s">
        <v>517</v>
      </c>
      <c r="C2546" s="44" t="s">
        <v>518</v>
      </c>
      <c r="D2546" s="44" t="s">
        <v>147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1.99999996</v>
      </c>
      <c r="B2547" s="52" t="s">
        <v>616</v>
      </c>
      <c r="C2547" s="44" t="s">
        <v>617</v>
      </c>
      <c r="D2547" s="44" t="s">
        <v>147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2</v>
      </c>
      <c r="B2548" s="52" t="s">
        <v>618</v>
      </c>
      <c r="C2548" s="44" t="s">
        <v>619</v>
      </c>
      <c r="D2548" s="44" t="s">
        <v>147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2</v>
      </c>
      <c r="B2549" s="52" t="s">
        <v>620</v>
      </c>
      <c r="C2549" s="44" t="s">
        <v>621</v>
      </c>
      <c r="D2549" s="44" t="s">
        <v>147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1.9999999900000001</v>
      </c>
      <c r="B2550" s="52" t="s">
        <v>622</v>
      </c>
      <c r="C2550" s="44" t="s">
        <v>623</v>
      </c>
      <c r="D2550" s="44" t="s">
        <v>147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2</v>
      </c>
      <c r="B2551" s="52" t="s">
        <v>712</v>
      </c>
      <c r="C2551" s="44" t="s">
        <v>713</v>
      </c>
      <c r="D2551" s="44" t="s">
        <v>147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1.9999999000000002</v>
      </c>
      <c r="B2552" s="52" t="s">
        <v>714</v>
      </c>
      <c r="C2552" s="44" t="s">
        <v>715</v>
      </c>
      <c r="D2552" s="44" t="s">
        <v>147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2</v>
      </c>
      <c r="B2553" s="52" t="s">
        <v>716</v>
      </c>
      <c r="C2553" s="44" t="s">
        <v>717</v>
      </c>
      <c r="D2553" s="44" t="s">
        <v>147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2</v>
      </c>
      <c r="B2554" s="52" t="s">
        <v>759</v>
      </c>
      <c r="C2554" s="44" t="s">
        <v>760</v>
      </c>
      <c r="D2554" s="44" t="s">
        <v>147</v>
      </c>
      <c r="E2554" s="44" t="s">
        <v>51</v>
      </c>
      <c r="G2554" s="44">
        <v>1262</v>
      </c>
      <c r="H2554" s="44" t="s">
        <v>2537</v>
      </c>
    </row>
    <row r="2555" spans="1:8">
      <c r="A2555" s="31">
        <f>COUNTIF('BOM Atual ZPCS12'!F:F,B2555)+(1-(SUMIF(Invoice!$A:$A,$B2555,Invoice!$B:$B)/100000000000))</f>
        <v>2</v>
      </c>
      <c r="B2555" s="52" t="s">
        <v>761</v>
      </c>
      <c r="C2555" s="44" t="s">
        <v>762</v>
      </c>
      <c r="D2555" s="44" t="s">
        <v>147</v>
      </c>
      <c r="E2555" s="44" t="s">
        <v>51</v>
      </c>
      <c r="G2555" s="44">
        <v>1262</v>
      </c>
      <c r="H2555" s="44" t="s">
        <v>2537</v>
      </c>
    </row>
    <row r="2556" spans="1:8">
      <c r="A2556" s="31">
        <f>COUNTIF('BOM Atual ZPCS12'!F:F,B2556)+(1-(SUMIF(Invoice!$A:$A,$B2556,Invoice!$B:$B)/100000000000))</f>
        <v>1.9999999000000002</v>
      </c>
      <c r="B2556" s="52" t="s">
        <v>763</v>
      </c>
      <c r="C2556" s="44" t="s">
        <v>764</v>
      </c>
      <c r="D2556" s="44" t="s">
        <v>147</v>
      </c>
      <c r="E2556" s="44" t="s">
        <v>51</v>
      </c>
      <c r="G2556" s="44">
        <v>1262</v>
      </c>
      <c r="H2556" s="44" t="s">
        <v>2537</v>
      </c>
    </row>
    <row r="2557" spans="1:8">
      <c r="A2557" s="31">
        <f>COUNTIF('BOM Atual ZPCS12'!F:F,B2557)+(1-(SUMIF(Invoice!$A:$A,$B2557,Invoice!$B:$B)/100000000000))</f>
        <v>2</v>
      </c>
      <c r="B2557" s="52" t="s">
        <v>859</v>
      </c>
      <c r="C2557" s="44" t="s">
        <v>860</v>
      </c>
      <c r="D2557" s="44" t="s">
        <v>147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2</v>
      </c>
      <c r="B2558" s="52" t="s">
        <v>862</v>
      </c>
      <c r="C2558" s="44" t="s">
        <v>863</v>
      </c>
      <c r="D2558" s="44" t="s">
        <v>147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1.9999999000000002</v>
      </c>
      <c r="B2559" s="52" t="s">
        <v>864</v>
      </c>
      <c r="C2559" s="44" t="s">
        <v>865</v>
      </c>
      <c r="D2559" s="44" t="s">
        <v>147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1.9999999000000002</v>
      </c>
      <c r="B2560" s="52" t="s">
        <v>894</v>
      </c>
      <c r="C2560" s="44" t="s">
        <v>895</v>
      </c>
      <c r="D2560" s="44" t="s">
        <v>147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2</v>
      </c>
      <c r="B2561" s="52" t="s">
        <v>897</v>
      </c>
      <c r="C2561" s="44" t="s">
        <v>898</v>
      </c>
      <c r="D2561" s="44" t="s">
        <v>147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2</v>
      </c>
      <c r="B2562" s="52" t="s">
        <v>899</v>
      </c>
      <c r="C2562" s="44" t="s">
        <v>900</v>
      </c>
      <c r="D2562" s="44" t="s">
        <v>147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2</v>
      </c>
      <c r="B2563" s="52" t="s">
        <v>981</v>
      </c>
      <c r="C2563" s="44" t="s">
        <v>982</v>
      </c>
      <c r="D2563" s="44" t="s">
        <v>147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1.9999999000000002</v>
      </c>
      <c r="B2564" s="52" t="s">
        <v>984</v>
      </c>
      <c r="C2564" s="44" t="s">
        <v>985</v>
      </c>
      <c r="D2564" s="44" t="s">
        <v>147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2</v>
      </c>
      <c r="B2565" s="52" t="s">
        <v>986</v>
      </c>
      <c r="C2565" s="44" t="s">
        <v>987</v>
      </c>
      <c r="D2565" s="44" t="s">
        <v>147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2</v>
      </c>
      <c r="B2566" s="52" t="s">
        <v>1009</v>
      </c>
      <c r="C2566" s="44" t="s">
        <v>1010</v>
      </c>
      <c r="D2566" s="44" t="s">
        <v>147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1.9999999000000002</v>
      </c>
      <c r="B2567" s="52" t="s">
        <v>1012</v>
      </c>
      <c r="C2567" s="44" t="s">
        <v>1013</v>
      </c>
      <c r="D2567" s="44" t="s">
        <v>147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2</v>
      </c>
      <c r="B2568" s="52" t="s">
        <v>1014</v>
      </c>
      <c r="C2568" s="44" t="s">
        <v>1015</v>
      </c>
      <c r="D2568" s="44" t="s">
        <v>147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1.9999999000000002</v>
      </c>
      <c r="B2569" s="52" t="s">
        <v>1037</v>
      </c>
      <c r="C2569" s="44" t="s">
        <v>5696</v>
      </c>
      <c r="D2569" s="44" t="s">
        <v>147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2</v>
      </c>
      <c r="B2570" s="52" t="s">
        <v>1040</v>
      </c>
      <c r="C2570" s="44" t="s">
        <v>5696</v>
      </c>
      <c r="D2570" s="44" t="s">
        <v>147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2</v>
      </c>
      <c r="B2571" s="52" t="s">
        <v>1041</v>
      </c>
      <c r="C2571" s="44" t="s">
        <v>1042</v>
      </c>
      <c r="D2571" s="44" t="s">
        <v>147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2</v>
      </c>
      <c r="B2572" s="52" t="s">
        <v>1043</v>
      </c>
      <c r="C2572" s="44" t="s">
        <v>1044</v>
      </c>
      <c r="D2572" s="44" t="s">
        <v>147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1.9999999000000002</v>
      </c>
      <c r="B2573" s="52" t="s">
        <v>1045</v>
      </c>
      <c r="C2573" s="44" t="s">
        <v>5697</v>
      </c>
      <c r="D2573" s="44" t="s">
        <v>147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2</v>
      </c>
      <c r="B2574" s="52" t="s">
        <v>1048</v>
      </c>
      <c r="C2574" s="44" t="s">
        <v>5697</v>
      </c>
      <c r="D2574" s="44" t="s">
        <v>147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2</v>
      </c>
      <c r="B2575" s="52" t="s">
        <v>1049</v>
      </c>
      <c r="C2575" s="44" t="s">
        <v>1050</v>
      </c>
      <c r="D2575" s="44" t="s">
        <v>147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1.9999999000000002</v>
      </c>
      <c r="B2576" s="52" t="s">
        <v>1051</v>
      </c>
      <c r="C2576" s="44" t="s">
        <v>5698</v>
      </c>
      <c r="D2576" s="44" t="s">
        <v>147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2</v>
      </c>
      <c r="B2577" s="52" t="s">
        <v>1054</v>
      </c>
      <c r="C2577" s="44" t="s">
        <v>1055</v>
      </c>
      <c r="D2577" s="44" t="s">
        <v>147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2</v>
      </c>
      <c r="B2578" s="52" t="s">
        <v>1056</v>
      </c>
      <c r="C2578" s="44" t="s">
        <v>1057</v>
      </c>
      <c r="D2578" s="44" t="s">
        <v>147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1.9999999000000002</v>
      </c>
      <c r="B2579" s="52" t="s">
        <v>1072</v>
      </c>
      <c r="C2579" s="44" t="s">
        <v>5699</v>
      </c>
      <c r="D2579" s="44" t="s">
        <v>147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2</v>
      </c>
      <c r="B2580" s="52" t="s">
        <v>1075</v>
      </c>
      <c r="C2580" s="44" t="s">
        <v>1076</v>
      </c>
      <c r="D2580" s="44" t="s">
        <v>147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2</v>
      </c>
      <c r="B2581" s="52" t="s">
        <v>1077</v>
      </c>
      <c r="C2581" s="44" t="s">
        <v>1078</v>
      </c>
      <c r="D2581" s="44" t="s">
        <v>147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1.9999999000000002</v>
      </c>
      <c r="B2582" s="52" t="s">
        <v>1107</v>
      </c>
      <c r="C2582" s="44" t="s">
        <v>1108</v>
      </c>
      <c r="D2582" s="44" t="s">
        <v>147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2</v>
      </c>
      <c r="B2583" s="52" t="s">
        <v>1110</v>
      </c>
      <c r="C2583" s="44" t="s">
        <v>1111</v>
      </c>
      <c r="D2583" s="44" t="s">
        <v>147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2</v>
      </c>
      <c r="B2584" s="52" t="s">
        <v>1112</v>
      </c>
      <c r="C2584" s="44" t="s">
        <v>1113</v>
      </c>
      <c r="D2584" s="44" t="s">
        <v>147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2</v>
      </c>
      <c r="B2585" s="52" t="s">
        <v>1167</v>
      </c>
      <c r="C2585" s="44" t="s">
        <v>1168</v>
      </c>
      <c r="D2585" s="44" t="s">
        <v>147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2</v>
      </c>
      <c r="B2586" s="52" t="s">
        <v>1170</v>
      </c>
      <c r="C2586" s="44" t="s">
        <v>1171</v>
      </c>
      <c r="D2586" s="44" t="s">
        <v>147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1.9999999499999999</v>
      </c>
      <c r="B2587" s="52" t="s">
        <v>1172</v>
      </c>
      <c r="C2587" s="44" t="s">
        <v>1173</v>
      </c>
      <c r="D2587" s="44" t="s">
        <v>147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2</v>
      </c>
      <c r="B2588" s="52" t="s">
        <v>1221</v>
      </c>
      <c r="C2588" s="44" t="s">
        <v>1222</v>
      </c>
      <c r="D2588" s="44" t="s">
        <v>147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2</v>
      </c>
      <c r="B2589" s="52" t="s">
        <v>1224</v>
      </c>
      <c r="C2589" s="44" t="s">
        <v>1225</v>
      </c>
      <c r="D2589" s="44" t="s">
        <v>147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1.9999999499999999</v>
      </c>
      <c r="B2590" s="52" t="s">
        <v>1226</v>
      </c>
      <c r="C2590" s="44" t="s">
        <v>1227</v>
      </c>
      <c r="D2590" s="44" t="s">
        <v>147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2</v>
      </c>
      <c r="B2591" s="52" t="s">
        <v>1256</v>
      </c>
      <c r="C2591" s="44" t="s">
        <v>1257</v>
      </c>
      <c r="D2591" s="44" t="s">
        <v>147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2</v>
      </c>
      <c r="B2592" s="52" t="s">
        <v>1259</v>
      </c>
      <c r="C2592" s="44" t="s">
        <v>1260</v>
      </c>
      <c r="D2592" s="44" t="s">
        <v>147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2</v>
      </c>
      <c r="B2593" s="52" t="s">
        <v>1261</v>
      </c>
      <c r="C2593" s="44" t="s">
        <v>1262</v>
      </c>
      <c r="D2593" s="44" t="s">
        <v>147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1.9999999499999999</v>
      </c>
      <c r="B2594" s="52" t="s">
        <v>1263</v>
      </c>
      <c r="C2594" s="44" t="s">
        <v>1264</v>
      </c>
      <c r="D2594" s="44" t="s">
        <v>147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1.9999999499999999</v>
      </c>
      <c r="B2595" s="52" t="s">
        <v>1321</v>
      </c>
      <c r="C2595" s="44" t="s">
        <v>1322</v>
      </c>
      <c r="D2595" s="44" t="s">
        <v>147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2</v>
      </c>
      <c r="B2596" s="52" t="s">
        <v>1324</v>
      </c>
      <c r="C2596" s="44" t="s">
        <v>1325</v>
      </c>
      <c r="D2596" s="44" t="s">
        <v>147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2</v>
      </c>
      <c r="B2597" s="52" t="s">
        <v>1326</v>
      </c>
      <c r="C2597" s="44" t="s">
        <v>1327</v>
      </c>
      <c r="D2597" s="44" t="s">
        <v>147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1.9999999499999999</v>
      </c>
      <c r="B2598" s="52" t="s">
        <v>1342</v>
      </c>
      <c r="C2598" s="44" t="s">
        <v>1343</v>
      </c>
      <c r="D2598" s="44" t="s">
        <v>147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2</v>
      </c>
      <c r="B2599" s="52" t="s">
        <v>1345</v>
      </c>
      <c r="C2599" s="44" t="s">
        <v>1346</v>
      </c>
      <c r="D2599" s="44" t="s">
        <v>147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2</v>
      </c>
      <c r="B2600" s="52" t="s">
        <v>1347</v>
      </c>
      <c r="C2600" s="44" t="s">
        <v>1348</v>
      </c>
      <c r="D2600" s="44" t="s">
        <v>147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2</v>
      </c>
      <c r="B2601" s="52" t="s">
        <v>1432</v>
      </c>
      <c r="C2601" s="44" t="s">
        <v>1433</v>
      </c>
      <c r="D2601" s="44" t="s">
        <v>147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2</v>
      </c>
      <c r="B2602" s="52" t="s">
        <v>1435</v>
      </c>
      <c r="C2602" s="44" t="s">
        <v>1436</v>
      </c>
      <c r="D2602" s="44" t="s">
        <v>147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1.99999985</v>
      </c>
      <c r="B2603" s="52" t="s">
        <v>1437</v>
      </c>
      <c r="C2603" s="44" t="s">
        <v>1438</v>
      </c>
      <c r="D2603" s="44" t="s">
        <v>147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2</v>
      </c>
      <c r="B2604" s="52" t="s">
        <v>1439</v>
      </c>
      <c r="C2604" s="44" t="s">
        <v>1440</v>
      </c>
      <c r="D2604" s="44" t="s">
        <v>147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2</v>
      </c>
      <c r="B2605" s="52" t="s">
        <v>1508</v>
      </c>
      <c r="C2605" s="44" t="s">
        <v>1509</v>
      </c>
      <c r="D2605" s="44" t="s">
        <v>147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2</v>
      </c>
      <c r="B2606" s="52" t="s">
        <v>1511</v>
      </c>
      <c r="C2606" s="44" t="s">
        <v>1512</v>
      </c>
      <c r="D2606" s="44" t="s">
        <v>147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2</v>
      </c>
      <c r="B2607" s="52" t="s">
        <v>1513</v>
      </c>
      <c r="C2607" s="44" t="s">
        <v>1514</v>
      </c>
      <c r="D2607" s="44" t="s">
        <v>147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2</v>
      </c>
      <c r="B2608" s="52" t="s">
        <v>1515</v>
      </c>
      <c r="C2608" s="44" t="s">
        <v>1516</v>
      </c>
      <c r="D2608" s="44" t="s">
        <v>147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1.999999965</v>
      </c>
      <c r="B2609" s="52" t="s">
        <v>1517</v>
      </c>
      <c r="C2609" s="44" t="s">
        <v>1518</v>
      </c>
      <c r="D2609" s="44" t="s">
        <v>147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2</v>
      </c>
      <c r="B2610" s="52" t="s">
        <v>1553</v>
      </c>
      <c r="C2610" s="44" t="s">
        <v>1554</v>
      </c>
      <c r="D2610" s="44" t="s">
        <v>147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2</v>
      </c>
      <c r="B2611" s="52" t="s">
        <v>1556</v>
      </c>
      <c r="C2611" s="44" t="s">
        <v>1557</v>
      </c>
      <c r="D2611" s="44" t="s">
        <v>147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1.9999999000000002</v>
      </c>
      <c r="B2612" s="52" t="s">
        <v>1558</v>
      </c>
      <c r="C2612" s="44" t="s">
        <v>1559</v>
      </c>
      <c r="D2612" s="44" t="s">
        <v>147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2</v>
      </c>
      <c r="B2613" s="52" t="s">
        <v>1560</v>
      </c>
      <c r="C2613" s="44" t="s">
        <v>1561</v>
      </c>
      <c r="D2613" s="44" t="s">
        <v>147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2</v>
      </c>
      <c r="B2614" s="52" t="s">
        <v>1581</v>
      </c>
      <c r="C2614" s="44" t="s">
        <v>1582</v>
      </c>
      <c r="D2614" s="44" t="s">
        <v>147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2</v>
      </c>
      <c r="B2615" s="52" t="s">
        <v>1584</v>
      </c>
      <c r="C2615" s="44" t="s">
        <v>1585</v>
      </c>
      <c r="D2615" s="44" t="s">
        <v>147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2</v>
      </c>
      <c r="B2616" s="52" t="s">
        <v>1586</v>
      </c>
      <c r="C2616" s="44" t="s">
        <v>1587</v>
      </c>
      <c r="D2616" s="44" t="s">
        <v>147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1.9999999000000002</v>
      </c>
      <c r="B2617" s="52" t="s">
        <v>1588</v>
      </c>
      <c r="C2617" s="44" t="s">
        <v>1589</v>
      </c>
      <c r="D2617" s="44" t="s">
        <v>147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1.9999998400000001</v>
      </c>
      <c r="B2618" s="52" t="s">
        <v>1743</v>
      </c>
      <c r="C2618" s="44" t="s">
        <v>5700</v>
      </c>
      <c r="D2618" s="44" t="s">
        <v>147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2</v>
      </c>
      <c r="B2619" s="52" t="s">
        <v>1746</v>
      </c>
      <c r="C2619" s="44" t="s">
        <v>5700</v>
      </c>
      <c r="D2619" s="44" t="s">
        <v>147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2</v>
      </c>
      <c r="B2620" s="52" t="s">
        <v>1747</v>
      </c>
      <c r="C2620" s="44" t="s">
        <v>5700</v>
      </c>
      <c r="D2620" s="44" t="s">
        <v>147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2</v>
      </c>
      <c r="B2621" s="52" t="s">
        <v>1748</v>
      </c>
      <c r="C2621" s="44" t="s">
        <v>1749</v>
      </c>
      <c r="D2621" s="44" t="s">
        <v>147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1.99999996</v>
      </c>
      <c r="B2622" s="52" t="s">
        <v>1810</v>
      </c>
      <c r="C2622" s="44" t="s">
        <v>1811</v>
      </c>
      <c r="D2622" s="44" t="s">
        <v>147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2</v>
      </c>
      <c r="B2623" s="52" t="s">
        <v>1813</v>
      </c>
      <c r="C2623" s="44" t="s">
        <v>1814</v>
      </c>
      <c r="D2623" s="44" t="s">
        <v>147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2</v>
      </c>
      <c r="B2624" s="52" t="s">
        <v>1815</v>
      </c>
      <c r="C2624" s="44" t="s">
        <v>1816</v>
      </c>
      <c r="D2624" s="44" t="s">
        <v>147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1.9999999856000001</v>
      </c>
      <c r="B2625" s="52" t="s">
        <v>1823</v>
      </c>
      <c r="C2625" s="44" t="s">
        <v>1824</v>
      </c>
      <c r="D2625" s="44" t="s">
        <v>147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2</v>
      </c>
      <c r="B2626" s="52" t="s">
        <v>1826</v>
      </c>
      <c r="C2626" s="44" t="s">
        <v>1827</v>
      </c>
      <c r="D2626" s="44" t="s">
        <v>147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2</v>
      </c>
      <c r="B2627" s="52" t="s">
        <v>1828</v>
      </c>
      <c r="C2627" s="44" t="s">
        <v>1829</v>
      </c>
      <c r="D2627" s="44" t="s">
        <v>147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1.9999999769599999</v>
      </c>
      <c r="B2628" s="52" t="s">
        <v>1831</v>
      </c>
      <c r="C2628" s="44" t="s">
        <v>1829</v>
      </c>
      <c r="D2628" s="44" t="s">
        <v>147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2</v>
      </c>
      <c r="B2629" s="52" t="s">
        <v>1878</v>
      </c>
      <c r="C2629" s="44" t="s">
        <v>5701</v>
      </c>
      <c r="D2629" s="44" t="s">
        <v>147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2</v>
      </c>
      <c r="B2630" s="52" t="s">
        <v>1881</v>
      </c>
      <c r="C2630" s="44" t="s">
        <v>5702</v>
      </c>
      <c r="D2630" s="44" t="s">
        <v>147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2</v>
      </c>
      <c r="B2631" s="52" t="s">
        <v>1883</v>
      </c>
      <c r="C2631" s="44" t="s">
        <v>5703</v>
      </c>
      <c r="D2631" s="44" t="s">
        <v>147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1.9999999900000001</v>
      </c>
      <c r="B2632" s="52" t="s">
        <v>1885</v>
      </c>
      <c r="C2632" s="44" t="s">
        <v>5704</v>
      </c>
      <c r="D2632" s="44" t="s">
        <v>147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2</v>
      </c>
      <c r="B2633" s="52" t="s">
        <v>1887</v>
      </c>
      <c r="C2633" s="44" t="s">
        <v>1888</v>
      </c>
      <c r="D2633" s="44" t="s">
        <v>147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2</v>
      </c>
      <c r="B2634" s="52" t="s">
        <v>1890</v>
      </c>
      <c r="C2634" s="44" t="s">
        <v>1888</v>
      </c>
      <c r="D2634" s="44" t="s">
        <v>147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1.9999999769599999</v>
      </c>
      <c r="B2635" s="52" t="s">
        <v>1891</v>
      </c>
      <c r="C2635" s="44" t="s">
        <v>1888</v>
      </c>
      <c r="D2635" s="44" t="s">
        <v>147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2</v>
      </c>
      <c r="B2636" s="52" t="s">
        <v>1894</v>
      </c>
      <c r="C2636" s="44" t="s">
        <v>1895</v>
      </c>
      <c r="D2636" s="44" t="s">
        <v>147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2</v>
      </c>
      <c r="B2637" s="52" t="s">
        <v>1897</v>
      </c>
      <c r="C2637" s="44" t="s">
        <v>1898</v>
      </c>
      <c r="D2637" s="44" t="s">
        <v>147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1.99999996</v>
      </c>
      <c r="B2638" s="52" t="s">
        <v>1899</v>
      </c>
      <c r="C2638" s="44" t="s">
        <v>1900</v>
      </c>
      <c r="D2638" s="44" t="s">
        <v>147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1.9999999000000002</v>
      </c>
      <c r="B2639" s="52" t="s">
        <v>1921</v>
      </c>
      <c r="C2639" s="44" t="s">
        <v>1922</v>
      </c>
      <c r="D2639" s="44" t="s">
        <v>147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2</v>
      </c>
      <c r="B2640" s="52" t="s">
        <v>1924</v>
      </c>
      <c r="C2640" s="44" t="s">
        <v>1925</v>
      </c>
      <c r="D2640" s="44" t="s">
        <v>147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2</v>
      </c>
      <c r="B2641" s="52" t="s">
        <v>1926</v>
      </c>
      <c r="C2641" s="44" t="s">
        <v>1927</v>
      </c>
      <c r="D2641" s="44" t="s">
        <v>147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1.9999999900000001</v>
      </c>
      <c r="B2642" s="52" t="s">
        <v>2025</v>
      </c>
      <c r="C2642" s="44" t="s">
        <v>2026</v>
      </c>
      <c r="D2642" s="44" t="s">
        <v>147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2</v>
      </c>
      <c r="B2643" s="52" t="s">
        <v>2028</v>
      </c>
      <c r="C2643" s="44" t="s">
        <v>2029</v>
      </c>
      <c r="D2643" s="44" t="s">
        <v>147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1.9999999819999998</v>
      </c>
      <c r="B2644" s="52" t="s">
        <v>2037</v>
      </c>
      <c r="C2644" s="44" t="s">
        <v>2038</v>
      </c>
      <c r="D2644" s="44" t="s">
        <v>147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2</v>
      </c>
      <c r="B2645" s="52" t="s">
        <v>2040</v>
      </c>
      <c r="C2645" s="44" t="s">
        <v>2041</v>
      </c>
      <c r="D2645" s="44" t="s">
        <v>147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2</v>
      </c>
      <c r="B2646" s="52" t="s">
        <v>2042</v>
      </c>
      <c r="C2646" s="44" t="s">
        <v>2043</v>
      </c>
      <c r="D2646" s="44" t="s">
        <v>147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</v>
      </c>
      <c r="B2647" s="52" t="s">
        <v>5705</v>
      </c>
      <c r="C2647" s="44" t="s">
        <v>5706</v>
      </c>
      <c r="D2647" s="44" t="s">
        <v>147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1</v>
      </c>
      <c r="B2648" s="52" t="s">
        <v>5707</v>
      </c>
      <c r="C2648" s="44" t="s">
        <v>5708</v>
      </c>
      <c r="D2648" s="44" t="s">
        <v>147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1</v>
      </c>
      <c r="B2649" s="52" t="s">
        <v>5709</v>
      </c>
      <c r="C2649" s="44" t="s">
        <v>5710</v>
      </c>
      <c r="D2649" s="44" t="s">
        <v>147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</v>
      </c>
      <c r="B2650" s="52" t="s">
        <v>5711</v>
      </c>
      <c r="C2650" s="44" t="s">
        <v>5712</v>
      </c>
      <c r="D2650" s="44" t="s">
        <v>147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</v>
      </c>
      <c r="B2651" s="52" t="s">
        <v>5713</v>
      </c>
      <c r="C2651" s="44" t="s">
        <v>5714</v>
      </c>
      <c r="D2651" s="44" t="s">
        <v>147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1</v>
      </c>
      <c r="B2652" s="52" t="s">
        <v>5715</v>
      </c>
      <c r="C2652" s="44" t="s">
        <v>5716</v>
      </c>
      <c r="D2652" s="44" t="s">
        <v>147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1</v>
      </c>
      <c r="B2653" s="52" t="s">
        <v>5717</v>
      </c>
      <c r="C2653" s="44" t="s">
        <v>5718</v>
      </c>
      <c r="D2653" s="44" t="s">
        <v>147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</v>
      </c>
      <c r="B2654" s="52" t="s">
        <v>5719</v>
      </c>
      <c r="C2654" s="44" t="s">
        <v>5720</v>
      </c>
      <c r="D2654" s="44" t="s">
        <v>147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</v>
      </c>
      <c r="B2655" s="52" t="s">
        <v>5721</v>
      </c>
      <c r="C2655" s="44" t="s">
        <v>5722</v>
      </c>
      <c r="D2655" s="44" t="s">
        <v>147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1</v>
      </c>
      <c r="B2656" s="52" t="s">
        <v>5723</v>
      </c>
      <c r="C2656" s="44" t="s">
        <v>5724</v>
      </c>
      <c r="D2656" s="44" t="s">
        <v>147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1</v>
      </c>
      <c r="B2657" s="52" t="s">
        <v>5725</v>
      </c>
      <c r="C2657" s="44" t="s">
        <v>5726</v>
      </c>
      <c r="D2657" s="44" t="s">
        <v>147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</v>
      </c>
      <c r="B2658" s="52" t="s">
        <v>5727</v>
      </c>
      <c r="C2658" s="44" t="s">
        <v>5728</v>
      </c>
      <c r="D2658" s="44" t="s">
        <v>147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</v>
      </c>
      <c r="B2659" s="52" t="s">
        <v>5729</v>
      </c>
      <c r="C2659" s="44" t="s">
        <v>5730</v>
      </c>
      <c r="D2659" s="44" t="s">
        <v>147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1</v>
      </c>
      <c r="B2660" s="52" t="s">
        <v>5731</v>
      </c>
      <c r="C2660" s="44" t="s">
        <v>5732</v>
      </c>
      <c r="D2660" s="44" t="s">
        <v>147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1</v>
      </c>
      <c r="B2661" s="52" t="s">
        <v>5733</v>
      </c>
      <c r="C2661" s="44" t="s">
        <v>5734</v>
      </c>
      <c r="D2661" s="44" t="s">
        <v>147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</v>
      </c>
      <c r="B2662" s="52" t="s">
        <v>5735</v>
      </c>
      <c r="C2662" s="44" t="s">
        <v>5736</v>
      </c>
      <c r="D2662" s="44" t="s">
        <v>147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1</v>
      </c>
      <c r="B2663" s="52" t="s">
        <v>5737</v>
      </c>
      <c r="C2663" s="44" t="s">
        <v>5738</v>
      </c>
      <c r="D2663" s="44" t="s">
        <v>147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1</v>
      </c>
      <c r="B2664" s="52" t="s">
        <v>5739</v>
      </c>
      <c r="C2664" s="44" t="s">
        <v>5740</v>
      </c>
      <c r="D2664" s="44" t="s">
        <v>147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1</v>
      </c>
      <c r="B2665" s="52" t="s">
        <v>5741</v>
      </c>
      <c r="C2665" s="44" t="s">
        <v>5742</v>
      </c>
      <c r="D2665" s="44" t="s">
        <v>147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</v>
      </c>
      <c r="B2666" s="52" t="s">
        <v>5743</v>
      </c>
      <c r="C2666" s="44" t="s">
        <v>5744</v>
      </c>
      <c r="D2666" s="44" t="s">
        <v>147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1</v>
      </c>
      <c r="B2667" s="52" t="s">
        <v>5745</v>
      </c>
      <c r="C2667" s="44" t="s">
        <v>5746</v>
      </c>
      <c r="D2667" s="44" t="s">
        <v>147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1</v>
      </c>
      <c r="B2668" s="52" t="s">
        <v>5747</v>
      </c>
      <c r="C2668" s="44" t="s">
        <v>5748</v>
      </c>
      <c r="D2668" s="44" t="s">
        <v>147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</v>
      </c>
      <c r="B2669" s="52" t="s">
        <v>5749</v>
      </c>
      <c r="C2669" s="44" t="s">
        <v>5750</v>
      </c>
      <c r="D2669" s="44" t="s">
        <v>147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1</v>
      </c>
      <c r="B2670" s="52" t="s">
        <v>5751</v>
      </c>
      <c r="C2670" s="44" t="s">
        <v>5752</v>
      </c>
      <c r="D2670" s="44" t="s">
        <v>147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1</v>
      </c>
      <c r="B2671" s="52" t="s">
        <v>5753</v>
      </c>
      <c r="C2671" s="44" t="s">
        <v>5754</v>
      </c>
      <c r="D2671" s="44" t="s">
        <v>147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1</v>
      </c>
      <c r="B2672" s="52" t="s">
        <v>5755</v>
      </c>
      <c r="C2672" s="44" t="s">
        <v>5756</v>
      </c>
      <c r="D2672" s="44" t="s">
        <v>147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</v>
      </c>
      <c r="B2673" s="52" t="s">
        <v>5757</v>
      </c>
      <c r="C2673" s="44" t="s">
        <v>5758</v>
      </c>
      <c r="D2673" s="44" t="s">
        <v>147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1</v>
      </c>
      <c r="B2674" s="52" t="s">
        <v>5759</v>
      </c>
      <c r="C2674" s="44" t="s">
        <v>5760</v>
      </c>
      <c r="D2674" s="44" t="s">
        <v>147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</v>
      </c>
      <c r="B2675" s="52" t="s">
        <v>5761</v>
      </c>
      <c r="C2675" s="44" t="s">
        <v>5762</v>
      </c>
      <c r="D2675" s="44" t="s">
        <v>147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1</v>
      </c>
      <c r="B2676" s="52" t="s">
        <v>5763</v>
      </c>
      <c r="C2676" s="44" t="s">
        <v>5764</v>
      </c>
      <c r="D2676" s="44" t="s">
        <v>147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1</v>
      </c>
      <c r="B2677" s="52" t="s">
        <v>5765</v>
      </c>
      <c r="C2677" s="44" t="s">
        <v>5766</v>
      </c>
      <c r="D2677" s="44" t="s">
        <v>147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1</v>
      </c>
      <c r="B2678" s="52" t="s">
        <v>5767</v>
      </c>
      <c r="C2678" s="44" t="s">
        <v>5768</v>
      </c>
      <c r="D2678" s="44" t="s">
        <v>147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1</v>
      </c>
      <c r="B2679" s="52" t="s">
        <v>5769</v>
      </c>
      <c r="C2679" s="44" t="s">
        <v>5770</v>
      </c>
      <c r="D2679" s="44" t="s">
        <v>147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1</v>
      </c>
      <c r="B2680" s="52" t="s">
        <v>5771</v>
      </c>
      <c r="C2680" s="44" t="s">
        <v>5772</v>
      </c>
      <c r="D2680" s="44" t="s">
        <v>147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</v>
      </c>
      <c r="B2681" s="52" t="s">
        <v>5773</v>
      </c>
      <c r="C2681" s="44" t="s">
        <v>5774</v>
      </c>
      <c r="D2681" s="44" t="s">
        <v>147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1</v>
      </c>
      <c r="B2682" s="52" t="s">
        <v>5775</v>
      </c>
      <c r="C2682" s="44" t="s">
        <v>5776</v>
      </c>
      <c r="D2682" s="44" t="s">
        <v>147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</v>
      </c>
      <c r="B2683" s="52" t="s">
        <v>5777</v>
      </c>
      <c r="C2683" s="44" t="s">
        <v>5778</v>
      </c>
      <c r="D2683" s="44" t="s">
        <v>147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1</v>
      </c>
      <c r="B2684" s="52" t="s">
        <v>5779</v>
      </c>
      <c r="C2684" s="44" t="s">
        <v>5780</v>
      </c>
      <c r="D2684" s="44" t="s">
        <v>147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1</v>
      </c>
      <c r="B2685" s="52" t="s">
        <v>5781</v>
      </c>
      <c r="C2685" s="44" t="s">
        <v>5782</v>
      </c>
      <c r="D2685" s="44" t="s">
        <v>147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1</v>
      </c>
      <c r="B2686" s="52" t="s">
        <v>5783</v>
      </c>
      <c r="C2686" s="44" t="s">
        <v>5784</v>
      </c>
      <c r="D2686" s="44" t="s">
        <v>147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1</v>
      </c>
      <c r="B2687" s="52" t="s">
        <v>5785</v>
      </c>
      <c r="C2687" s="44" t="s">
        <v>5786</v>
      </c>
      <c r="D2687" s="44" t="s">
        <v>147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</v>
      </c>
      <c r="B2688" s="52" t="s">
        <v>5787</v>
      </c>
      <c r="C2688" s="44" t="s">
        <v>5788</v>
      </c>
      <c r="D2688" s="44" t="s">
        <v>147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1</v>
      </c>
      <c r="B2689" s="52" t="s">
        <v>5789</v>
      </c>
      <c r="C2689" s="44" t="s">
        <v>5790</v>
      </c>
      <c r="D2689" s="44" t="s">
        <v>147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1</v>
      </c>
      <c r="B2690" s="52" t="s">
        <v>5791</v>
      </c>
      <c r="C2690" s="44" t="s">
        <v>5792</v>
      </c>
      <c r="D2690" s="44" t="s">
        <v>147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</v>
      </c>
      <c r="B2691" s="52" t="s">
        <v>5793</v>
      </c>
      <c r="C2691" s="44" t="s">
        <v>5794</v>
      </c>
      <c r="D2691" s="44" t="s">
        <v>147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1</v>
      </c>
      <c r="B2692" s="52" t="s">
        <v>5795</v>
      </c>
      <c r="C2692" s="44" t="s">
        <v>5796</v>
      </c>
      <c r="D2692" s="44" t="s">
        <v>147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1</v>
      </c>
      <c r="B2693" s="52" t="s">
        <v>5797</v>
      </c>
      <c r="C2693" s="44" t="s">
        <v>5798</v>
      </c>
      <c r="D2693" s="44" t="s">
        <v>147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</v>
      </c>
      <c r="B2694" s="52" t="s">
        <v>5799</v>
      </c>
      <c r="C2694" s="44" t="s">
        <v>5800</v>
      </c>
      <c r="D2694" s="44" t="s">
        <v>147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1</v>
      </c>
      <c r="B2695" s="52" t="s">
        <v>5801</v>
      </c>
      <c r="C2695" s="44" t="s">
        <v>5802</v>
      </c>
      <c r="D2695" s="44" t="s">
        <v>147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1</v>
      </c>
      <c r="B2696" s="52" t="s">
        <v>5803</v>
      </c>
      <c r="C2696" s="44" t="s">
        <v>5804</v>
      </c>
      <c r="D2696" s="44" t="s">
        <v>147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2110</v>
      </c>
      <c r="C2697" s="44" t="s">
        <v>3693</v>
      </c>
      <c r="D2697" s="44" t="s">
        <v>147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2114</v>
      </c>
      <c r="C2698" s="44" t="s">
        <v>3693</v>
      </c>
      <c r="D2698" s="44" t="s">
        <v>147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ColWidth="9.109375" defaultRowHeight="15.6"/>
  <cols>
    <col min="1" max="1" width="18.5546875" style="72" customWidth="1"/>
    <col min="2" max="2" width="13.33203125" style="84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1</v>
      </c>
      <c r="D1" s="86" t="s">
        <v>5805</v>
      </c>
    </row>
    <row r="2" spans="1:10" ht="16.2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" customHeight="1"/>
    <row r="4" spans="1:10">
      <c r="A4" s="82" t="s">
        <v>1892</v>
      </c>
      <c r="B4" s="84">
        <v>2000</v>
      </c>
      <c r="C4" s="48" t="b">
        <f>IFERROR(MATCH(A4,'BOM Atual ZPCS12'!F:F,0)&gt;0,FALSE)</f>
        <v>1</v>
      </c>
      <c r="D4" s="49" t="str">
        <f>TRIM(VLOOKUP(A4,'BOM Atual ZPCS12'!F:G,2,0))</f>
        <v>C.S PROMONTORY600 LFBGA443//AMD PROM21 2</v>
      </c>
      <c r="E4" s="47"/>
      <c r="F4" s="56">
        <f ca="1">SUMIF('BOM Atual ZPCS12'!$F:$F,$A4,'BOM Atual ZPCS12'!$BJ:$BJ)</f>
        <v>2000</v>
      </c>
      <c r="H4" s="50"/>
      <c r="J4" s="65"/>
    </row>
    <row r="5" spans="1:10">
      <c r="A5" s="82" t="s">
        <v>2145</v>
      </c>
      <c r="B5" s="84">
        <v>1000</v>
      </c>
      <c r="C5" s="48" t="b">
        <f>IFERROR(MATCH(A5,'BOM Atual ZPCS12'!F:F,0)&gt;0,FALSE)</f>
        <v>1</v>
      </c>
      <c r="D5" s="49" t="str">
        <f>TRIM(VLOOKUP(A5,'BOM Atual ZPCS12'!F:G,2,0))</f>
        <v>EEPROM BR24G02FJ-3GTE2ROHM 2KBIT SOP-J8</v>
      </c>
      <c r="E5" s="47"/>
      <c r="F5" s="56">
        <f ca="1">SUMIF('BOM Atual ZPCS12'!$F:$F,$A5,'BOM Atual ZPCS12'!$BJ:$BJ)</f>
        <v>1000</v>
      </c>
      <c r="H5" s="50"/>
      <c r="J5" s="66"/>
    </row>
    <row r="6" spans="1:10">
      <c r="A6" s="82" t="s">
        <v>296</v>
      </c>
      <c r="B6" s="84">
        <v>1000</v>
      </c>
      <c r="C6" s="48" t="b">
        <f>IFERROR(MATCH(A6,'BOM Atual ZPCS12'!F:F,0)&gt;0,FALSE)</f>
        <v>1</v>
      </c>
      <c r="D6" s="49" t="str">
        <f>TRIM(VLOOKUP(A6,'BOM Atual ZPCS12'!F:G,2,0))</f>
        <v/>
      </c>
      <c r="E6" s="47"/>
      <c r="F6" s="56">
        <f ca="1">SUMIF('BOM Atual ZPCS12'!$F:$F,$A6,'BOM Atual ZPCS12'!$BJ:$BJ)</f>
        <v>1000</v>
      </c>
      <c r="H6" s="50"/>
      <c r="J6" s="65"/>
    </row>
    <row r="7" spans="1:10">
      <c r="A7" s="82" t="s">
        <v>2128</v>
      </c>
      <c r="B7" s="84">
        <v>1000</v>
      </c>
      <c r="C7" s="48" t="b">
        <f>IFERROR(MATCH(A7,'BOM Atual ZPCS12'!F:F,0)&gt;0,FALSE)</f>
        <v>1</v>
      </c>
      <c r="D7" s="49" t="str">
        <f>TRIM(VLOOKUP(A7,'BOM Atual ZPCS12'!F:G,2,0))</f>
        <v>FLASH W25Q256JWEIQ 1.7-1.95V WINBOND 256</v>
      </c>
      <c r="E7" s="47"/>
      <c r="F7" s="56">
        <f ca="1">SUMIF('BOM Atual ZPCS12'!$F:$F,$A7,'BOM Atual ZPCS12'!$BJ:$BJ)</f>
        <v>1000</v>
      </c>
      <c r="H7" s="50"/>
    </row>
    <row r="8" spans="1:10">
      <c r="A8" s="82" t="s">
        <v>2132</v>
      </c>
      <c r="B8" s="84">
        <v>1000</v>
      </c>
      <c r="C8" s="48" t="b">
        <f>IFERROR(MATCH(A8,'BOM Atual ZPCS12'!F:F,0)&gt;0,FALSE)</f>
        <v>1</v>
      </c>
      <c r="D8" s="49" t="str">
        <f>TRIM(VLOOKUP(A8,'BOM Atual ZPCS12'!F:G,2,0))</f>
        <v>FLASH GD25Q20ETIGR//GIGADEVICE 2MBIT SOP</v>
      </c>
      <c r="E8" s="47"/>
      <c r="F8" s="56">
        <f ca="1">SUMIF('BOM Atual ZPCS12'!$F:$F,$A8,'BOM Atual ZPCS12'!$BJ:$BJ)</f>
        <v>1000</v>
      </c>
      <c r="H8" s="50"/>
    </row>
    <row r="9" spans="1:10">
      <c r="A9" s="82" t="s">
        <v>304</v>
      </c>
      <c r="B9" s="84">
        <v>2000</v>
      </c>
      <c r="C9" s="48" t="b">
        <f>IFERROR(MATCH(A9,'BOM Atual ZPCS12'!F:F,0)&gt;0,FALSE)</f>
        <v>1</v>
      </c>
      <c r="D9" s="49" t="str">
        <f>TRIM(VLOOKUP(A9,'BOM Atual ZPCS12'!F:G,2,0))</f>
        <v>LOGIC U74CBTLV3126G-AS-R16-R SSOP-16//UT</v>
      </c>
      <c r="E9" s="47"/>
      <c r="F9" s="56">
        <f ca="1">SUMIF('BOM Atual ZPCS12'!$F:$F,$A9,'BOM Atual ZPCS12'!$BJ:$BJ)</f>
        <v>2000</v>
      </c>
      <c r="H9" s="50"/>
    </row>
    <row r="10" spans="1:10">
      <c r="A10" s="83" t="s">
        <v>308</v>
      </c>
      <c r="B10" s="84">
        <v>2000</v>
      </c>
      <c r="C10" s="48" t="b">
        <f>IFERROR(MATCH(A10,'BOM Atual ZPCS12'!F:F,0)&gt;0,FALSE)</f>
        <v>1</v>
      </c>
      <c r="D10" s="49" t="str">
        <f>TRIM(VLOOKUP(A10,'BOM Atual ZPCS12'!F:G,2,0))</f>
        <v>LIN REG. UZ2085G-AD-TN3-R UTC TO-252</v>
      </c>
      <c r="E10" s="47"/>
      <c r="F10" s="56">
        <f ca="1">SUMIF('BOM Atual ZPCS12'!$F:$F,$A10,'BOM Atual ZPCS12'!$BJ:$BJ)</f>
        <v>2000</v>
      </c>
      <c r="H10" s="50"/>
    </row>
    <row r="11" spans="1:10">
      <c r="A11" s="83" t="s">
        <v>317</v>
      </c>
      <c r="B11" s="84">
        <v>1000</v>
      </c>
      <c r="C11" s="48" t="b">
        <f>IFERROR(MATCH(A11,'BOM Atual ZPCS12'!F:F,0)&gt;0,FALSE)</f>
        <v>1</v>
      </c>
      <c r="D11" s="49" t="str">
        <f>TRIM(VLOOKUP(A11,'BOM Atual ZPCS12'!F:G,2,0))</f>
        <v>LDO REG. UP0132QDDA//UPI WDFN-10L(3*3)</v>
      </c>
      <c r="E11" s="47"/>
      <c r="F11" s="56">
        <f ca="1">SUMIF('BOM Atual ZPCS12'!$F:$F,$A11,'BOM Atual ZPCS12'!$BJ:$BJ)</f>
        <v>6000</v>
      </c>
      <c r="H11" s="50"/>
    </row>
    <row r="12" spans="1:10">
      <c r="A12" s="83" t="s">
        <v>317</v>
      </c>
      <c r="B12" s="84">
        <v>5000</v>
      </c>
      <c r="C12" s="48" t="b">
        <f>IFERROR(MATCH(A12,'BOM Atual ZPCS12'!F:F,0)&gt;0,FALSE)</f>
        <v>1</v>
      </c>
      <c r="D12" s="49" t="str">
        <f>TRIM(VLOOKUP(A12,'BOM Atual ZPCS12'!F:G,2,0))</f>
        <v>LDO REG. UP0132QDDA//UPI WDFN-10L(3*3)</v>
      </c>
      <c r="E12" s="47"/>
      <c r="F12" s="56">
        <f ca="1">SUMIF('BOM Atual ZPCS12'!$F:$F,$A12,'BOM Atual ZPCS12'!$BJ:$BJ)</f>
        <v>6000</v>
      </c>
      <c r="H12" s="50"/>
    </row>
    <row r="13" spans="1:10">
      <c r="A13" s="83" t="s">
        <v>319</v>
      </c>
      <c r="B13" s="84">
        <v>1000</v>
      </c>
      <c r="C13" s="48" t="b">
        <f>IFERROR(MATCH(A13,'BOM Atual ZPCS12'!F:F,0)&gt;0,FALSE)</f>
        <v>1</v>
      </c>
      <c r="D13" s="49" t="str">
        <f>TRIM(VLOOKUP(A13,'BOM Atual ZPCS12'!F:G,2,0))</f>
        <v>LDO REG. UP8805QMA5-00 UPI SOT23-5L</v>
      </c>
      <c r="E13" s="47"/>
      <c r="F13" s="56">
        <f ca="1">SUMIF('BOM Atual ZPCS12'!$F:$F,$A13,'BOM Atual ZPCS12'!$BJ:$BJ)</f>
        <v>1000</v>
      </c>
      <c r="H13" s="50"/>
    </row>
    <row r="14" spans="1:10">
      <c r="A14" s="83" t="s">
        <v>381</v>
      </c>
      <c r="B14" s="84">
        <v>1000</v>
      </c>
      <c r="C14" s="48" t="b">
        <f>IFERROR(MATCH(A14,'BOM Atual ZPCS12'!F:F,0)&gt;0,FALSE)</f>
        <v>1</v>
      </c>
      <c r="D14" s="49" t="str">
        <f>TRIM(VLOOKUP(A14,'BOM Atual ZPCS12'!F:G,2,0))</f>
        <v>OP AMP. LM358G-S08-R UTC SOP-8</v>
      </c>
      <c r="E14" s="47"/>
      <c r="F14" s="56">
        <f ca="1">SUMIF('BOM Atual ZPCS12'!$F:$F,$A14,'BOM Atual ZPCS12'!$BJ:$BJ)</f>
        <v>1000</v>
      </c>
      <c r="H14" s="50"/>
    </row>
    <row r="15" spans="1:10">
      <c r="A15" s="83" t="s">
        <v>323</v>
      </c>
      <c r="B15" s="84">
        <v>1000</v>
      </c>
      <c r="C15" s="48" t="b">
        <f>IFERROR(MATCH(A15,'BOM Atual ZPCS12'!F:F,0)&gt;0,FALSE)</f>
        <v>1</v>
      </c>
      <c r="D15" s="49" t="str">
        <f>TRIM(VLOOKUP(A15,'BOM Atual ZPCS12'!F:G,2,0))</f>
        <v>MCU AURA32UA0 QFN32 ENE</v>
      </c>
      <c r="E15" s="47"/>
      <c r="F15" s="56">
        <f ca="1">SUMIF('BOM Atual ZPCS12'!$F:$F,$A15,'BOM Atual ZPCS12'!$BJ:$BJ)</f>
        <v>1000</v>
      </c>
      <c r="H15" s="50"/>
    </row>
    <row r="16" spans="1:10">
      <c r="A16" s="83" t="s">
        <v>325</v>
      </c>
      <c r="B16" s="84">
        <v>1000</v>
      </c>
      <c r="C16" s="48" t="b">
        <f>IFERROR(MATCH(A16,'BOM Atual ZPCS12'!F:F,0)&gt;0,FALSE)</f>
        <v>1</v>
      </c>
      <c r="D16" s="49" t="str">
        <f>TRIM(VLOOKUP(A16,'BOM Atual ZPCS12'!F:G,2,0))</f>
        <v>INTERFACE NCT3532Y QFN-16</v>
      </c>
      <c r="E16" s="47"/>
      <c r="F16" s="56">
        <f ca="1">SUMIF('BOM Atual ZPCS12'!$F:$F,$A16,'BOM Atual ZPCS12'!$BJ:$BJ)</f>
        <v>1000</v>
      </c>
      <c r="H16" s="50"/>
    </row>
    <row r="17" spans="1:8">
      <c r="A17" s="83" t="s">
        <v>327</v>
      </c>
      <c r="B17" s="84">
        <v>1000</v>
      </c>
      <c r="C17" s="48" t="b">
        <f>IFERROR(MATCH(A17,'BOM Atual ZPCS12'!F:F,0)&gt;0,FALSE)</f>
        <v>1</v>
      </c>
      <c r="D17" s="49" t="str">
        <f>TRIM(VLOOKUP(A17,'BOM Atual ZPCS12'!F:G,2,0))</f>
        <v>INTERFACE 75232G-P20-R-W2UTC/TSSOP-20</v>
      </c>
      <c r="E17" s="47"/>
      <c r="F17" s="56">
        <f ca="1">SUMIF('BOM Atual ZPCS12'!$F:$F,$A17,'BOM Atual ZPCS12'!$BJ:$BJ)</f>
        <v>1000</v>
      </c>
      <c r="H17" s="50"/>
    </row>
    <row r="18" spans="1:8">
      <c r="A18" s="83" t="s">
        <v>329</v>
      </c>
      <c r="B18" s="84">
        <v>1000</v>
      </c>
      <c r="C18" s="48" t="b">
        <f>IFERROR(MATCH(A18,'BOM Atual ZPCS12'!F:F,0)&gt;0,FALSE)</f>
        <v>1</v>
      </c>
      <c r="D18" s="49" t="str">
        <f>TRIM(VLOOKUP(A18,'BOM Atual ZPCS12'!F:G,2,0))</f>
        <v>POWER SW. UP7549TMA5-25 SOT-23-5L//UPI</v>
      </c>
      <c r="E18" s="47"/>
      <c r="F18" s="56">
        <f ca="1">SUMIF('BOM Atual ZPCS12'!$F:$F,$A18,'BOM Atual ZPCS12'!$BJ:$BJ)</f>
        <v>1000</v>
      </c>
      <c r="H18" s="50"/>
    </row>
    <row r="19" spans="1:8">
      <c r="A19" s="83" t="s">
        <v>395</v>
      </c>
      <c r="B19" s="84">
        <v>6000</v>
      </c>
      <c r="C19" s="48" t="b">
        <f>IFERROR(MATCH(A19,'BOM Atual ZPCS12'!F:F,0)&gt;0,FALSE)</f>
        <v>1</v>
      </c>
      <c r="D19" s="49" t="str">
        <f>TRIM(VLOOKUP(A19,'BOM Atual ZPCS12'!F:G,2,0))</f>
        <v>ANALOG SW. AZAW1210C AMAZING SC70-6</v>
      </c>
      <c r="E19" s="47"/>
      <c r="F19" s="56">
        <f ca="1">SUMIF('BOM Atual ZPCS12'!$F:$F,$A19,'BOM Atual ZPCS12'!$BJ:$BJ)</f>
        <v>6000</v>
      </c>
      <c r="H19" s="50"/>
    </row>
    <row r="20" spans="1:8">
      <c r="A20" s="83" t="s">
        <v>333</v>
      </c>
      <c r="B20" s="84">
        <v>1000</v>
      </c>
      <c r="C20" s="48" t="b">
        <f>IFERROR(MATCH(A20,'BOM Atual ZPCS12'!F:F,0)&gt;0,FALSE)</f>
        <v>1</v>
      </c>
      <c r="D20" s="49" t="str">
        <f>TRIM(VLOOKUP(A20,'BOM Atual ZPCS12'!F:G,2,0))</f>
        <v>Circuito Integrado digital regulador de</v>
      </c>
      <c r="E20" s="47"/>
      <c r="F20" s="56">
        <f ca="1">SUMIF('BOM Atual ZPCS12'!$F:$F,$A20,'BOM Atual ZPCS12'!$BJ:$BJ)</f>
        <v>1000</v>
      </c>
      <c r="H20" s="50"/>
    </row>
    <row r="21" spans="1:8">
      <c r="A21" s="83" t="s">
        <v>335</v>
      </c>
      <c r="B21" s="84">
        <v>2000</v>
      </c>
      <c r="C21" s="48" t="b">
        <f>IFERROR(MATCH(A21,'BOM Atual ZPCS12'!F:F,0)&gt;0,FALSE)</f>
        <v>1</v>
      </c>
      <c r="D21" s="49" t="str">
        <f>TRIM(VLOOKUP(A21,'BOM Atual ZPCS12'!F:G,2,0))</f>
        <v>AD DA CONVERTER NCT3933Y DFN-8 NUVOTON</v>
      </c>
      <c r="E21" s="47"/>
      <c r="F21" s="56">
        <f ca="1">SUMIF('BOM Atual ZPCS12'!$F:$F,$A21,'BOM Atual ZPCS12'!$BJ:$BJ)</f>
        <v>2000</v>
      </c>
      <c r="H21" s="50"/>
    </row>
    <row r="22" spans="1:8">
      <c r="A22" s="83" t="s">
        <v>337</v>
      </c>
      <c r="B22" s="84">
        <v>1000</v>
      </c>
      <c r="C22" s="48" t="b">
        <f>IFERROR(MATCH(A22,'BOM Atual ZPCS12'!F:F,0)&gt;0,FALSE)</f>
        <v>1</v>
      </c>
      <c r="D22" s="49" t="str">
        <f>TRIM(VLOOKUP(A22,'BOM Atual ZPCS12'!F:G,2,0))</f>
        <v>CONTROLLER UP7501M8 UPI SOT23-8L</v>
      </c>
      <c r="E22" s="47"/>
      <c r="F22" s="56">
        <f ca="1">SUMIF('BOM Atual ZPCS12'!$F:$F,$A22,'BOM Atual ZPCS12'!$BJ:$BJ)</f>
        <v>1000</v>
      </c>
      <c r="H22" s="50"/>
    </row>
    <row r="23" spans="1:8">
      <c r="A23" s="83" t="s">
        <v>339</v>
      </c>
      <c r="B23" s="84">
        <v>1000</v>
      </c>
      <c r="C23" s="48" t="b">
        <f>IFERROR(MATCH(A23,'BOM Atual ZPCS12'!F:F,0)&gt;0,FALSE)</f>
        <v>1</v>
      </c>
      <c r="D23" s="49" t="str">
        <f>TRIM(VLOOKUP(A23,'BOM Atual ZPCS12'!F:G,2,0))</f>
        <v>EC KB3724Q D LQFP-64//ENE</v>
      </c>
      <c r="E23" s="47"/>
      <c r="F23" s="56">
        <f ca="1">SUMIF('BOM Atual ZPCS12'!$F:$F,$A23,'BOM Atual ZPCS12'!$BJ:$BJ)</f>
        <v>1000</v>
      </c>
      <c r="H23" s="50"/>
    </row>
    <row r="24" spans="1:8">
      <c r="A24" s="83" t="s">
        <v>341</v>
      </c>
      <c r="B24" s="84">
        <v>1000</v>
      </c>
      <c r="C24" s="48" t="b">
        <f>IFERROR(MATCH(A24,'BOM Atual ZPCS12'!F:F,0)&gt;0,FALSE)</f>
        <v>1</v>
      </c>
      <c r="D24" s="49" t="str">
        <f>TRIM(VLOOKUP(A24,'BOM Atual ZPCS12'!F:G,2,0))</f>
        <v>USB CONTROLLER SN1507044RVCR//TI WQFN-20</v>
      </c>
      <c r="E24" s="47"/>
      <c r="F24" s="56">
        <f ca="1">SUMIF('BOM Atual ZPCS12'!$F:$F,$A24,'BOM Atual ZPCS12'!$BJ:$BJ)</f>
        <v>1000</v>
      </c>
      <c r="H24" s="50"/>
    </row>
    <row r="25" spans="1:8">
      <c r="A25" s="83" t="s">
        <v>343</v>
      </c>
      <c r="B25" s="84">
        <v>1000</v>
      </c>
      <c r="C25" s="48" t="b">
        <f>IFERROR(MATCH(A25,'BOM Atual ZPCS12'!F:F,0)&gt;0,FALSE)</f>
        <v>1</v>
      </c>
      <c r="D25" s="49" t="str">
        <f>TRIM(VLOOKUP(A25,'BOM Atual ZPCS12'!F:G,2,0))</f>
        <v>USB CC CONTROLLER ASM1543 A2 ASMEDIA QFN</v>
      </c>
      <c r="E25" s="47"/>
      <c r="F25" s="56">
        <f ca="1">SUMIF('BOM Atual ZPCS12'!$F:$F,$A25,'BOM Atual ZPCS12'!$BJ:$BJ)</f>
        <v>1000</v>
      </c>
      <c r="H25" s="50"/>
    </row>
    <row r="26" spans="1:8">
      <c r="A26" s="83" t="s">
        <v>345</v>
      </c>
      <c r="B26" s="84">
        <v>3000</v>
      </c>
      <c r="C26" s="48" t="b">
        <f>IFERROR(MATCH(A26,'BOM Atual ZPCS12'!F:F,0)&gt;0,FALSE)</f>
        <v>1</v>
      </c>
      <c r="D26" s="49" t="str">
        <f>TRIM(VLOOKUP(A26,'BOM Atual ZPCS12'!F:G,2,0))</f>
        <v>FAN DRIVER IC NCT3949S NUVOTON ESOP-8</v>
      </c>
      <c r="E26" s="47"/>
      <c r="F26" s="56">
        <f ca="1">SUMIF('BOM Atual ZPCS12'!$F:$F,$A26,'BOM Atual ZPCS12'!$BJ:$BJ)</f>
        <v>8000</v>
      </c>
      <c r="H26" s="50"/>
    </row>
    <row r="27" spans="1:8">
      <c r="A27" s="83" t="s">
        <v>345</v>
      </c>
      <c r="B27" s="84">
        <v>5000</v>
      </c>
      <c r="C27" s="48" t="b">
        <f>IFERROR(MATCH(A27,'BOM Atual ZPCS12'!F:F,0)&gt;0,FALSE)</f>
        <v>1</v>
      </c>
      <c r="D27" s="49" t="str">
        <f>TRIM(VLOOKUP(A27,'BOM Atual ZPCS12'!F:G,2,0))</f>
        <v>FAN DRIVER IC NCT3949S NUVOTON ESOP-8</v>
      </c>
      <c r="E27" s="47"/>
      <c r="F27" s="56">
        <f ca="1">SUMIF('BOM Atual ZPCS12'!$F:$F,$A27,'BOM Atual ZPCS12'!$BJ:$BJ)</f>
        <v>8000</v>
      </c>
      <c r="H27" s="50"/>
    </row>
    <row r="28" spans="1:8">
      <c r="A28" s="83" t="s">
        <v>347</v>
      </c>
      <c r="B28" s="84">
        <v>1000</v>
      </c>
      <c r="C28" s="48" t="b">
        <f>IFERROR(MATCH(A28,'BOM Atual ZPCS12'!F:F,0)&gt;0,FALSE)</f>
        <v>1</v>
      </c>
      <c r="D28" s="49" t="str">
        <f>TRIM(VLOOKUP(A28,'BOM Atual ZPCS12'!F:G,2,0))</f>
        <v>Circuito Integrado Digital Regulador de</v>
      </c>
      <c r="E28" s="47"/>
      <c r="F28" s="56">
        <f ca="1">SUMIF('BOM Atual ZPCS12'!$F:$F,$A28,'BOM Atual ZPCS12'!$BJ:$BJ)</f>
        <v>1000</v>
      </c>
      <c r="H28" s="50"/>
    </row>
    <row r="29" spans="1:8">
      <c r="A29" s="83" t="s">
        <v>351</v>
      </c>
      <c r="B29" s="84">
        <v>1000</v>
      </c>
      <c r="C29" s="48" t="b">
        <f>IFERROR(MATCH(A29,'BOM Atual ZPCS12'!F:F,0)&gt;0,FALSE)</f>
        <v>1</v>
      </c>
      <c r="D29" s="49" t="str">
        <f>TRIM(VLOOKUP(A29,'BOM Atual ZPCS12'!F:G,2,0))</f>
        <v>DDR TERM. REG. UP8815PDDA</v>
      </c>
      <c r="E29" s="47"/>
      <c r="F29" s="56">
        <f ca="1">SUMIF('BOM Atual ZPCS12'!$F:$F,$A29,'BOM Atual ZPCS12'!$BJ:$BJ)</f>
        <v>1000</v>
      </c>
      <c r="H29" s="50"/>
    </row>
    <row r="30" spans="1:8">
      <c r="A30" s="83" t="s">
        <v>353</v>
      </c>
      <c r="B30" s="84">
        <v>2000</v>
      </c>
      <c r="C30" s="48" t="b">
        <f>IFERROR(MATCH(A30,'BOM Atual ZPCS12'!F:F,0)&gt;0,FALSE)</f>
        <v>1</v>
      </c>
      <c r="D30" s="49" t="str">
        <f>TRIM(VLOOKUP(A30,'BOM Atual ZPCS12'!F:G,2,0))</f>
        <v>PWM CONTROLLER RT8125DGQW RICHTEK WDFN-</v>
      </c>
      <c r="E30" s="47"/>
      <c r="F30" s="56">
        <f ca="1">SUMIF('BOM Atual ZPCS12'!$F:$F,$A30,'BOM Atual ZPCS12'!$BJ:$BJ)</f>
        <v>2000</v>
      </c>
      <c r="H30" s="50"/>
    </row>
    <row r="31" spans="1:8">
      <c r="A31" s="83" t="s">
        <v>355</v>
      </c>
      <c r="B31" s="84">
        <v>1000</v>
      </c>
      <c r="C31" s="48" t="b">
        <f>IFERROR(MATCH(A31,'BOM Atual ZPCS12'!F:F,0)&gt;0,FALSE)</f>
        <v>1</v>
      </c>
      <c r="D31" s="49" t="str">
        <f>TRIM(VLOOKUP(A31,'BOM Atual ZPCS12'!F:G,2,0))</f>
        <v>PWM CONTROLLER RAA229621R2LGNPC13 RENESA</v>
      </c>
      <c r="E31" s="47"/>
      <c r="F31" s="56">
        <f ca="1">SUMIF('BOM Atual ZPCS12'!$F:$F,$A31,'BOM Atual ZPCS12'!$BJ:$BJ)</f>
        <v>1000</v>
      </c>
      <c r="H31" s="50"/>
    </row>
    <row r="32" spans="1:8">
      <c r="A32" s="83" t="s">
        <v>357</v>
      </c>
      <c r="B32" s="84">
        <v>1000</v>
      </c>
      <c r="C32" s="48" t="b">
        <f>IFERROR(MATCH(A32,'BOM Atual ZPCS12'!F:F,0)&gt;0,FALSE)</f>
        <v>1</v>
      </c>
      <c r="D32" s="49" t="str">
        <f>TRIM(VLOOKUP(A32,'BOM Atual ZPCS12'!F:G,2,0))</f>
        <v>PWM CONTROLLER ASP2206GQKT-0010-C787-Z//</v>
      </c>
      <c r="E32" s="47"/>
      <c r="F32" s="56">
        <f ca="1">SUMIF('BOM Atual ZPCS12'!$F:$F,$A32,'BOM Atual ZPCS12'!$BJ:$BJ)</f>
        <v>1000</v>
      </c>
      <c r="H32" s="50"/>
    </row>
    <row r="33" spans="1:8">
      <c r="A33" s="83" t="s">
        <v>361</v>
      </c>
      <c r="B33" s="84">
        <v>1000</v>
      </c>
      <c r="C33" s="48" t="b">
        <f>IFERROR(MATCH(A33,'BOM Atual ZPCS12'!F:F,0)&gt;0,FALSE)</f>
        <v>1</v>
      </c>
      <c r="D33" s="49" t="str">
        <f>TRIM(VLOOKUP(A33,'BOM Atual ZPCS12'!F:G,2,0))</f>
        <v>AUDIO CODEC ALC1220P-VB2-CG QFN48//REALT</v>
      </c>
      <c r="E33" s="47"/>
      <c r="F33" s="56">
        <f ca="1">SUMIF('BOM Atual ZPCS12'!$F:$F,$A33,'BOM Atual ZPCS12'!$BJ:$BJ)</f>
        <v>1000</v>
      </c>
      <c r="H33" s="50"/>
    </row>
    <row r="34" spans="1:8">
      <c r="A34" s="83" t="s">
        <v>363</v>
      </c>
      <c r="B34" s="84">
        <v>1000</v>
      </c>
      <c r="C34" s="48" t="b">
        <f>IFERROR(MATCH(A34,'BOM Atual ZPCS12'!F:F,0)&gt;0,FALSE)</f>
        <v>1</v>
      </c>
      <c r="D34" s="49" t="str">
        <f>TRIM(VLOOKUP(A34,'BOM Atual ZPCS12'!F:G,2,0))</f>
        <v>BRIDGE AI1315 QFN48ASMEDIA USB TO SPI</v>
      </c>
      <c r="E34" s="47"/>
      <c r="F34" s="56">
        <f ca="1">SUMIF('BOM Atual ZPCS12'!$F:$F,$A34,'BOM Atual ZPCS12'!$BJ:$BJ)</f>
        <v>1000</v>
      </c>
      <c r="H34" s="50"/>
    </row>
    <row r="35" spans="1:8">
      <c r="A35" s="83" t="s">
        <v>367</v>
      </c>
      <c r="B35" s="84">
        <v>4900</v>
      </c>
      <c r="C35" s="48" t="b">
        <f>IFERROR(MATCH(A35,'BOM Atual ZPCS12'!F:F,0)&gt;0,FALSE)</f>
        <v>1</v>
      </c>
      <c r="D35" s="49" t="str">
        <f>TRIM(VLOOKUP(A35,'BOM Atual ZPCS12'!F:G,2,0))</f>
        <v>BRIDGE IT8883FN-I/BX QFN32//ITE ESPI TO</v>
      </c>
      <c r="E35" s="47"/>
      <c r="F35" s="56">
        <f ca="1">SUMIF('BOM Atual ZPCS12'!$F:$F,$A35,'BOM Atual ZPCS12'!$BJ:$BJ)</f>
        <v>1000</v>
      </c>
      <c r="H35" s="50"/>
    </row>
    <row r="36" spans="1:8">
      <c r="A36" s="83" t="s">
        <v>369</v>
      </c>
      <c r="B36" s="84">
        <v>1000</v>
      </c>
      <c r="C36" s="48" t="b">
        <f>IFERROR(MATCH(A36,'BOM Atual ZPCS12'!F:F,0)&gt;0,FALSE)</f>
        <v>1</v>
      </c>
      <c r="D36" s="49" t="str">
        <f>TRIM(VLOOKUP(A36,'BOM Atual ZPCS12'!F:G,2,0))</f>
        <v>LAN RTL8125BG-CG QFN48 REALTEK</v>
      </c>
      <c r="E36" s="47"/>
      <c r="F36" s="56">
        <f ca="1">SUMIF('BOM Atual ZPCS12'!$F:$F,$A36,'BOM Atual ZPCS12'!$BJ:$BJ)</f>
        <v>1000</v>
      </c>
      <c r="H36" s="50"/>
    </row>
    <row r="37" spans="1:8">
      <c r="A37" s="83" t="s">
        <v>371</v>
      </c>
      <c r="B37" s="84">
        <v>2000</v>
      </c>
      <c r="C37" s="48" t="b">
        <f>IFERROR(MATCH(A37,'BOM Atual ZPCS12'!F:F,0)&gt;0,FALSE)</f>
        <v>1</v>
      </c>
      <c r="D37" s="49" t="str">
        <f>TRIM(VLOOKUP(A37,'BOM Atual ZPCS12'!F:G,2,0))</f>
        <v>REDRIVER IC PI3EQX1004EZTFEX//DIODES UQF</v>
      </c>
      <c r="E37" s="47"/>
      <c r="F37" s="56">
        <f ca="1">SUMIF('BOM Atual ZPCS12'!$F:$F,$A37,'BOM Atual ZPCS12'!$BJ:$BJ)</f>
        <v>2000</v>
      </c>
      <c r="H37" s="50"/>
    </row>
    <row r="38" spans="1:8" s="13" customFormat="1">
      <c r="A38" s="83" t="s">
        <v>373</v>
      </c>
      <c r="B38" s="84">
        <v>1000</v>
      </c>
      <c r="C38" s="48" t="b">
        <f>IFERROR(MATCH(A38,'BOM Atual ZPCS12'!F:F,0)&gt;0,FALSE)</f>
        <v>1</v>
      </c>
      <c r="D38" s="49" t="str">
        <f>TRIM(VLOOKUP(A38,'BOM Atual ZPCS12'!F:G,2,0))</f>
        <v>REDRIVER IC GL9950NE-OKY10 QFN-34//GENES</v>
      </c>
      <c r="E38" s="47"/>
      <c r="F38" s="56">
        <f ca="1">SUMIF('BOM Atual ZPCS12'!$F:$F,$A38,'BOM Atual ZPCS12'!$BJ:$BJ)</f>
        <v>1000</v>
      </c>
      <c r="G38" s="44"/>
      <c r="H38" s="14"/>
    </row>
    <row r="39" spans="1:8">
      <c r="A39" s="83" t="s">
        <v>375</v>
      </c>
      <c r="B39" s="84">
        <v>1000</v>
      </c>
      <c r="C39" s="48" t="b">
        <f>IFERROR(MATCH(A39,'BOM Atual ZPCS12'!F:F,0)&gt;0,FALSE)</f>
        <v>1</v>
      </c>
      <c r="D39" s="49" t="str">
        <f>TRIM(VLOOKUP(A39,'BOM Atual ZPCS12'!F:G,2,0))</f>
        <v>REDRIVER IC GL9905-OLY10 QFN-42//GENESYS</v>
      </c>
      <c r="E39" s="47"/>
      <c r="F39" s="56">
        <f ca="1">SUMIF('BOM Atual ZPCS12'!$F:$F,$A39,'BOM Atual ZPCS12'!$BJ:$BJ)</f>
        <v>1000</v>
      </c>
      <c r="H39" s="50"/>
    </row>
    <row r="40" spans="1:8">
      <c r="A40" s="83" t="s">
        <v>377</v>
      </c>
      <c r="B40" s="84">
        <v>2000</v>
      </c>
      <c r="C40" s="48" t="b">
        <f>IFERROR(MATCH(A40,'BOM Atual ZPCS12'!F:F,0)&gt;0,FALSE)</f>
        <v>1</v>
      </c>
      <c r="D40" s="49" t="str">
        <f>TRIM(VLOOKUP(A40,'BOM Atual ZPCS12'!F:G,2,0))</f>
        <v>REDRIVER IC PS7101-51 FCCSP-77//PHISON</v>
      </c>
      <c r="E40" s="47"/>
      <c r="F40" s="56">
        <f ca="1">SUMIF('BOM Atual ZPCS12'!$F:$F,$A40,'BOM Atual ZPCS12'!$BJ:$BJ)</f>
        <v>2000</v>
      </c>
      <c r="H40" s="50"/>
    </row>
    <row r="41" spans="1:8">
      <c r="A41" s="83" t="s">
        <v>379</v>
      </c>
      <c r="B41" s="84">
        <v>1000</v>
      </c>
      <c r="C41" s="48" t="b">
        <f>IFERROR(MATCH(A41,'BOM Atual ZPCS12'!F:F,0)&gt;0,FALSE)</f>
        <v>1</v>
      </c>
      <c r="D41" s="49" t="str">
        <f>TRIM(VLOOKUP(A41,'BOM Atual ZPCS12'!F:G,2,0))</f>
        <v>SUPER IO NCT6799D-R B LQFP-128//NUVOTON</v>
      </c>
      <c r="E41" s="47"/>
      <c r="F41" s="56">
        <f ca="1">SUMIF('BOM Atual ZPCS12'!$F:$F,$A41,'BOM Atual ZPCS12'!$BJ:$BJ)</f>
        <v>1000</v>
      </c>
      <c r="H41" s="50"/>
    </row>
    <row r="42" spans="1:8">
      <c r="A42" s="83" t="s">
        <v>300</v>
      </c>
      <c r="B42" s="84">
        <v>6000</v>
      </c>
      <c r="C42" s="48" t="b">
        <f>IFERROR(MATCH(A42,'BOM Atual ZPCS12'!F:F,0)&gt;0,FALSE)</f>
        <v>1</v>
      </c>
      <c r="D42" s="49" t="str">
        <f>TRIM(VLOOKUP(A42,'BOM Atual ZPCS12'!F:G,2,0))</f>
        <v>LOGIC SN74AUP1G08DRLR SOT-553 TI</v>
      </c>
      <c r="E42" s="47"/>
      <c r="F42" s="56">
        <f ca="1">SUMIF('BOM Atual ZPCS12'!$F:$F,$A42,'BOM Atual ZPCS12'!$BJ:$BJ)</f>
        <v>6000</v>
      </c>
      <c r="H42" s="50"/>
    </row>
    <row r="43" spans="1:8">
      <c r="A43" s="83" t="s">
        <v>391</v>
      </c>
      <c r="B43" s="84">
        <v>1000</v>
      </c>
      <c r="C43" s="48" t="b">
        <f>IFERROR(MATCH(A43,'BOM Atual ZPCS12'!F:F,0)&gt;0,FALSE)</f>
        <v>1</v>
      </c>
      <c r="D43" s="49" t="str">
        <f>TRIM(VLOOKUP(A43,'BOM Atual ZPCS12'!F:G,2,0))</f>
        <v>OP AMP. AS324MTR-E1 SOIC-14 AAC</v>
      </c>
      <c r="E43" s="47"/>
      <c r="F43" s="56">
        <f ca="1">SUMIF('BOM Atual ZPCS12'!$F:$F,$A43,'BOM Atual ZPCS12'!$BJ:$BJ)</f>
        <v>1000</v>
      </c>
      <c r="H43" s="50"/>
    </row>
    <row r="44" spans="1:8">
      <c r="A44" s="83" t="s">
        <v>393</v>
      </c>
      <c r="B44" s="84">
        <v>1000</v>
      </c>
      <c r="C44" s="48" t="b">
        <f>IFERROR(MATCH(A44,'BOM Atual ZPCS12'!F:F,0)&gt;0,FALSE)</f>
        <v>1</v>
      </c>
      <c r="D44" s="49" t="str">
        <f>TRIM(VLOOKUP(A44,'BOM Atual ZPCS12'!F:G,2,0))</f>
        <v>CLOCK Gen. ICS9112AM-16LFT//ICS SOIC-8</v>
      </c>
      <c r="E44" s="47"/>
      <c r="F44" s="56">
        <f ca="1">SUMIF('BOM Atual ZPCS12'!$F:$F,$A44,'BOM Atual ZPCS12'!$BJ:$BJ)</f>
        <v>1000</v>
      </c>
      <c r="H44" s="50"/>
    </row>
    <row r="45" spans="1:8">
      <c r="A45" s="83" t="s">
        <v>405</v>
      </c>
      <c r="B45" s="84">
        <v>1000</v>
      </c>
      <c r="C45" s="48" t="b">
        <f>IFERROR(MATCH(A45,'BOM Atual ZPCS12'!F:F,0)&gt;0,FALSE)</f>
        <v>1</v>
      </c>
      <c r="D45" s="49" t="str">
        <f>TRIM(VLOOKUP(A45,'BOM Atual ZPCS12'!F:G,2,0))</f>
        <v>Vcomp. AS393MTR-E1 SOIC-8 BCD</v>
      </c>
      <c r="E45" s="47"/>
      <c r="F45" s="56">
        <f ca="1">SUMIF('BOM Atual ZPCS12'!$F:$F,$A45,'BOM Atual ZPCS12'!$BJ:$BJ)</f>
        <v>1000</v>
      </c>
      <c r="H45" s="50"/>
    </row>
    <row r="46" spans="1:8">
      <c r="A46" s="83" t="s">
        <v>407</v>
      </c>
      <c r="B46" s="84">
        <v>1000</v>
      </c>
      <c r="C46" s="48" t="b">
        <f>IFERROR(MATCH(A46,'BOM Atual ZPCS12'!F:F,0)&gt;0,FALSE)</f>
        <v>1</v>
      </c>
      <c r="D46" s="49" t="str">
        <f>TRIM(VLOOKUP(A46,'BOM Atual ZPCS12'!F:G,2,0))</f>
        <v>POWER SW. NCT3521U SOT23-5//NUVOTON</v>
      </c>
      <c r="E46" s="47"/>
      <c r="F46" s="56">
        <f ca="1">SUMIF('BOM Atual ZPCS12'!$F:$F,$A46,'BOM Atual ZPCS12'!$BJ:$BJ)</f>
        <v>1000</v>
      </c>
      <c r="H46" s="50"/>
    </row>
    <row r="47" spans="1:8">
      <c r="A47" s="83" t="s">
        <v>410</v>
      </c>
      <c r="B47" s="84">
        <v>1000</v>
      </c>
      <c r="C47" s="48" t="b">
        <f>IFERROR(MATCH(A47,'BOM Atual ZPCS12'!F:F,0)&gt;0,FALSE)</f>
        <v>1</v>
      </c>
      <c r="D47" s="49" t="str">
        <f>TRIM(VLOOKUP(A47,'BOM Atual ZPCS12'!F:G,2,0))</f>
        <v>Circuito integrado MUX/DEMUX SW ASM1480</v>
      </c>
      <c r="E47" s="47"/>
      <c r="F47" s="56">
        <f ca="1">SUMIF('BOM Atual ZPCS12'!$F:$F,$A47,'BOM Atual ZPCS12'!$BJ:$BJ)</f>
        <v>1000</v>
      </c>
      <c r="H47" s="50"/>
    </row>
    <row r="48" spans="1:8">
      <c r="A48" s="83" t="s">
        <v>527</v>
      </c>
      <c r="B48" s="84">
        <v>35000</v>
      </c>
      <c r="C48" s="48" t="b">
        <f>IFERROR(MATCH(A48,'BOM Atual ZPCS12'!F:F,0)&gt;0,FALSE)</f>
        <v>1</v>
      </c>
      <c r="D48" s="49" t="str">
        <f>TRIM(VLOOKUP(A48,'BOM Atual ZPCS12'!F:G,2,0))</f>
        <v>TRASIS.LMBT3904LT1G-HS SOT-23</v>
      </c>
      <c r="E48" s="47"/>
      <c r="F48" s="56">
        <f ca="1">SUMIF('BOM Atual ZPCS12'!$F:$F,$A48,'BOM Atual ZPCS12'!$BJ:$BJ)</f>
        <v>35000</v>
      </c>
      <c r="H48" s="50"/>
    </row>
    <row r="49" spans="1:8">
      <c r="A49" s="83" t="s">
        <v>423</v>
      </c>
      <c r="B49" s="84">
        <v>69000</v>
      </c>
      <c r="C49" s="48" t="b">
        <f>IFERROR(MATCH(A49,'BOM Atual ZPCS12'!F:F,0)&gt;0,FALSE)</f>
        <v>1</v>
      </c>
      <c r="D49" s="49" t="str">
        <f>TRIM(VLOOKUP(A49,'BOM Atual ZPCS12'!F:G,2,0))</f>
        <v>N-MOSFET L2N7002SLT1GS-HS//LRC SOT-23</v>
      </c>
      <c r="E49" s="47"/>
      <c r="F49" s="56">
        <f ca="1">SUMIF('BOM Atual ZPCS12'!$F:$F,$A49,'BOM Atual ZPCS12'!$BJ:$BJ)</f>
        <v>69000</v>
      </c>
      <c r="H49" s="50"/>
    </row>
    <row r="50" spans="1:8">
      <c r="A50" s="83" t="s">
        <v>425</v>
      </c>
      <c r="B50" s="84">
        <v>14000</v>
      </c>
      <c r="C50" s="48" t="b">
        <f>IFERROR(MATCH(A50,'BOM Atual ZPCS12'!F:F,0)&gt;0,FALSE)</f>
        <v>1</v>
      </c>
      <c r="D50" s="49" t="str">
        <f>TRIM(VLOOKUP(A50,'BOM Atual ZPCS12'!F:G,2,0))</f>
        <v>DUAL N-MOSFET L2N7002SDW1T1GS-HS//LRC SO</v>
      </c>
      <c r="E50" s="47"/>
      <c r="F50" s="56">
        <f ca="1">SUMIF('BOM Atual ZPCS12'!$F:$F,$A50,'BOM Atual ZPCS12'!$BJ:$BJ)</f>
        <v>14000</v>
      </c>
      <c r="H50" s="50"/>
    </row>
    <row r="51" spans="1:8">
      <c r="A51" s="83" t="s">
        <v>427</v>
      </c>
      <c r="B51" s="84">
        <v>14000</v>
      </c>
      <c r="C51" s="48" t="b">
        <f>IFERROR(MATCH(A51,'BOM Atual ZPCS12'!F:F,0)&gt;0,FALSE)</f>
        <v>1</v>
      </c>
      <c r="D51" s="49" t="str">
        <f>TRIM(VLOOKUP(A51,'BOM Atual ZPCS12'!F:G,2,0))</f>
        <v>N-MOSFET PJA138K//PANJIT SOT-23</v>
      </c>
      <c r="E51" s="47"/>
      <c r="F51" s="56">
        <f ca="1">SUMIF('BOM Atual ZPCS12'!$F:$F,$A51,'BOM Atual ZPCS12'!$BJ:$BJ)</f>
        <v>14000</v>
      </c>
      <c r="H51" s="50"/>
    </row>
    <row r="52" spans="1:8">
      <c r="A52" s="83" t="s">
        <v>431</v>
      </c>
      <c r="B52" s="84">
        <v>2000</v>
      </c>
      <c r="C52" s="48" t="b">
        <f>IFERROR(MATCH(A52,'BOM Atual ZPCS12'!F:F,0)&gt;0,FALSE)</f>
        <v>1</v>
      </c>
      <c r="D52" s="49" t="str">
        <f>TRIM(VLOOKUP(A52,'BOM Atual ZPCS12'!F:G,2,0))</f>
        <v>P-MOSFET EMF44P02V EDFN33 EXCELLIANCE</v>
      </c>
      <c r="E52" s="47"/>
      <c r="F52" s="56">
        <f ca="1">SUMIF('BOM Atual ZPCS12'!$F:$F,$A52,'BOM Atual ZPCS12'!$BJ:$BJ)</f>
        <v>2000</v>
      </c>
      <c r="H52" s="50"/>
    </row>
    <row r="53" spans="1:8">
      <c r="A53" s="83" t="s">
        <v>439</v>
      </c>
      <c r="B53" s="84">
        <v>1000</v>
      </c>
      <c r="C53" s="48" t="b">
        <f>IFERROR(MATCH(A53,'BOM Atual ZPCS12'!F:F,0)&gt;0,FALSE)</f>
        <v>1</v>
      </c>
      <c r="D53" s="49" t="str">
        <f>TRIM(VLOOKUP(A53,'BOM Atual ZPCS12'!F:G,2,0))</f>
        <v>P-MOSFET EMB20P03A EXCELLIANCE TO-252</v>
      </c>
      <c r="E53" s="47"/>
      <c r="F53" s="56">
        <f ca="1">SUMIF('BOM Atual ZPCS12'!$F:$F,$A53,'BOM Atual ZPCS12'!$BJ:$BJ)</f>
        <v>1000</v>
      </c>
      <c r="H53" s="50"/>
    </row>
    <row r="54" spans="1:8">
      <c r="A54" s="83" t="s">
        <v>559</v>
      </c>
      <c r="B54" s="84">
        <v>2000</v>
      </c>
      <c r="C54" s="48" t="b">
        <f>IFERROR(MATCH(A54,'BOM Atual ZPCS12'!F:F,0)&gt;0,FALSE)</f>
        <v>1</v>
      </c>
      <c r="D54" s="49" t="str">
        <f>TRIM(VLOOKUP(A54,'BOM Atual ZPCS12'!F:G,2,0))</f>
        <v>P-MOSFET AP3P050AG//APEC SOT-89</v>
      </c>
      <c r="E54" s="47"/>
      <c r="F54" s="56">
        <f ca="1">SUMIF('BOM Atual ZPCS12'!$F:$F,$A54,'BOM Atual ZPCS12'!$BJ:$BJ)</f>
        <v>2000</v>
      </c>
      <c r="H54" s="50"/>
    </row>
    <row r="55" spans="1:8">
      <c r="A55" s="83" t="s">
        <v>449</v>
      </c>
      <c r="B55" s="84">
        <v>15000</v>
      </c>
      <c r="C55" s="48" t="b">
        <f>IFERROR(MATCH(A55,'BOM Atual ZPCS12'!F:F,0)&gt;0,FALSE)</f>
        <v>1</v>
      </c>
      <c r="D55" s="49" t="str">
        <f>TRIM(VLOOKUP(A55,'BOM Atual ZPCS12'!F:G,2,0))</f>
        <v>N-MOSFET SIRA14BDP-T1-GE3-U VISHAY SO-8</v>
      </c>
      <c r="E55" s="47"/>
      <c r="F55" s="56">
        <f ca="1">SUMIF('BOM Atual ZPCS12'!$F:$F,$A55,'BOM Atual ZPCS12'!$BJ:$BJ)</f>
        <v>15000</v>
      </c>
      <c r="H55" s="50"/>
    </row>
    <row r="56" spans="1:8">
      <c r="A56" s="83" t="s">
        <v>453</v>
      </c>
      <c r="B56" s="84">
        <v>4000</v>
      </c>
      <c r="C56" s="48" t="b">
        <f>IFERROR(MATCH(A56,'BOM Atual ZPCS12'!F:F,0)&gt;0,FALSE)</f>
        <v>1</v>
      </c>
      <c r="D56" s="49" t="str">
        <f>TRIM(VLOOKUP(A56,'BOM Atual ZPCS12'!F:G,2,0))</f>
        <v>XTAL 25MHZ 20PF/30PPM 3.2x2.5</v>
      </c>
      <c r="E56" s="47"/>
      <c r="F56" s="56">
        <f ca="1">SUMIF('BOM Atual ZPCS12'!$F:$F,$A56,'BOM Atual ZPCS12'!$BJ:$BJ)</f>
        <v>4000</v>
      </c>
      <c r="H56" s="50"/>
    </row>
    <row r="57" spans="1:8" ht="14.4" customHeight="1">
      <c r="A57" s="83" t="s">
        <v>458</v>
      </c>
      <c r="B57" s="84">
        <v>1000</v>
      </c>
      <c r="C57" s="48" t="b">
        <f>IFERROR(MATCH(A57,'BOM Atual ZPCS12'!F:F,0)&gt;0,FALSE)</f>
        <v>1</v>
      </c>
      <c r="D57" s="49" t="str">
        <f>TRIM(VLOOKUP(A57,'BOM Atual ZPCS12'!F:G,2,0))</f>
        <v>XTAL 48MHZ 12PF 10PPM 3.2X2.5 FUJICOM FS</v>
      </c>
      <c r="E57" s="47"/>
      <c r="F57" s="56">
        <f ca="1">SUMIF('BOM Atual ZPCS12'!$F:$F,$A57,'BOM Atual ZPCS12'!$BJ:$BJ)</f>
        <v>1000</v>
      </c>
      <c r="H57" s="50"/>
    </row>
    <row r="58" spans="1:8">
      <c r="A58" s="83" t="s">
        <v>464</v>
      </c>
      <c r="B58" s="84">
        <v>1000</v>
      </c>
      <c r="C58" s="48" t="b">
        <f>IFERROR(MATCH(A58,'BOM Atual ZPCS12'!F:F,0)&gt;0,FALSE)</f>
        <v>1</v>
      </c>
      <c r="D58" s="49" t="str">
        <f>TRIM(VLOOKUP(A58,'BOM Atual ZPCS12'!F:G,2,0))</f>
        <v>XTAL 32.768KHZ 12.5PF/20PPM</v>
      </c>
      <c r="E58" s="47"/>
      <c r="F58" s="56">
        <f ca="1">SUMIF('BOM Atual ZPCS12'!$F:$F,$A58,'BOM Atual ZPCS12'!$BJ:$BJ)</f>
        <v>1000</v>
      </c>
      <c r="H58" s="50"/>
    </row>
    <row r="59" spans="1:8">
      <c r="A59" s="83" t="s">
        <v>471</v>
      </c>
      <c r="B59" s="84">
        <v>1000</v>
      </c>
      <c r="C59" s="48" t="b">
        <f>IFERROR(MATCH(A59,'BOM Atual ZPCS12'!F:F,0)&gt;0,FALSE)</f>
        <v>1</v>
      </c>
      <c r="D59" s="49" t="str">
        <f>TRIM(VLOOKUP(A59,'BOM Atual ZPCS12'!F:G,2,0))</f>
        <v>XTAL 32.768KHZ 12.5PF/20PPM KDS/1TJY125D</v>
      </c>
      <c r="E59" s="47"/>
      <c r="F59" s="56">
        <f ca="1">SUMIF('BOM Atual ZPCS12'!$F:$F,$A59,'BOM Atual ZPCS12'!$BJ:$BJ)</f>
        <v>1000</v>
      </c>
      <c r="H59" s="50"/>
    </row>
    <row r="60" spans="1:8">
      <c r="A60" s="83" t="s">
        <v>479</v>
      </c>
      <c r="B60" s="84">
        <v>1000</v>
      </c>
      <c r="C60" s="48" t="b">
        <f>IFERROR(MATCH(A60,'BOM Atual ZPCS12'!F:F,0)&gt;0,FALSE)</f>
        <v>1</v>
      </c>
      <c r="D60" s="49" t="str">
        <f>TRIM(VLOOKUP(A60,'BOM Atual ZPCS12'!F:G,2,0))</f>
        <v>POLYSWITCH 0805 SPR-P110 PTTC 1.1A 6V</v>
      </c>
      <c r="E60" s="47"/>
      <c r="F60" s="56">
        <f ca="1">SUMIF('BOM Atual ZPCS12'!$F:$F,$A60,'BOM Atual ZPCS12'!$BJ:$BJ)</f>
        <v>1000</v>
      </c>
      <c r="H60" s="50"/>
    </row>
    <row r="61" spans="1:8">
      <c r="A61" s="74" t="s">
        <v>483</v>
      </c>
      <c r="B61" s="84">
        <v>7000</v>
      </c>
      <c r="C61" s="48" t="b">
        <f>IFERROR(MATCH(A61,'BOM Atual ZPCS12'!F:F,0)&gt;0,FALSE)</f>
        <v>1</v>
      </c>
      <c r="D61" s="49" t="str">
        <f>TRIM(VLOOKUP(A61,'BOM Atual ZPCS12'!F:G,2,0))</f>
        <v>POLYSWITCH 3.5A 6V 0805 WAY-ON LP-ISML3</v>
      </c>
      <c r="E61" s="47"/>
      <c r="F61" s="56">
        <f ca="1">SUMIF('BOM Atual ZPCS12'!$F:$F,$A61,'BOM Atual ZPCS12'!$BJ:$BJ)</f>
        <v>7000</v>
      </c>
      <c r="H61" s="50"/>
    </row>
    <row r="62" spans="1:8">
      <c r="A62" s="74" t="s">
        <v>487</v>
      </c>
      <c r="B62" s="84">
        <v>2000</v>
      </c>
      <c r="C62" s="48" t="b">
        <f>IFERROR(MATCH(A62,'BOM Atual ZPCS12'!F:F,0)&gt;0,FALSE)</f>
        <v>1</v>
      </c>
      <c r="D62" s="49" t="str">
        <f>TRIM(VLOOKUP(A62,'BOM Atual ZPCS12'!F:G,2,0))</f>
        <v>POLYSWITCH 2.6A/6V 0805</v>
      </c>
      <c r="E62" s="47"/>
      <c r="F62" s="56">
        <f ca="1">SUMIF('BOM Atual ZPCS12'!$F:$F,$A62,'BOM Atual ZPCS12'!$BJ:$BJ)</f>
        <v>2000</v>
      </c>
      <c r="H62" s="50"/>
    </row>
    <row r="63" spans="1:8">
      <c r="A63" s="74" t="s">
        <v>492</v>
      </c>
      <c r="B63" s="84">
        <v>4000</v>
      </c>
      <c r="C63" s="48" t="b">
        <f>IFERROR(MATCH(A63,'BOM Atual ZPCS12'!F:F,0)&gt;0,FALSE)</f>
        <v>1</v>
      </c>
      <c r="D63" s="49" t="str">
        <f>TRIM(VLOOKUP(A63,'BOM Atual ZPCS12'!F:G,2,0))</f>
        <v>POLYSWITCH 1.75A 6V 0805 PTTC SPR-P175-Y</v>
      </c>
      <c r="E63" s="47"/>
      <c r="F63" s="56">
        <f ca="1">SUMIF('BOM Atual ZPCS12'!$F:$F,$A63,'BOM Atual ZPCS12'!$BJ:$BJ)</f>
        <v>4000</v>
      </c>
      <c r="H63" s="50"/>
    </row>
    <row r="64" spans="1:8">
      <c r="A64" s="74" t="s">
        <v>496</v>
      </c>
      <c r="B64" s="84">
        <v>4000</v>
      </c>
      <c r="C64" s="48" t="b">
        <f>IFERROR(MATCH(A64,'BOM Atual ZPCS12'!F:F,0)&gt;0,FALSE)</f>
        <v>1</v>
      </c>
      <c r="D64" s="49" t="str">
        <f>TRIM(VLOOKUP(A64,'BOM Atual ZPCS12'!F:G,2,0))</f>
        <v>LED RGB SMD 3.2X1.0 LITEON/LTST-S310EGBW</v>
      </c>
      <c r="E64" s="47"/>
      <c r="F64" s="56">
        <f ca="1">SUMIF('BOM Atual ZPCS12'!$F:$F,$A64,'BOM Atual ZPCS12'!$BJ:$BJ)</f>
        <v>4000</v>
      </c>
      <c r="H64" s="50"/>
    </row>
    <row r="65" spans="1:8">
      <c r="A65" s="74" t="s">
        <v>500</v>
      </c>
      <c r="B65" s="84">
        <v>15000</v>
      </c>
      <c r="C65" s="48" t="b">
        <f>IFERROR(MATCH(A65,'BOM Atual ZPCS12'!F:F,0)&gt;0,FALSE)</f>
        <v>1</v>
      </c>
      <c r="D65" s="49" t="str">
        <f>TRIM(VLOOKUP(A65,'BOM Atual ZPCS12'!F:G,2,0))</f>
        <v>V-PORT 5.5V 100PF 0402 INPAQ VPORT0402L</v>
      </c>
      <c r="E65" s="47"/>
      <c r="F65" s="56">
        <f ca="1">SUMIF('BOM Atual ZPCS12'!$F:$F,$A65,'BOM Atual ZPCS12'!$BJ:$BJ)</f>
        <v>15000</v>
      </c>
      <c r="H65" s="50"/>
    </row>
    <row r="66" spans="1:8">
      <c r="A66" s="74" t="s">
        <v>504</v>
      </c>
      <c r="B66" s="84">
        <v>19000</v>
      </c>
      <c r="C66" s="48" t="b">
        <f>IFERROR(MATCH(A66,'BOM Atual ZPCS12'!F:F,0)&gt;0,FALSE)</f>
        <v>1</v>
      </c>
      <c r="D66" s="49" t="str">
        <f>TRIM(VLOOKUP(A66,'BOM Atual ZPCS12'!F:G,2,0))</f>
        <v>ESD PROTECTION AZC099-04SP.R7G AMAZING</v>
      </c>
      <c r="E66" s="47"/>
      <c r="F66" s="56">
        <f ca="1">SUMIF('BOM Atual ZPCS12'!$F:$F,$A66,'BOM Atual ZPCS12'!$BJ:$BJ)</f>
        <v>19000</v>
      </c>
      <c r="H66" s="50"/>
    </row>
    <row r="67" spans="1:8">
      <c r="A67" s="74" t="s">
        <v>513</v>
      </c>
      <c r="B67" s="84">
        <v>18000</v>
      </c>
      <c r="C67" s="48" t="b">
        <f>IFERROR(MATCH(A67,'BOM Atual ZPCS12'!F:F,0)&gt;0,FALSE)</f>
        <v>1</v>
      </c>
      <c r="D67" s="49" t="str">
        <f>TRIM(VLOOKUP(A67,'BOM Atual ZPCS12'!F:G,2,0))</f>
        <v>ESD PROTECTION AZ174S-04F.R7G</v>
      </c>
      <c r="E67" s="47"/>
      <c r="F67" s="56">
        <f ca="1">SUMIF('BOM Atual ZPCS12'!$F:$F,$A67,'BOM Atual ZPCS12'!$BJ:$BJ)</f>
        <v>18000</v>
      </c>
      <c r="H67" s="50"/>
    </row>
    <row r="68" spans="1:8">
      <c r="A68" s="74" t="s">
        <v>515</v>
      </c>
      <c r="B68" s="84">
        <v>16000</v>
      </c>
      <c r="C68" s="48" t="b">
        <f>IFERROR(MATCH(A68,'BOM Atual ZPCS12'!F:F,0)&gt;0,FALSE)</f>
        <v>1</v>
      </c>
      <c r="D68" s="49" t="str">
        <f>TRIM(VLOOKUP(A68,'BOM Atual ZPCS12'!F:G,2,0))</f>
        <v>POWER MOSFET SW. MP86992GMJ-C787-Z//MPS</v>
      </c>
      <c r="E68" s="47"/>
      <c r="F68" s="56">
        <f ca="1">SUMIF('BOM Atual ZPCS12'!$F:$F,$A68,'BOM Atual ZPCS12'!$BJ:$BJ)</f>
        <v>16000</v>
      </c>
      <c r="H68" s="50"/>
    </row>
    <row r="69" spans="1:8">
      <c r="A69" s="74" t="s">
        <v>519</v>
      </c>
      <c r="B69" s="84">
        <v>2000</v>
      </c>
      <c r="C69" s="48" t="b">
        <f>IFERROR(MATCH(A69,'BOM Atual ZPCS12'!F:F,0)&gt;0,FALSE)</f>
        <v>1</v>
      </c>
      <c r="D69" s="49" t="str">
        <f>TRIM(VLOOKUP(A69,'BOM Atual ZPCS12'!F:G,2,0))</f>
        <v>POWER MOSFET SW. ISL99390FRZ-TR5935 RENE</v>
      </c>
      <c r="E69" s="47"/>
      <c r="F69" s="56">
        <f ca="1">SUMIF('BOM Atual ZPCS12'!$F:$F,$A69,'BOM Atual ZPCS12'!$BJ:$BJ)</f>
        <v>2000</v>
      </c>
      <c r="H69" s="50"/>
    </row>
    <row r="70" spans="1:8">
      <c r="A70" s="74" t="s">
        <v>521</v>
      </c>
      <c r="B70" s="84">
        <v>1000</v>
      </c>
      <c r="C70" s="48" t="b">
        <f>IFERROR(MATCH(A70,'BOM Atual ZPCS12'!F:F,0)&gt;0,FALSE)</f>
        <v>1</v>
      </c>
      <c r="D70" s="49" t="str">
        <f>TRIM(VLOOKUP(A70,'BOM Atual ZPCS12'!F:G,2,0))</f>
        <v>DIODE BAW56W SOT323</v>
      </c>
      <c r="E70" s="47"/>
      <c r="F70" s="56">
        <f ca="1">SUMIF('BOM Atual ZPCS12'!$F:$F,$A70,'BOM Atual ZPCS12'!$BJ:$BJ)</f>
        <v>1000</v>
      </c>
      <c r="H70" s="50"/>
    </row>
    <row r="71" spans="1:8">
      <c r="A71" s="74" t="s">
        <v>535</v>
      </c>
      <c r="B71" s="84">
        <v>6000</v>
      </c>
      <c r="C71" s="48" t="b">
        <f>IFERROR(MATCH(A71,'BOM Atual ZPCS12'!F:F,0)&gt;0,FALSE)</f>
        <v>1</v>
      </c>
      <c r="D71" s="49" t="str">
        <f>TRIM(VLOOKUP(A71,'BOM Atual ZPCS12'!F:G,2,0))</f>
        <v>TRASIS. PMBS3906 SOT-23</v>
      </c>
      <c r="E71" s="47"/>
      <c r="F71" s="56">
        <f ca="1">SUMIF('BOM Atual ZPCS12'!$F:$F,$A71,'BOM Atual ZPCS12'!$BJ:$BJ)</f>
        <v>6000</v>
      </c>
      <c r="H71" s="50"/>
    </row>
    <row r="72" spans="1:8">
      <c r="A72" s="74" t="s">
        <v>541</v>
      </c>
      <c r="B72" s="84">
        <v>13000</v>
      </c>
      <c r="C72" s="48" t="b">
        <f>IFERROR(MATCH(A72,'BOM Atual ZPCS12'!F:F,0)&gt;0,FALSE)</f>
        <v>1</v>
      </c>
      <c r="D72" s="49" t="str">
        <f>TRIM(VLOOKUP(A72,'BOM Atual ZPCS12'!F:G,2,0))</f>
        <v>SCHOTTKY BAT54CW SOT-323</v>
      </c>
      <c r="E72" s="47"/>
      <c r="F72" s="56">
        <f ca="1">SUMIF('BOM Atual ZPCS12'!$F:$F,$A72,'BOM Atual ZPCS12'!$BJ:$BJ)</f>
        <v>13000</v>
      </c>
      <c r="H72" s="50"/>
    </row>
    <row r="73" spans="1:8">
      <c r="A73" s="74" t="s">
        <v>549</v>
      </c>
      <c r="B73" s="84">
        <v>29000</v>
      </c>
      <c r="C73" s="48" t="b">
        <f>IFERROR(MATCH(A73,'BOM Atual ZPCS12'!F:F,0)&gt;0,FALSE)</f>
        <v>1</v>
      </c>
      <c r="D73" s="49" t="str">
        <f>TRIM(VLOOKUP(A73,'BOM Atual ZPCS12'!F:G,2,0))</f>
        <v>SCHOTTKY BAT54AW SOT-323</v>
      </c>
      <c r="E73" s="47"/>
      <c r="F73" s="56">
        <f ca="1">SUMIF('BOM Atual ZPCS12'!$F:$F,$A73,'BOM Atual ZPCS12'!$BJ:$BJ)</f>
        <v>29000</v>
      </c>
      <c r="H73" s="50"/>
    </row>
    <row r="74" spans="1:8">
      <c r="A74" s="74" t="s">
        <v>421</v>
      </c>
      <c r="B74" s="84">
        <v>1000</v>
      </c>
      <c r="C74" s="48" t="b">
        <f>IFERROR(MATCH(A74,'BOM Atual ZPCS12'!F:F,0)&gt;0,FALSE)</f>
        <v>1</v>
      </c>
      <c r="D74" s="49" t="str">
        <f>TRIM(VLOOKUP(A74,'BOM Atual ZPCS12'!F:G,2,0))</f>
        <v>N-MOSFET 2N7002K SOT-23 PANJIT</v>
      </c>
      <c r="E74" s="47"/>
      <c r="F74" s="56">
        <f ca="1">SUMIF('BOM Atual ZPCS12'!$F:$F,$A74,'BOM Atual ZPCS12'!$BJ:$BJ)</f>
        <v>1000</v>
      </c>
    </row>
    <row r="75" spans="1:8">
      <c r="A75" s="74" t="s">
        <v>557</v>
      </c>
      <c r="B75" s="84">
        <v>5000</v>
      </c>
      <c r="C75" s="48" t="b">
        <f>IFERROR(MATCH(A75,'BOM Atual ZPCS12'!F:F,0)&gt;0,FALSE)</f>
        <v>1</v>
      </c>
      <c r="D75" s="49" t="str">
        <f>TRIM(VLOOKUP(A75,'BOM Atual ZPCS12'!F:G,2,0))</f>
        <v>N-MOSFET P3202CMG SOT-23 NIKO-SEM</v>
      </c>
      <c r="E75" s="47"/>
      <c r="F75" s="56">
        <f ca="1">SUMIF('BOM Atual ZPCS12'!$F:$F,$A75,'BOM Atual ZPCS12'!$BJ:$BJ)</f>
        <v>5000</v>
      </c>
    </row>
    <row r="76" spans="1:8">
      <c r="A76" s="74" t="s">
        <v>573</v>
      </c>
      <c r="B76" s="84">
        <v>2000</v>
      </c>
      <c r="C76" s="48" t="b">
        <f>IFERROR(MATCH(A76,'BOM Atual ZPCS12'!F:F,0)&gt;0,FALSE)</f>
        <v>1</v>
      </c>
      <c r="D76" s="49" t="str">
        <f>TRIM(VLOOKUP(A76,'BOM Atual ZPCS12'!F:G,2,0))</f>
        <v>P-MOSFET EMFA0P02J SOT-23 EXCELLIANCE</v>
      </c>
      <c r="E76" s="47"/>
      <c r="F76" s="56">
        <f ca="1">SUMIF('BOM Atual ZPCS12'!$F:$F,$A76,'BOM Atual ZPCS12'!$BJ:$BJ)</f>
        <v>2000</v>
      </c>
    </row>
    <row r="77" spans="1:8">
      <c r="A77" s="74" t="s">
        <v>579</v>
      </c>
      <c r="B77" s="84">
        <v>1000</v>
      </c>
      <c r="C77" s="48" t="b">
        <f>IFERROR(MATCH(A77,'BOM Atual ZPCS12'!F:F,0)&gt;0,FALSE)</f>
        <v>1</v>
      </c>
      <c r="D77" s="49" t="str">
        <f>TRIM(VLOOKUP(A77,'BOM Atual ZPCS12'!F:G,2,0))</f>
        <v>N-MOSFET EMB20N03V POWER PAK EXCELLIANCE</v>
      </c>
      <c r="E77" s="47"/>
      <c r="F77" s="56">
        <f ca="1">SUMIF('BOM Atual ZPCS12'!$F:$F,$A77,'BOM Atual ZPCS12'!$BJ:$BJ)</f>
        <v>1000</v>
      </c>
    </row>
    <row r="78" spans="1:8">
      <c r="A78" s="74" t="s">
        <v>581</v>
      </c>
      <c r="B78" s="84">
        <v>1000</v>
      </c>
      <c r="C78" s="48" t="b">
        <f>IFERROR(MATCH(A78,'BOM Atual ZPCS12'!F:F,0)&gt;0,FALSE)</f>
        <v>1</v>
      </c>
      <c r="D78" s="49" t="str">
        <f>TRIM(VLOOKUP(A78,'BOM Atual ZPCS12'!F:G,2,0))</f>
        <v>LED YELLOW SMD LITEON/LTST-C193KSKT-5A</v>
      </c>
      <c r="E78" s="47"/>
      <c r="F78" s="56">
        <f ca="1">SUMIF('BOM Atual ZPCS12'!$F:$F,$A78,'BOM Atual ZPCS12'!$BJ:$BJ)</f>
        <v>1000</v>
      </c>
    </row>
    <row r="79" spans="1:8">
      <c r="A79" s="74" t="s">
        <v>597</v>
      </c>
      <c r="B79" s="84">
        <v>1000</v>
      </c>
      <c r="C79" s="48" t="b">
        <f>IFERROR(MATCH(A79,'BOM Atual ZPCS12'!F:F,0)&gt;0,FALSE)</f>
        <v>1</v>
      </c>
      <c r="D79" s="49" t="str">
        <f>TRIM(VLOOKUP(A79,'BOM Atual ZPCS12'!F:G,2,0))</f>
        <v>LED WHITE SMD LITEON/LTW-C193TS5</v>
      </c>
      <c r="E79" s="47"/>
      <c r="F79" s="56">
        <f ca="1">SUMIF('BOM Atual ZPCS12'!$F:$F,$A79,'BOM Atual ZPCS12'!$BJ:$BJ)</f>
        <v>1000</v>
      </c>
    </row>
    <row r="80" spans="1:8">
      <c r="A80" s="74" t="s">
        <v>593</v>
      </c>
      <c r="B80" s="84">
        <v>2000</v>
      </c>
      <c r="C80" s="48" t="b">
        <f>IFERROR(MATCH(A80,'BOM Atual ZPCS12'!F:F,0)&gt;0,FALSE)</f>
        <v>1</v>
      </c>
      <c r="D80" s="49" t="str">
        <f>TRIM(VLOOKUP(A80,'BOM Atual ZPCS12'!F:G,2,0))</f>
        <v>LED YELLOW/GREEN 0603 SMD EVERLIGHT/19</v>
      </c>
      <c r="E80" s="47"/>
      <c r="F80" s="56">
        <f ca="1">SUMIF('BOM Atual ZPCS12'!$F:$F,$A80,'BOM Atual ZPCS12'!$BJ:$BJ)</f>
        <v>2000</v>
      </c>
    </row>
    <row r="81" spans="1:6">
      <c r="A81" s="74" t="s">
        <v>587</v>
      </c>
      <c r="B81" s="84">
        <v>1000</v>
      </c>
      <c r="C81" s="48" t="b">
        <f>IFERROR(MATCH(A81,'BOM Atual ZPCS12'!F:F,0)&gt;0,FALSE)</f>
        <v>1</v>
      </c>
      <c r="D81" s="49" t="str">
        <f>TRIM(VLOOKUP(A81,'BOM Atual ZPCS12'!F:G,2,0))</f>
        <v>LED RED SMD 0603 EVERLIGHT 19-217 R6C</v>
      </c>
      <c r="E81" s="47"/>
      <c r="F81" s="56">
        <f ca="1">SUMIF('BOM Atual ZPCS12'!$F:$F,$A81,'BOM Atual ZPCS12'!$BJ:$BJ)</f>
        <v>1000</v>
      </c>
    </row>
    <row r="82" spans="1:6">
      <c r="A82" s="74" t="s">
        <v>1885</v>
      </c>
      <c r="B82" s="84">
        <v>1000</v>
      </c>
      <c r="C82" s="48" t="b">
        <f>IFERROR(MATCH(A82,'BOM Atual ZPCS12'!F:F,0)&gt;0,FALSE)</f>
        <v>1</v>
      </c>
      <c r="D82" s="49" t="str">
        <f>TRIM(VLOOKUP(A82,'BOM Atual ZPCS12'!F:G,2,0))</f>
        <v>TUFGAMINGX670E-PLUSR1.00CDF9.6*12,"</v>
      </c>
      <c r="E82" s="47"/>
      <c r="F82" s="56">
        <f ca="1">SUMIF('BOM Atual ZPCS12'!$F:$F,$A82,'BOM Atual ZPCS12'!$BJ:$BJ)</f>
        <v>1000</v>
      </c>
    </row>
    <row r="83" spans="1:6">
      <c r="A83" s="74" t="s">
        <v>605</v>
      </c>
      <c r="B83" s="84">
        <v>1000</v>
      </c>
      <c r="C83" s="48" t="b">
        <f>IFERROR(MATCH(A83,'BOM Atual ZPCS12'!F:F,0)&gt;0,FALSE)</f>
        <v>1</v>
      </c>
      <c r="D83" s="49" t="str">
        <f>TRIM(VLOOKUP(A83,'BOM Atual ZPCS12'!F:G,2,0))</f>
        <v>POWER INDUCTOR 1.0UH 12A 20% CYNTEC PEU</v>
      </c>
      <c r="E83" s="47"/>
      <c r="F83" s="56">
        <f ca="1">SUMIF('BOM Atual ZPCS12'!$F:$F,$A83,'BOM Atual ZPCS12'!$BJ:$BJ)</f>
        <v>1000</v>
      </c>
    </row>
    <row r="84" spans="1:6">
      <c r="A84" s="74" t="s">
        <v>603</v>
      </c>
      <c r="B84" s="84">
        <v>18000</v>
      </c>
      <c r="C84" s="48" t="b">
        <f>IFERROR(MATCH(A84,'BOM Atual ZPCS12'!F:F,0)&gt;0,FALSE)</f>
        <v>1</v>
      </c>
      <c r="D84" s="49" t="str">
        <f>TRIM(VLOOKUP(A84,'BOM Atual ZPCS12'!F:G,2,0))</f>
        <v>POWER INDUCTOR 0.47UH/38A 20% TRIO/EM-47</v>
      </c>
      <c r="E84" s="47"/>
      <c r="F84" s="56">
        <f ca="1">SUMIF('BOM Atual ZPCS12'!$F:$F,$A84,'BOM Atual ZPCS12'!$BJ:$BJ)</f>
        <v>18000</v>
      </c>
    </row>
    <row r="85" spans="1:6">
      <c r="A85" s="74" t="s">
        <v>610</v>
      </c>
      <c r="B85" s="84">
        <v>4000</v>
      </c>
      <c r="C85" s="48" t="b">
        <f>IFERROR(MATCH(A85,'BOM Atual ZPCS12'!F:F,0)&gt;0,FALSE)</f>
        <v>1</v>
      </c>
      <c r="D85" s="49" t="str">
        <f>TRIM(VLOOKUP(A85,'BOM Atual ZPCS12'!F:G,2,0))</f>
        <v>POWER INDUCTOR 0.11UH 31A 20% EMC/SL2026</v>
      </c>
      <c r="E85" s="47"/>
      <c r="F85" s="56">
        <f ca="1">SUMIF('BOM Atual ZPCS12'!$F:$F,$A85,'BOM Atual ZPCS12'!$BJ:$BJ)</f>
        <v>4000</v>
      </c>
    </row>
    <row r="86" spans="1:6">
      <c r="A86" s="74" t="s">
        <v>614</v>
      </c>
      <c r="B86" s="84">
        <v>2000</v>
      </c>
      <c r="C86" s="48" t="b">
        <f>IFERROR(MATCH(A86,'BOM Atual ZPCS12'!F:F,0)&gt;0,FALSE)</f>
        <v>1</v>
      </c>
      <c r="D86" s="49" t="str">
        <f>TRIM(VLOOKUP(A86,'BOM Atual ZPCS12'!F:G,2,0))</f>
        <v>POWER INDUCTOR 0.1UH/41A 20%//CYNTEC/PEU</v>
      </c>
      <c r="E86" s="47"/>
      <c r="F86" s="56">
        <f ca="1">SUMIF('BOM Atual ZPCS12'!$F:$F,$A86,'BOM Atual ZPCS12'!$BJ:$BJ)</f>
        <v>2000</v>
      </c>
    </row>
    <row r="87" spans="1:6">
      <c r="A87" s="74" t="s">
        <v>616</v>
      </c>
      <c r="B87" s="84">
        <v>4000</v>
      </c>
      <c r="C87" s="48" t="b">
        <f>IFERROR(MATCH(A87,'BOM Atual ZPCS12'!F:F,0)&gt;0,FALSE)</f>
        <v>1</v>
      </c>
      <c r="D87" s="49" t="str">
        <f>TRIM(VLOOKUP(A87,'BOM Atual ZPCS12'!F:G,2,0))</f>
        <v>FERRITE BEAD(0603)120OHM/600mA//MAXECHO/</v>
      </c>
      <c r="E87" s="47"/>
      <c r="F87" s="56">
        <f ca="1">SUMIF('BOM Atual ZPCS12'!$F:$F,$A87,'BOM Atual ZPCS12'!$BJ:$BJ)</f>
        <v>3000</v>
      </c>
    </row>
    <row r="88" spans="1:6">
      <c r="A88" s="74" t="s">
        <v>622</v>
      </c>
      <c r="B88" s="84">
        <v>1000</v>
      </c>
      <c r="C88" s="48" t="b">
        <f>IFERROR(MATCH(A88,'BOM Atual ZPCS12'!F:F,0)&gt;0,FALSE)</f>
        <v>1</v>
      </c>
      <c r="D88" s="49" t="str">
        <f>TRIM(VLOOKUP(A88,'BOM Atual ZPCS12'!F:G,2,0))</f>
        <v>INDUCTOR 0.1UH/32A SMD 20%//CYNTEC/PCMB0</v>
      </c>
      <c r="E88" s="47"/>
      <c r="F88" s="56">
        <f ca="1">SUMIF('BOM Atual ZPCS12'!$F:$F,$A88,'BOM Atual ZPCS12'!$BJ:$BJ)</f>
        <v>1000</v>
      </c>
    </row>
    <row r="89" spans="1:6">
      <c r="A89" s="74" t="s">
        <v>215</v>
      </c>
      <c r="B89" s="84">
        <v>2200</v>
      </c>
      <c r="C89" s="48" t="b">
        <f>IFERROR(MATCH(A89,'BOM Atual ZPCS12'!F:F,0)&gt;0,FALSE)</f>
        <v>1</v>
      </c>
      <c r="D89" s="49" t="str">
        <f>TRIM(VLOOKUP(A89,'BOM Atual ZPCS12'!F:G,2,0))</f>
        <v>CELL COIN 3V 220MAH DBV BCR2032</v>
      </c>
      <c r="E89" s="47"/>
      <c r="F89" s="56">
        <f ca="1">SUMIF('BOM Atual ZPCS12'!$F:$F,$A89,'BOM Atual ZPCS12'!$BJ:$BJ)</f>
        <v>1000</v>
      </c>
    </row>
    <row r="90" spans="1:6">
      <c r="A90" s="64" t="s">
        <v>624</v>
      </c>
      <c r="B90" s="84">
        <v>15000</v>
      </c>
      <c r="C90" s="48" t="b">
        <f>IFERROR(MATCH(A90,'BOM Atual ZPCS12'!F:F,0)&gt;0,FALSE)</f>
        <v>1</v>
      </c>
      <c r="D90" s="49" t="str">
        <f>TRIM(VLOOKUP(A90,'BOM Atual ZPCS12'!F:G,2,0))</f>
        <v>RES 8.2K OHM 1/10W(0603)1% A-S</v>
      </c>
      <c r="E90" s="47"/>
      <c r="F90" s="56">
        <f ca="1">SUMIF('BOM Atual ZPCS12'!$F:$F,$A90,'BOM Atual ZPCS12'!$BJ:$BJ)</f>
        <v>13000</v>
      </c>
    </row>
    <row r="91" spans="1:6">
      <c r="A91" s="74" t="s">
        <v>628</v>
      </c>
      <c r="B91" s="84">
        <v>5000</v>
      </c>
      <c r="C91" s="48" t="b">
        <f>IFERROR(MATCH(A91,'BOM Atual ZPCS12'!F:F,0)&gt;0,FALSE)</f>
        <v>1</v>
      </c>
      <c r="D91" s="49" t="str">
        <f>TRIM(VLOOKUP(A91,'BOM Atual ZPCS12'!F:G,2,0))</f>
        <v>RES 10K OHM 1/10W (0603)1% A-S</v>
      </c>
      <c r="E91" s="47"/>
      <c r="F91" s="56">
        <f ca="1">SUMIF('BOM Atual ZPCS12'!$F:$F,$A91,'BOM Atual ZPCS12'!$BJ:$BJ)</f>
        <v>3000</v>
      </c>
    </row>
    <row r="92" spans="1:6">
      <c r="A92" s="74" t="s">
        <v>632</v>
      </c>
      <c r="B92" s="84">
        <v>10000</v>
      </c>
      <c r="C92" s="48" t="b">
        <f>IFERROR(MATCH(A92,'BOM Atual ZPCS12'!F:F,0)&gt;0,FALSE)</f>
        <v>1</v>
      </c>
      <c r="D92" s="49" t="str">
        <f>TRIM(VLOOKUP(A92,'BOM Atual ZPCS12'!F:G,2,0))</f>
        <v>RES 40.2K OHM1/10W(0603)1% A-S</v>
      </c>
      <c r="E92" s="47"/>
      <c r="F92" s="56">
        <f ca="1">SUMIF('BOM Atual ZPCS12'!$F:$F,$A92,'BOM Atual ZPCS12'!$BJ:$BJ)</f>
        <v>7000</v>
      </c>
    </row>
    <row r="93" spans="1:6">
      <c r="A93" s="74" t="s">
        <v>636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RES 4.7K OHM 1/10W(0603)1% A-S</v>
      </c>
      <c r="E93" s="47"/>
      <c r="F93" s="56">
        <f ca="1">SUMIF('BOM Atual ZPCS12'!$F:$F,$A93,'BOM Atual ZPCS12'!$BJ:$BJ)</f>
        <v>10000</v>
      </c>
    </row>
    <row r="94" spans="1:6">
      <c r="A94" s="80" t="s">
        <v>640</v>
      </c>
      <c r="B94" s="84">
        <v>5000</v>
      </c>
      <c r="C94" s="48" t="b">
        <f>IFERROR(MATCH(A94,'BOM Atual ZPCS12'!F:F,0)&gt;0,FALSE)</f>
        <v>1</v>
      </c>
      <c r="D94" s="49" t="str">
        <f>TRIM(VLOOKUP(A94,'BOM Atual ZPCS12'!F:G,2,0))</f>
        <v>RES 1K OHM 1/10W (0603) 1% A-S//TA-I/RMS</v>
      </c>
      <c r="E94" s="47"/>
      <c r="F94" s="56">
        <f ca="1">SUMIF('BOM Atual ZPCS12'!$F:$F,$A94,'BOM Atual ZPCS12'!$BJ:$BJ)</f>
        <v>2000</v>
      </c>
    </row>
    <row r="95" spans="1:6">
      <c r="A95" s="80" t="s">
        <v>644</v>
      </c>
      <c r="B95" s="84">
        <v>5000</v>
      </c>
      <c r="C95" s="48" t="b">
        <f>IFERROR(MATCH(A95,'BOM Atual ZPCS12'!F:F,0)&gt;0,FALSE)</f>
        <v>1</v>
      </c>
      <c r="D95" s="49" t="str">
        <f>TRIM(VLOOKUP(A95,'BOM Atual ZPCS12'!F:G,2,0))</f>
        <v>RES 2.7K OHM 1/10W(0603)1% A-S</v>
      </c>
      <c r="E95" s="47"/>
      <c r="F95" s="56">
        <f ca="1">SUMIF('BOM Atual ZPCS12'!$F:$F,$A95,'BOM Atual ZPCS12'!$BJ:$BJ)</f>
        <v>2000</v>
      </c>
    </row>
    <row r="96" spans="1:6">
      <c r="A96" s="74" t="s">
        <v>648</v>
      </c>
      <c r="B96" s="84">
        <v>5000</v>
      </c>
      <c r="C96" s="48" t="b">
        <f>IFERROR(MATCH(A96,'BOM Atual ZPCS12'!F:F,0)&gt;0,FALSE)</f>
        <v>1</v>
      </c>
      <c r="D96" s="49" t="str">
        <f>TRIM(VLOOKUP(A96,'BOM Atual ZPCS12'!F:G,2,0))</f>
        <v>RES 20K OHM 1/10W (0603)1% A-S//TA-I/RMS</v>
      </c>
      <c r="E96" s="47"/>
      <c r="F96" s="56">
        <f ca="1">SUMIF('BOM Atual ZPCS12'!$F:$F,$A96,'BOM Atual ZPCS12'!$BJ:$BJ)</f>
        <v>2000</v>
      </c>
    </row>
    <row r="97" spans="1:6">
      <c r="A97" s="74" t="s">
        <v>652</v>
      </c>
      <c r="B97" s="84">
        <v>5000</v>
      </c>
      <c r="C97" s="48" t="b">
        <f>IFERROR(MATCH(A97,'BOM Atual ZPCS12'!F:F,0)&gt;0,FALSE)</f>
        <v>1</v>
      </c>
      <c r="D97" s="49" t="str">
        <f>TRIM(VLOOKUP(A97,'BOM Atual ZPCS12'!F:G,2,0))</f>
        <v>RES 100K OHM 1/10W(0603)1% A-S//TA-I/RMS</v>
      </c>
      <c r="E97" s="47"/>
      <c r="F97" s="56">
        <f ca="1">SUMIF('BOM Atual ZPCS12'!$F:$F,$A97,'BOM Atual ZPCS12'!$BJ:$BJ)</f>
        <v>3000</v>
      </c>
    </row>
    <row r="98" spans="1:6">
      <c r="A98" s="74" t="s">
        <v>656</v>
      </c>
      <c r="B98" s="84">
        <v>5000</v>
      </c>
      <c r="C98" s="48" t="b">
        <f>IFERROR(MATCH(A98,'BOM Atual ZPCS12'!F:F,0)&gt;0,FALSE)</f>
        <v>1</v>
      </c>
      <c r="D98" s="49" t="str">
        <f>TRIM(VLOOKUP(A98,'BOM Atual ZPCS12'!F:G,2,0))</f>
        <v>RES 12K OHM 1/10W (0603)1% A-S//WALSIN/S</v>
      </c>
      <c r="E98" s="47"/>
      <c r="F98" s="56">
        <f ca="1">SUMIF('BOM Atual ZPCS12'!$F:$F,$A98,'BOM Atual ZPCS12'!$BJ:$BJ)</f>
        <v>1000</v>
      </c>
    </row>
    <row r="99" spans="1:6">
      <c r="A99" s="80" t="s">
        <v>658</v>
      </c>
      <c r="B99" s="84">
        <v>5000</v>
      </c>
      <c r="C99" s="48" t="b">
        <f>IFERROR(MATCH(A99,'BOM Atual ZPCS12'!F:F,0)&gt;0,FALSE)</f>
        <v>1</v>
      </c>
      <c r="D99" s="49" t="str">
        <f>TRIM(VLOOKUP(A99,'BOM Atual ZPCS12'!F:G,2,0))</f>
        <v>RES 13.3KOHM 1/10W(0603)1% A-S</v>
      </c>
      <c r="E99" s="47"/>
      <c r="F99" s="56">
        <f ca="1">SUMIF('BOM Atual ZPCS12'!$F:$F,$A99,'BOM Atual ZPCS12'!$BJ:$BJ)</f>
        <v>3000</v>
      </c>
    </row>
    <row r="100" spans="1:6">
      <c r="A100" s="74" t="s">
        <v>662</v>
      </c>
      <c r="B100" s="84">
        <v>5000</v>
      </c>
      <c r="C100" s="48" t="b">
        <f>IFERROR(MATCH(A100,'BOM Atual ZPCS12'!F:F,0)&gt;0,FALSE)</f>
        <v>1</v>
      </c>
      <c r="D100" s="49" t="str">
        <f>TRIM(VLOOKUP(A100,'BOM Atual ZPCS12'!F:G,2,0))</f>
        <v>RES 330K OHM 1/10W (0603)1% A-S//TA-I/RM</v>
      </c>
      <c r="E100" s="47"/>
      <c r="F100" s="56">
        <f ca="1">SUMIF('BOM Atual ZPCS12'!$F:$F,$A100,'BOM Atual ZPCS12'!$BJ:$BJ)</f>
        <v>1000</v>
      </c>
    </row>
    <row r="101" spans="1:6">
      <c r="A101" s="74" t="s">
        <v>1383</v>
      </c>
      <c r="B101" s="84">
        <v>5000</v>
      </c>
      <c r="C101" s="48" t="b">
        <f>IFERROR(MATCH(A101,'BOM Atual ZPCS12'!F:F,0)&gt;0,FALSE)</f>
        <v>1</v>
      </c>
      <c r="D101" s="49" t="str">
        <f>TRIM(VLOOKUP(A101,'BOM Atual ZPCS12'!F:G,2,0))</f>
        <v>RES A 300 OHM 0603 5% 4R8P RALEC RTA0</v>
      </c>
      <c r="E101" s="47"/>
      <c r="F101" s="56">
        <f ca="1">SUMIF('BOM Atual ZPCS12'!$F:$F,$A101,'BOM Atual ZPCS12'!$BJ:$BJ)</f>
        <v>1000</v>
      </c>
    </row>
    <row r="102" spans="1:6">
      <c r="A102" s="80" t="s">
        <v>1370</v>
      </c>
      <c r="B102" s="84">
        <v>5000</v>
      </c>
      <c r="C102" s="48" t="b">
        <f>IFERROR(MATCH(A102,'BOM Atual ZPCS12'!F:F,0)&gt;0,FALSE)</f>
        <v>1</v>
      </c>
      <c r="D102" s="49" t="str">
        <f>TRIM(VLOOKUP(A102,'BOM Atual ZPCS12'!F:G,2,0))</f>
        <v>RES A 1K OHM 0603 5% 4R8P RALEC RTA03</v>
      </c>
      <c r="E102" s="47"/>
      <c r="F102" s="56">
        <f ca="1">SUMIF('BOM Atual ZPCS12'!$F:$F,$A102,'BOM Atual ZPCS12'!$BJ:$BJ)</f>
        <v>1000</v>
      </c>
    </row>
    <row r="103" spans="1:6">
      <c r="A103" s="74" t="s">
        <v>664</v>
      </c>
      <c r="B103" s="84">
        <v>10000</v>
      </c>
      <c r="C103" s="48" t="b">
        <f>IFERROR(MATCH(A103,'BOM Atual ZPCS12'!F:F,0)&gt;0,FALSE)</f>
        <v>1</v>
      </c>
      <c r="D103" s="49" t="str">
        <f>TRIM(VLOOKUP(A103,'BOM Atual ZPCS12'!F:G,2,0))</f>
        <v>THERMISTOR 10K OHM 0402 3% MURATA NCP</v>
      </c>
      <c r="E103" s="47"/>
      <c r="F103" s="56">
        <f ca="1">SUMIF('BOM Atual ZPCS12'!$F:$F,$A103,'BOM Atual ZPCS12'!$BJ:$BJ)</f>
        <v>2000</v>
      </c>
    </row>
    <row r="104" spans="1:6">
      <c r="A104" s="72" t="s">
        <v>672</v>
      </c>
      <c r="B104" s="84">
        <v>300000</v>
      </c>
      <c r="C104" s="48" t="b">
        <f>IFERROR(MATCH(A104,'BOM Atual ZPCS12'!F:F,0)&gt;0,FALSE)</f>
        <v>1</v>
      </c>
      <c r="D104" s="49" t="str">
        <f>TRIM(VLOOKUP(A104,'BOM Atual ZPCS12'!F:G,2,0))</f>
        <v>RES 0 OHM 1 16W 0402 JUMP 5%</v>
      </c>
      <c r="E104" s="47"/>
      <c r="F104" s="56">
        <f ca="1">SUMIF('BOM Atual ZPCS12'!$F:$F,$A104,'BOM Atual ZPCS12'!$BJ:$BJ)</f>
        <v>293000</v>
      </c>
    </row>
    <row r="105" spans="1:6">
      <c r="A105" s="72" t="s">
        <v>676</v>
      </c>
      <c r="B105" s="84">
        <v>10000</v>
      </c>
      <c r="C105" s="48" t="b">
        <f>IFERROR(MATCH(A105,'BOM Atual ZPCS12'!F:F,0)&gt;0,FALSE)</f>
        <v>1</v>
      </c>
      <c r="D105" s="49" t="str">
        <f>TRIM(VLOOKUP(A105,'BOM Atual ZPCS12'!F:G,2,0))</f>
        <v>RES 10 OHM 1/16W (0402) 5%</v>
      </c>
      <c r="E105" s="47"/>
      <c r="F105" s="56">
        <f ca="1">SUMIF('BOM Atual ZPCS12'!$F:$F,$A105,'BOM Atual ZPCS12'!$BJ:$BJ)</f>
        <v>2000</v>
      </c>
    </row>
    <row r="106" spans="1:6">
      <c r="A106" s="72" t="s">
        <v>682</v>
      </c>
      <c r="B106" s="84">
        <v>10000</v>
      </c>
      <c r="C106" s="48" t="b">
        <f>IFERROR(MATCH(A106,'BOM Atual ZPCS12'!F:F,0)&gt;0,FALSE)</f>
        <v>1</v>
      </c>
      <c r="D106" s="49" t="str">
        <f>TRIM(VLOOKUP(A106,'BOM Atual ZPCS12'!F:G,2,0))</f>
        <v>RES 100 OHM 1/16W (0402) 1%</v>
      </c>
      <c r="E106" s="47"/>
      <c r="F106" s="56">
        <f ca="1">SUMIF('BOM Atual ZPCS12'!$F:$F,$A106,'BOM Atual ZPCS12'!$BJ:$BJ)</f>
        <v>10000</v>
      </c>
    </row>
    <row r="107" spans="1:6">
      <c r="A107" s="72" t="s">
        <v>688</v>
      </c>
      <c r="B107" s="84">
        <v>70000</v>
      </c>
      <c r="C107" s="48" t="b">
        <f>IFERROR(MATCH(A107,'BOM Atual ZPCS12'!F:F,0)&gt;0,FALSE)</f>
        <v>1</v>
      </c>
      <c r="D107" s="49" t="str">
        <f>TRIM(VLOOKUP(A107,'BOM Atual ZPCS12'!F:G,2,0))</f>
        <v>RES 1K OHM 1/16W(0402)1%</v>
      </c>
      <c r="E107" s="47"/>
      <c r="F107" s="56">
        <f ca="1">SUMIF('BOM Atual ZPCS12'!$F:$F,$A107,'BOM Atual ZPCS12'!$BJ:$BJ)</f>
        <v>67000</v>
      </c>
    </row>
    <row r="108" spans="1:6">
      <c r="A108" s="72" t="s">
        <v>696</v>
      </c>
      <c r="B108" s="84">
        <v>60000</v>
      </c>
      <c r="C108" s="48" t="b">
        <f>IFERROR(MATCH(A108,'BOM Atual ZPCS12'!F:F,0)&gt;0,FALSE)</f>
        <v>1</v>
      </c>
      <c r="D108" s="49" t="str">
        <f>TRIM(VLOOKUP(A108,'BOM Atual ZPCS12'!F:G,2,0))</f>
        <v>RES 10K OHM 1 16W 0402 1%</v>
      </c>
      <c r="E108" s="47"/>
      <c r="F108" s="56">
        <f ca="1">SUMIF('BOM Atual ZPCS12'!$F:$F,$A108,'BOM Atual ZPCS12'!$BJ:$BJ)</f>
        <v>53000</v>
      </c>
    </row>
    <row r="109" spans="1:6">
      <c r="A109" s="72" t="s">
        <v>700</v>
      </c>
      <c r="B109" s="84">
        <v>30000</v>
      </c>
      <c r="C109" s="48" t="b">
        <f>IFERROR(MATCH(A109,'BOM Atual ZPCS12'!F:F,0)&gt;0,FALSE)</f>
        <v>1</v>
      </c>
      <c r="D109" s="49" t="str">
        <f>TRIM(VLOOKUP(A109,'BOM Atual ZPCS12'!F:G,2,0))</f>
        <v>RES 100K OHM 1/16W (0402) 1%</v>
      </c>
      <c r="E109" s="47"/>
      <c r="F109" s="56">
        <f ca="1">SUMIF('BOM Atual ZPCS12'!$F:$F,$A109,'BOM Atual ZPCS12'!$BJ:$BJ)</f>
        <v>27000</v>
      </c>
    </row>
    <row r="110" spans="1:6">
      <c r="A110" s="72" t="s">
        <v>706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1M OHM 1/16W(0402)1%</v>
      </c>
      <c r="E110" s="47"/>
      <c r="F110" s="56">
        <f ca="1">SUMIF('BOM Atual ZPCS12'!$F:$F,$A110,'BOM Atual ZPCS12'!$BJ:$BJ)</f>
        <v>10000</v>
      </c>
    </row>
    <row r="111" spans="1:6">
      <c r="A111" s="72" t="s">
        <v>714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10M OHM 1/16W(0402)1%//RALEC/RTT0210</v>
      </c>
      <c r="E111" s="47"/>
      <c r="F111" s="56">
        <f ca="1">SUMIF('BOM Atual ZPCS12'!$F:$F,$A111,'BOM Atual ZPCS12'!$BJ:$BJ)</f>
        <v>1000</v>
      </c>
    </row>
    <row r="112" spans="1:6">
      <c r="A112" s="72" t="s">
        <v>1921</v>
      </c>
      <c r="B112" s="84">
        <v>10000</v>
      </c>
      <c r="C112" s="48" t="b">
        <f>IFERROR(MATCH(A112,'BOM Atual ZPCS12'!F:F,0)&gt;0,FALSE)</f>
        <v>1</v>
      </c>
      <c r="D112" s="49" t="str">
        <f>TRIM(VLOOKUP(A112,'BOM Atual ZPCS12'!F:G,2,0))</f>
        <v>RES 10.7K OHM 1/16W (0402) 1% TA-I/RM04F</v>
      </c>
      <c r="E112" s="47"/>
      <c r="F112" s="56">
        <f ca="1">SUMIF('BOM Atual ZPCS12'!$F:$F,$A112,'BOM Atual ZPCS12'!$BJ:$BJ)</f>
        <v>2000</v>
      </c>
    </row>
    <row r="113" spans="1:6">
      <c r="A113" s="72" t="s">
        <v>720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10 OHM 1 16W 0402 1%</v>
      </c>
      <c r="E113" s="47"/>
      <c r="F113" s="56">
        <f ca="1">SUMIF('BOM Atual ZPCS12'!$F:$F,$A113,'BOM Atual ZPCS12'!$BJ:$BJ)</f>
        <v>5000</v>
      </c>
    </row>
    <row r="114" spans="1:6">
      <c r="A114" s="72" t="s">
        <v>726</v>
      </c>
      <c r="B114" s="84">
        <v>10000</v>
      </c>
      <c r="C114" s="48" t="b">
        <f>IFERROR(MATCH(A114,'BOM Atual ZPCS12'!F:F,0)&gt;0,FALSE)</f>
        <v>1</v>
      </c>
      <c r="D114" s="49" t="str">
        <f>TRIM(VLOOKUP(A114,'BOM Atual ZPCS12'!F:G,2,0))</f>
        <v>RES 11K OHM 1 16W 0402 1% RALECRTT021102</v>
      </c>
      <c r="E114" s="47"/>
      <c r="F114" s="56">
        <f ca="1">SUMIF('BOM Atual ZPCS12'!$F:$F,$A114,'BOM Atual ZPCS12'!$BJ:$BJ)</f>
        <v>1000</v>
      </c>
    </row>
    <row r="115" spans="1:6">
      <c r="A115" s="72" t="s">
        <v>732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12.1K OHM 1/16W(0402)1%</v>
      </c>
      <c r="E115" s="47"/>
      <c r="F115" s="56">
        <f ca="1">SUMIF('BOM Atual ZPCS12'!$F:$F,$A115,'BOM Atual ZPCS12'!$BJ:$BJ)</f>
        <v>6000</v>
      </c>
    </row>
    <row r="116" spans="1:6">
      <c r="A116" s="72" t="s">
        <v>735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12.4K OHM 1/16W (0402) 1%</v>
      </c>
      <c r="E116" s="47"/>
      <c r="F116" s="56">
        <f ca="1">SUMIF('BOM Atual ZPCS12'!$F:$F,$A116,'BOM Atual ZPCS12'!$BJ:$BJ)</f>
        <v>1000</v>
      </c>
    </row>
    <row r="117" spans="1:6">
      <c r="A117" s="72" t="s">
        <v>741</v>
      </c>
      <c r="B117" s="84">
        <v>10000</v>
      </c>
      <c r="C117" s="48" t="b">
        <f>IFERROR(MATCH(A117,'BOM Atual ZPCS12'!F:F,0)&gt;0,FALSE)</f>
        <v>1</v>
      </c>
      <c r="D117" s="49" t="str">
        <f>TRIM(VLOOKUP(A117,'BOM Atual ZPCS12'!F:G,2,0))</f>
        <v>RES 1.27K OHM 1/16W (0402) 1% TA-I/RM04F</v>
      </c>
      <c r="E117" s="47"/>
      <c r="F117" s="56">
        <f ca="1">SUMIF('BOM Atual ZPCS12'!$F:$F,$A117,'BOM Atual ZPCS12'!$BJ:$BJ)</f>
        <v>2000</v>
      </c>
    </row>
    <row r="118" spans="1:6">
      <c r="A118" s="72" t="s">
        <v>747</v>
      </c>
      <c r="B118" s="84">
        <v>10000</v>
      </c>
      <c r="C118" s="48" t="b">
        <f>IFERROR(MATCH(A118,'BOM Atual ZPCS12'!F:F,0)&gt;0,FALSE)</f>
        <v>1</v>
      </c>
      <c r="D118" s="49" t="str">
        <f>TRIM(VLOOKUP(A118,'BOM Atual ZPCS12'!F:G,2,0))</f>
        <v>RES 13K OHM 1 16W 0402 1% TA-I RM04FTN1</v>
      </c>
      <c r="E118" s="47"/>
      <c r="F118" s="56">
        <f ca="1">SUMIF('BOM Atual ZPCS12'!$F:$F,$A118,'BOM Atual ZPCS12'!$BJ:$BJ)</f>
        <v>1000</v>
      </c>
    </row>
    <row r="119" spans="1:6">
      <c r="A119" s="72" t="s">
        <v>755</v>
      </c>
      <c r="B119" s="84">
        <v>10000</v>
      </c>
      <c r="C119" s="48" t="b">
        <f>IFERROR(MATCH(A119,'BOM Atual ZPCS12'!F:F,0)&gt;0,FALSE)</f>
        <v>1</v>
      </c>
      <c r="D119" s="49" t="str">
        <f>TRIM(VLOOKUP(A119,'BOM Atual ZPCS12'!F:G,2,0))</f>
        <v>RES 15K OHM 1 16W 0402 1%</v>
      </c>
      <c r="E119" s="47"/>
      <c r="F119" s="56">
        <f ca="1">SUMIF('BOM Atual ZPCS12'!$F:$F,$A119,'BOM Atual ZPCS12'!$BJ:$BJ)</f>
        <v>1000</v>
      </c>
    </row>
    <row r="120" spans="1:6">
      <c r="A120" s="72" t="s">
        <v>763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15.4K OHM 1/16W (0402) 1%//RALEC/RTT</v>
      </c>
      <c r="E120" s="47"/>
      <c r="F120" s="56">
        <f ca="1">SUMIF('BOM Atual ZPCS12'!$F:$F,$A120,'BOM Atual ZPCS12'!$BJ:$BJ)</f>
        <v>1000</v>
      </c>
    </row>
    <row r="121" spans="1:6">
      <c r="A121" s="72" t="s">
        <v>765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15 OHM 1/16W(0402) 1%</v>
      </c>
      <c r="E121" s="47"/>
      <c r="F121" s="56">
        <f ca="1">SUMIF('BOM Atual ZPCS12'!$F:$F,$A121,'BOM Atual ZPCS12'!$BJ:$BJ)</f>
        <v>8000</v>
      </c>
    </row>
    <row r="122" spans="1:6">
      <c r="A122" s="72" t="s">
        <v>775</v>
      </c>
      <c r="B122" s="84">
        <v>10000</v>
      </c>
      <c r="C122" s="48" t="b">
        <f>IFERROR(MATCH(A122,'BOM Atual ZPCS12'!F:F,0)&gt;0,FALSE)</f>
        <v>1</v>
      </c>
      <c r="D122" s="49" t="str">
        <f>TRIM(VLOOKUP(A122,'BOM Atual ZPCS12'!F:G,2,0))</f>
        <v>RES 1.8K OHM 1 16W 0402 1% UNI-OHM 040</v>
      </c>
      <c r="E122" s="47"/>
      <c r="F122" s="56">
        <f ca="1">SUMIF('BOM Atual ZPCS12'!$F:$F,$A122,'BOM Atual ZPCS12'!$BJ:$BJ)</f>
        <v>2000</v>
      </c>
    </row>
    <row r="123" spans="1:6">
      <c r="A123" s="72" t="s">
        <v>777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18K OHM 1/16W 0402 1% TA-I/RM04FTN</v>
      </c>
      <c r="E123" s="47"/>
      <c r="F123" s="56">
        <f ca="1">SUMIF('BOM Atual ZPCS12'!$F:$F,$A123,'BOM Atual ZPCS12'!$BJ:$BJ)</f>
        <v>1000</v>
      </c>
    </row>
    <row r="124" spans="1:6">
      <c r="A124" s="72" t="s">
        <v>1906</v>
      </c>
      <c r="B124" s="84">
        <v>10000</v>
      </c>
      <c r="C124" s="48" t="b">
        <f>IFERROR(MATCH(A124,'BOM Atual ZPCS12'!F:F,0)&gt;0,FALSE)</f>
        <v>1</v>
      </c>
      <c r="D124" s="49" t="str">
        <f>TRIM(VLOOKUP(A124,'BOM Atual ZPCS12'!F:G,2,0))</f>
        <v>RES 18.7K OHM 1 16W 0402 1% RALEC RTT</v>
      </c>
      <c r="E124" s="47"/>
      <c r="F124" s="56">
        <f ca="1">SUMIF('BOM Atual ZPCS12'!$F:$F,$A124,'BOM Atual ZPCS12'!$BJ:$BJ)</f>
        <v>2000</v>
      </c>
    </row>
    <row r="125" spans="1:6">
      <c r="A125" s="72" t="s">
        <v>785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2K OHM 1 16W 0402 1% RALEC</v>
      </c>
      <c r="E125" s="47"/>
      <c r="F125" s="56">
        <f ca="1">SUMIF('BOM Atual ZPCS12'!$F:$F,$A125,'BOM Atual ZPCS12'!$BJ:$BJ)</f>
        <v>4000</v>
      </c>
    </row>
    <row r="126" spans="1:6">
      <c r="A126" s="72" t="s">
        <v>789</v>
      </c>
      <c r="B126" s="84">
        <v>10000</v>
      </c>
      <c r="C126" s="48" t="b">
        <f>IFERROR(MATCH(A126,'BOM Atual ZPCS12'!F:F,0)&gt;0,FALSE)</f>
        <v>1</v>
      </c>
      <c r="D126" s="49" t="str">
        <f>TRIM(VLOOKUP(A126,'BOM Atual ZPCS12'!F:G,2,0))</f>
        <v>RES 20K OHM 1/16W (0402) 1%</v>
      </c>
      <c r="E126" s="47"/>
      <c r="F126" s="56">
        <f ca="1">SUMIF('BOM Atual ZPCS12'!$F:$F,$A126,'BOM Atual ZPCS12'!$BJ:$BJ)</f>
        <v>4000</v>
      </c>
    </row>
    <row r="127" spans="1:6">
      <c r="A127" s="72" t="s">
        <v>795</v>
      </c>
      <c r="B127" s="84">
        <v>30000</v>
      </c>
      <c r="C127" s="48" t="b">
        <f>IFERROR(MATCH(A127,'BOM Atual ZPCS12'!F:F,0)&gt;0,FALSE)</f>
        <v>1</v>
      </c>
      <c r="D127" s="49" t="str">
        <f>TRIM(VLOOKUP(A127,'BOM Atual ZPCS12'!F:G,2,0))</f>
        <v>RES 200K OHM 1/16W (0402) 1%</v>
      </c>
      <c r="E127" s="47"/>
      <c r="F127" s="56">
        <f ca="1">SUMIF('BOM Atual ZPCS12'!$F:$F,$A127,'BOM Atual ZPCS12'!$BJ:$BJ)</f>
        <v>28000</v>
      </c>
    </row>
    <row r="128" spans="1:6">
      <c r="A128" s="72" t="s">
        <v>803</v>
      </c>
      <c r="B128" s="84">
        <v>10000</v>
      </c>
      <c r="C128" s="48" t="b">
        <f>IFERROR(MATCH(A128,'BOM Atual ZPCS12'!F:F,0)&gt;0,FALSE)</f>
        <v>1</v>
      </c>
      <c r="D128" s="49" t="str">
        <f>TRIM(VLOOKUP(A128,'BOM Atual ZPCS12'!F:G,2,0))</f>
        <v>RES 2M OHM 1 16W 0402 1%RALEC RTT022</v>
      </c>
      <c r="E128" s="47"/>
      <c r="F128" s="56">
        <f ca="1">SUMIF('BOM Atual ZPCS12'!$F:$F,$A128,'BOM Atual ZPCS12'!$BJ:$BJ)</f>
        <v>3000</v>
      </c>
    </row>
    <row r="129" spans="1:6">
      <c r="A129" s="72" t="s">
        <v>809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2.15K OHM 1 16W 0402 1% RALEC RTT0</v>
      </c>
      <c r="E129" s="47"/>
      <c r="F129" s="56">
        <f ca="1">SUMIF('BOM Atual ZPCS12'!$F:$F,$A129,'BOM Atual ZPCS12'!$BJ:$BJ)</f>
        <v>2000</v>
      </c>
    </row>
    <row r="130" spans="1:6">
      <c r="A130" s="72" t="s">
        <v>815</v>
      </c>
      <c r="B130" s="84">
        <v>10000</v>
      </c>
      <c r="C130" s="48" t="b">
        <f>IFERROR(MATCH(A130,'BOM Atual ZPCS12'!F:F,0)&gt;0,FALSE)</f>
        <v>1</v>
      </c>
      <c r="D130" s="49" t="str">
        <f>TRIM(VLOOKUP(A130,'BOM Atual ZPCS12'!F:G,2,0))</f>
        <v>RES 21.5K OHM 1/16W 0402 1% RALEC/RTT022</v>
      </c>
      <c r="E130" s="47"/>
      <c r="F130" s="56">
        <f ca="1">SUMIF('BOM Atual ZPCS12'!$F:$F,$A130,'BOM Atual ZPCS12'!$BJ:$BJ)</f>
        <v>1000</v>
      </c>
    </row>
    <row r="131" spans="1:6">
      <c r="A131" s="72" t="s">
        <v>822</v>
      </c>
      <c r="B131" s="84">
        <v>20000</v>
      </c>
      <c r="C131" s="48" t="b">
        <f>IFERROR(MATCH(A131,'BOM Atual ZPCS12'!F:F,0)&gt;0,FALSE)</f>
        <v>1</v>
      </c>
      <c r="D131" s="49" t="str">
        <f>TRIM(VLOOKUP(A131,'BOM Atual ZPCS12'!F:G,2,0))</f>
        <v>RES 2.2K OHM 1 16W 0402 1%</v>
      </c>
      <c r="E131" s="47"/>
      <c r="F131" s="56">
        <f ca="1">SUMIF('BOM Atual ZPCS12'!$F:$F,$A131,'BOM Atual ZPCS12'!$BJ:$BJ)</f>
        <v>13000</v>
      </c>
    </row>
    <row r="132" spans="1:6">
      <c r="A132" s="72" t="s">
        <v>826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22K OHM 1/16W (0402) 1%</v>
      </c>
      <c r="E132" s="47"/>
      <c r="F132" s="56">
        <f ca="1">SUMIF('BOM Atual ZPCS12'!$F:$F,$A132,'BOM Atual ZPCS12'!$BJ:$BJ)</f>
        <v>2000</v>
      </c>
    </row>
    <row r="133" spans="1:6">
      <c r="A133" s="72" t="s">
        <v>833</v>
      </c>
      <c r="B133" s="84">
        <v>20000</v>
      </c>
      <c r="C133" s="48" t="b">
        <f>IFERROR(MATCH(A133,'BOM Atual ZPCS12'!F:F,0)&gt;0,FALSE)</f>
        <v>1</v>
      </c>
      <c r="D133" s="49" t="str">
        <f>TRIM(VLOOKUP(A133,'BOM Atual ZPCS12'!F:G,2,0))</f>
        <v>RES 220K OHM 1/16W (0402) 1%</v>
      </c>
      <c r="E133" s="47"/>
      <c r="F133" s="56">
        <f ca="1">SUMIF('BOM Atual ZPCS12'!$F:$F,$A133,'BOM Atual ZPCS12'!$BJ:$BJ)</f>
        <v>18000</v>
      </c>
    </row>
    <row r="134" spans="1:6">
      <c r="A134" s="72" t="s">
        <v>845</v>
      </c>
      <c r="B134" s="84">
        <v>10000</v>
      </c>
      <c r="C134" s="48" t="b">
        <f>IFERROR(MATCH(A134,'BOM Atual ZPCS12'!F:F,0)&gt;0,FALSE)</f>
        <v>1</v>
      </c>
      <c r="D134" s="49" t="str">
        <f>TRIM(VLOOKUP(A134,'BOM Atual ZPCS12'!F:G,2,0))</f>
        <v>RES 2.26K OHM 1 16W 04021% UNI-OHM 0402W</v>
      </c>
      <c r="E134" s="47"/>
      <c r="F134" s="56">
        <f ca="1">SUMIF('BOM Atual ZPCS12'!$F:$F,$A134,'BOM Atual ZPCS12'!$BJ:$BJ)</f>
        <v>1000</v>
      </c>
    </row>
    <row r="135" spans="1:6">
      <c r="A135" s="72" t="s">
        <v>852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22 OHM 1 16W 0402 1% UNI-OHM 0402</v>
      </c>
      <c r="E135" s="47"/>
      <c r="F135" s="56">
        <f ca="1">SUMIF('BOM Atual ZPCS12'!$F:$F,$A135,'BOM Atual ZPCS12'!$BJ:$BJ)</f>
        <v>5000</v>
      </c>
    </row>
    <row r="136" spans="1:6">
      <c r="A136" s="72" t="s">
        <v>857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2.32K OHM 1/16W 0402 1% RALEC/RTT0</v>
      </c>
      <c r="E136" s="47"/>
      <c r="F136" s="56">
        <f ca="1">SUMIF('BOM Atual ZPCS12'!$F:$F,$A136,'BOM Atual ZPCS12'!$BJ:$BJ)</f>
        <v>1000</v>
      </c>
    </row>
    <row r="137" spans="1:6">
      <c r="A137" s="72" t="s">
        <v>864</v>
      </c>
      <c r="B137" s="84">
        <v>10000</v>
      </c>
      <c r="C137" s="48" t="b">
        <f>IFERROR(MATCH(A137,'BOM Atual ZPCS12'!F:F,0)&gt;0,FALSE)</f>
        <v>1</v>
      </c>
      <c r="D137" s="49" t="str">
        <f>TRIM(VLOOKUP(A137,'BOM Atual ZPCS12'!F:G,2,0))</f>
        <v>RES 23.2K OHM 1/16W (0402) 1%//UNI-OHM/0</v>
      </c>
      <c r="E137" s="47"/>
      <c r="F137" s="56">
        <f ca="1">SUMIF('BOM Atual ZPCS12'!$F:$F,$A137,'BOM Atual ZPCS12'!$BJ:$BJ)</f>
        <v>1000</v>
      </c>
    </row>
    <row r="138" spans="1:6">
      <c r="A138" s="72" t="s">
        <v>866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2.49K OHM 1/16W (0402) 1%</v>
      </c>
      <c r="E138" s="47"/>
      <c r="F138" s="56">
        <f ca="1">SUMIF('BOM Atual ZPCS12'!$F:$F,$A138,'BOM Atual ZPCS12'!$BJ:$BJ)</f>
        <v>2000</v>
      </c>
    </row>
    <row r="139" spans="1:6">
      <c r="A139" s="72" t="s">
        <v>873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255 OHM 1 16W 0402 1% TA-I RM04FTN</v>
      </c>
      <c r="E139" s="47"/>
      <c r="F139" s="56">
        <f ca="1">SUMIF('BOM Atual ZPCS12'!$F:$F,$A139,'BOM Atual ZPCS12'!$BJ:$BJ)</f>
        <v>2000</v>
      </c>
    </row>
    <row r="140" spans="1:6">
      <c r="A140" s="72" t="s">
        <v>880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25.5K OHM 1/16W (0402) 1%//TA-I/RM04</v>
      </c>
      <c r="E140" s="47"/>
      <c r="F140" s="56">
        <f ca="1">SUMIF('BOM Atual ZPCS12'!$F:$F,$A140,'BOM Atual ZPCS12'!$BJ:$BJ)</f>
        <v>2000</v>
      </c>
    </row>
    <row r="141" spans="1:6">
      <c r="A141" s="72" t="s">
        <v>887</v>
      </c>
      <c r="B141" s="84">
        <v>30000</v>
      </c>
      <c r="C141" s="48" t="b">
        <f>IFERROR(MATCH(A141,'BOM Atual ZPCS12'!F:F,0)&gt;0,FALSE)</f>
        <v>1</v>
      </c>
      <c r="D141" s="49" t="str">
        <f>TRIM(VLOOKUP(A141,'BOM Atual ZPCS12'!F:G,2,0))</f>
        <v>RES 2.7K OHM 1/16W (0402)1% TA-I/RM04FTN</v>
      </c>
      <c r="E141" s="47"/>
      <c r="F141" s="56">
        <f ca="1">SUMIF('BOM Atual ZPCS12'!$F:$F,$A141,'BOM Atual ZPCS12'!$BJ:$BJ)</f>
        <v>21000</v>
      </c>
    </row>
    <row r="142" spans="1:6">
      <c r="A142" s="72" t="s">
        <v>894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2.87K OHM 1/16W (0402) 1%//TA-I/RM04</v>
      </c>
      <c r="E142" s="47"/>
      <c r="F142" s="56">
        <f ca="1">SUMIF('BOM Atual ZPCS12'!$F:$F,$A142,'BOM Atual ZPCS12'!$BJ:$BJ)</f>
        <v>1000</v>
      </c>
    </row>
    <row r="143" spans="1:6">
      <c r="A143" s="72" t="s">
        <v>901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2.94K OHM 1 16W 0402 1% TA-I RM04</v>
      </c>
      <c r="E143" s="47"/>
      <c r="F143" s="56">
        <f ca="1">SUMIF('BOM Atual ZPCS12'!$F:$F,$A143,'BOM Atual ZPCS12'!$BJ:$BJ)</f>
        <v>3000</v>
      </c>
    </row>
    <row r="144" spans="1:6">
      <c r="A144" s="72" t="s">
        <v>915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2.2 OHM 1/16W (0402) 5% UNI-OHM/0402</v>
      </c>
      <c r="E144" s="47"/>
      <c r="F144" s="56">
        <f ca="1">SUMIF('BOM Atual ZPCS12'!$F:$F,$A144,'BOM Atual ZPCS12'!$BJ:$BJ)</f>
        <v>3000</v>
      </c>
    </row>
    <row r="145" spans="1:6">
      <c r="A145" s="72" t="s">
        <v>920</v>
      </c>
      <c r="B145" s="84">
        <v>10000</v>
      </c>
      <c r="C145" s="48" t="b">
        <f>IFERROR(MATCH(A145,'BOM Atual ZPCS12'!F:F,0)&gt;0,FALSE)</f>
        <v>1</v>
      </c>
      <c r="D145" s="49" t="str">
        <f>TRIM(VLOOKUP(A145,'BOM Atual ZPCS12'!F:G,2,0))</f>
        <v>RES 300 OHM 1/16W (0402)1%</v>
      </c>
      <c r="E145" s="47"/>
      <c r="F145" s="56">
        <f ca="1">SUMIF('BOM Atual ZPCS12'!$F:$F,$A145,'BOM Atual ZPCS12'!$BJ:$BJ)</f>
        <v>7000</v>
      </c>
    </row>
    <row r="146" spans="1:6">
      <c r="A146" s="72" t="s">
        <v>924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3K OHM 1/16W (0402) 1%</v>
      </c>
      <c r="E146" s="47"/>
      <c r="F146" s="56">
        <f ca="1">SUMIF('BOM Atual ZPCS12'!$F:$F,$A146,'BOM Atual ZPCS12'!$BJ:$BJ)</f>
        <v>1000</v>
      </c>
    </row>
    <row r="147" spans="1:6">
      <c r="A147" s="72" t="s">
        <v>934</v>
      </c>
      <c r="B147" s="84">
        <v>10000</v>
      </c>
      <c r="C147" s="48" t="b">
        <f>IFERROR(MATCH(A147,'BOM Atual ZPCS12'!F:F,0)&gt;0,FALSE)</f>
        <v>1</v>
      </c>
      <c r="D147" s="49" t="str">
        <f>TRIM(VLOOKUP(A147,'BOM Atual ZPCS12'!F:G,2,0))</f>
        <v>RES 30 OHM 1 16W 0402 1%</v>
      </c>
      <c r="E147" s="47"/>
      <c r="F147" s="56">
        <f ca="1">SUMIF('BOM Atual ZPCS12'!$F:$F,$A147,'BOM Atual ZPCS12'!$BJ:$BJ)</f>
        <v>4000</v>
      </c>
    </row>
    <row r="148" spans="1:6">
      <c r="A148" s="72" t="s">
        <v>938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3.16K OHM 1/16W 0402 1% TA-I/RM04FTN</v>
      </c>
      <c r="E148" s="47"/>
      <c r="F148" s="56">
        <f ca="1">SUMIF('BOM Atual ZPCS12'!$F:$F,$A148,'BOM Atual ZPCS12'!$BJ:$BJ)</f>
        <v>2000</v>
      </c>
    </row>
    <row r="149" spans="1:6">
      <c r="A149" s="72" t="s">
        <v>952</v>
      </c>
      <c r="B149" s="84">
        <v>10000</v>
      </c>
      <c r="C149" s="48" t="b">
        <f>IFERROR(MATCH(A149,'BOM Atual ZPCS12'!F:F,0)&gt;0,FALSE)</f>
        <v>1</v>
      </c>
      <c r="D149" s="49" t="str">
        <f>TRIM(VLOOKUP(A149,'BOM Atual ZPCS12'!F:G,2,0))</f>
        <v>RES 31.6K OHM 1/16W 0402 1% UNI-OHM/040</v>
      </c>
      <c r="E149" s="47"/>
      <c r="F149" s="56">
        <f ca="1">SUMIF('BOM Atual ZPCS12'!$F:$F,$A149,'BOM Atual ZPCS12'!$BJ:$BJ)</f>
        <v>1000</v>
      </c>
    </row>
    <row r="150" spans="1:6">
      <c r="A150" s="72" t="s">
        <v>954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32.4K OHM 1/16W(0402)1%</v>
      </c>
      <c r="E150" s="47"/>
      <c r="F150" s="56">
        <f ca="1">SUMIF('BOM Atual ZPCS12'!$F:$F,$A150,'BOM Atual ZPCS12'!$BJ:$BJ)</f>
        <v>3000</v>
      </c>
    </row>
    <row r="151" spans="1:6">
      <c r="A151" s="72" t="s">
        <v>960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33K OHM 1/16W (0402) 1%</v>
      </c>
      <c r="E151" s="47"/>
      <c r="F151" s="56">
        <f ca="1">SUMIF('BOM Atual ZPCS12'!$F:$F,$A151,'BOM Atual ZPCS12'!$BJ:$BJ)</f>
        <v>4000</v>
      </c>
    </row>
    <row r="152" spans="1:6">
      <c r="A152" s="72" t="s">
        <v>967</v>
      </c>
      <c r="B152" s="84">
        <v>14102</v>
      </c>
      <c r="C152" s="48" t="b">
        <f>IFERROR(MATCH(A152,'BOM Atual ZPCS12'!F:F,0)&gt;0,FALSE)</f>
        <v>1</v>
      </c>
      <c r="D152" s="49" t="str">
        <f>TRIM(VLOOKUP(A152,'BOM Atual ZPCS12'!F:G,2,0))</f>
        <v>RES 33 OHM 1/16W (0402) 1%</v>
      </c>
      <c r="E152" s="47"/>
      <c r="F152" s="56">
        <f ca="1">SUMIF('BOM Atual ZPCS12'!$F:$F,$A152,'BOM Atual ZPCS12'!$BJ:$BJ)</f>
        <v>11000</v>
      </c>
    </row>
    <row r="153" spans="1:6">
      <c r="A153" s="72" t="s">
        <v>979</v>
      </c>
      <c r="B153" s="84">
        <v>10000</v>
      </c>
      <c r="C153" s="48" t="b">
        <f>IFERROR(MATCH(A153,'BOM Atual ZPCS12'!F:F,0)&gt;0,FALSE)</f>
        <v>1</v>
      </c>
      <c r="D153" s="49" t="str">
        <f>TRIM(VLOOKUP(A153,'BOM Atual ZPCS12'!F:G,2,0))</f>
        <v>RES 3.4K OHM 1/16W 0402 1% UNI-OHM/040</v>
      </c>
      <c r="E153" s="47"/>
      <c r="F153" s="56">
        <f ca="1">SUMIF('BOM Atual ZPCS12'!$F:$F,$A153,'BOM Atual ZPCS12'!$BJ:$BJ)</f>
        <v>1000</v>
      </c>
    </row>
    <row r="154" spans="1:6">
      <c r="A154" s="72" t="s">
        <v>984</v>
      </c>
      <c r="B154" s="84">
        <v>10000</v>
      </c>
      <c r="C154" s="48" t="b">
        <f>IFERROR(MATCH(A154,'BOM Atual ZPCS12'!F:F,0)&gt;0,FALSE)</f>
        <v>1</v>
      </c>
      <c r="D154" s="49" t="str">
        <f>TRIM(VLOOKUP(A154,'BOM Atual ZPCS12'!F:G,2,0))</f>
        <v>RES 35.7K OHM 1/16W(0402)1%//RALEC/RTT02</v>
      </c>
      <c r="E154" s="47"/>
      <c r="F154" s="56">
        <f ca="1">SUMIF('BOM Atual ZPCS12'!$F:$F,$A154,'BOM Atual ZPCS12'!$BJ:$BJ)</f>
        <v>1000</v>
      </c>
    </row>
    <row r="155" spans="1:6">
      <c r="A155" s="72" t="s">
        <v>991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3.6K OHM 1/16W 0402 1% RALEC/RTT02</v>
      </c>
      <c r="E155" s="47"/>
      <c r="F155" s="56">
        <f ca="1">SUMIF('BOM Atual ZPCS12'!$F:$F,$A155,'BOM Atual ZPCS12'!$BJ:$BJ)</f>
        <v>1000</v>
      </c>
    </row>
    <row r="156" spans="1:6">
      <c r="A156" s="72" t="s">
        <v>995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39 OHM 1/16W(0402)1%</v>
      </c>
      <c r="E156" s="47"/>
      <c r="F156" s="56">
        <f ca="1">SUMIF('BOM Atual ZPCS12'!$F:$F,$A156,'BOM Atual ZPCS12'!$BJ:$BJ)</f>
        <v>2000</v>
      </c>
    </row>
    <row r="157" spans="1:6">
      <c r="A157" s="72" t="s">
        <v>1005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40.2K OHM 1 16W 0402 1% RALEC</v>
      </c>
      <c r="E157" s="47"/>
      <c r="F157" s="56">
        <f ca="1">SUMIF('BOM Atual ZPCS12'!$F:$F,$A157,'BOM Atual ZPCS12'!$BJ:$BJ)</f>
        <v>1000</v>
      </c>
    </row>
    <row r="158" spans="1:6">
      <c r="A158" s="72" t="s">
        <v>1012</v>
      </c>
      <c r="B158" s="84">
        <v>10000</v>
      </c>
      <c r="C158" s="48" t="b">
        <f>IFERROR(MATCH(A158,'BOM Atual ZPCS12'!F:F,0)&gt;0,FALSE)</f>
        <v>1</v>
      </c>
      <c r="D158" s="49" t="str">
        <f>TRIM(VLOOKUP(A158,'BOM Atual ZPCS12'!F:G,2,0))</f>
        <v>RES 4.22K OHM 1/16W (0402) 1%//RALEC/RTT</v>
      </c>
      <c r="E158" s="47"/>
      <c r="F158" s="56">
        <f ca="1">SUMIF('BOM Atual ZPCS12'!$F:$F,$A158,'BOM Atual ZPCS12'!$BJ:$BJ)</f>
        <v>1000</v>
      </c>
    </row>
    <row r="159" spans="1:6">
      <c r="A159" s="72" t="s">
        <v>1016</v>
      </c>
      <c r="B159" s="84">
        <v>40000</v>
      </c>
      <c r="C159" s="48" t="b">
        <f>IFERROR(MATCH(A159,'BOM Atual ZPCS12'!F:F,0)&gt;0,FALSE)</f>
        <v>1</v>
      </c>
      <c r="D159" s="49" t="str">
        <f>TRIM(VLOOKUP(A159,'BOM Atual ZPCS12'!F:G,2,0))</f>
        <v>RES 4.7K OHM 1/16W(0402) 1%</v>
      </c>
      <c r="E159" s="47"/>
      <c r="F159" s="56">
        <f ca="1">SUMIF('BOM Atual ZPCS12'!$F:$F,$A159,'BOM Atual ZPCS12'!$BJ:$BJ)</f>
        <v>36000</v>
      </c>
    </row>
    <row r="160" spans="1:6">
      <c r="A160" s="72" t="s">
        <v>1028</v>
      </c>
      <c r="B160" s="84">
        <v>20000</v>
      </c>
      <c r="C160" s="48" t="b">
        <f>IFERROR(MATCH(A160,'BOM Atual ZPCS12'!F:F,0)&gt;0,FALSE)</f>
        <v>1</v>
      </c>
      <c r="D160" s="49" t="str">
        <f>TRIM(VLOOKUP(A160,'BOM Atual ZPCS12'!F:G,2,0))</f>
        <v>RES 499 OHM 1 16W 0402 1% UNI-OHM 0402</v>
      </c>
      <c r="E160" s="47"/>
      <c r="F160" s="56">
        <f ca="1">SUMIF('BOM Atual ZPCS12'!$F:$F,$A160,'BOM Atual ZPCS12'!$BJ:$BJ)</f>
        <v>20000</v>
      </c>
    </row>
    <row r="161" spans="1:6">
      <c r="A161" s="72" t="s">
        <v>1033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49.9 OHM 1 16W 0402 1% RALEC</v>
      </c>
      <c r="E161" s="47"/>
      <c r="F161" s="56">
        <f ca="1">SUMIF('BOM Atual ZPCS12'!$F:$F,$A161,'BOM Atual ZPCS12'!$BJ:$BJ)</f>
        <v>2000</v>
      </c>
    </row>
    <row r="162" spans="1:6">
      <c r="A162" s="72" t="s">
        <v>1037</v>
      </c>
      <c r="B162" s="84">
        <v>10000</v>
      </c>
      <c r="C162" s="48" t="b">
        <f>IFERROR(MATCH(A162,'BOM Atual ZPCS12'!F:F,0)&gt;0,FALSE)</f>
        <v>1</v>
      </c>
      <c r="D162" s="49" t="str">
        <f>TRIM(VLOOKUP(A162,'BOM Atual ZPCS12'!F:G,2,0))</f>
        <v>RES 5.36K OHM 1/16W(0402) 1%</v>
      </c>
      <c r="E162" s="47"/>
      <c r="F162" s="56">
        <f ca="1">SUMIF('BOM Atual ZPCS12'!$F:$F,$A162,'BOM Atual ZPCS12'!$BJ:$BJ)</f>
        <v>1000</v>
      </c>
    </row>
    <row r="163" spans="1:6">
      <c r="A163" s="72" t="s">
        <v>1045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53.6K OHM 1/16W (0402) 1%</v>
      </c>
      <c r="E163" s="47"/>
      <c r="F163" s="56">
        <f ca="1">SUMIF('BOM Atual ZPCS12'!$F:$F,$A163,'BOM Atual ZPCS12'!$BJ:$BJ)</f>
        <v>1000</v>
      </c>
    </row>
    <row r="164" spans="1:6">
      <c r="A164" s="72" t="s">
        <v>1051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649 OHM 1/16W (0402) 1%</v>
      </c>
      <c r="E164" s="47"/>
      <c r="F164" s="56">
        <f ca="1">SUMIF('BOM Atual ZPCS12'!$F:$F,$A164,'BOM Atual ZPCS12'!$BJ:$BJ)</f>
        <v>2000</v>
      </c>
    </row>
    <row r="165" spans="1:6">
      <c r="A165" s="72" t="s">
        <v>1058</v>
      </c>
      <c r="B165" s="84">
        <v>10000</v>
      </c>
      <c r="C165" s="48" t="b">
        <f>IFERROR(MATCH(A165,'BOM Atual ZPCS12'!F:F,0)&gt;0,FALSE)</f>
        <v>1</v>
      </c>
      <c r="D165" s="49" t="str">
        <f>TRIM(VLOOKUP(A165,'BOM Atual ZPCS12'!F:G,2,0))</f>
        <v>RES 680 OHM 1 16W 0402 1% TA-I RM04FT</v>
      </c>
      <c r="E165" s="47"/>
      <c r="F165" s="56">
        <f ca="1">SUMIF('BOM Atual ZPCS12'!$F:$F,$A165,'BOM Atual ZPCS12'!$BJ:$BJ)</f>
        <v>6000</v>
      </c>
    </row>
    <row r="166" spans="1:6">
      <c r="A166" s="72" t="s">
        <v>1068</v>
      </c>
      <c r="B166" s="84">
        <v>20000</v>
      </c>
      <c r="C166" s="48" t="b">
        <f>IFERROR(MATCH(A166,'BOM Atual ZPCS12'!F:F,0)&gt;0,FALSE)</f>
        <v>1</v>
      </c>
      <c r="D166" s="49" t="str">
        <f>TRIM(VLOOKUP(A166,'BOM Atual ZPCS12'!F:G,2,0))</f>
        <v>RES 68K OHM 1/16W 0402 1% RALEC/RTT026</v>
      </c>
      <c r="E166" s="47"/>
      <c r="F166" s="56">
        <f ca="1">SUMIF('BOM Atual ZPCS12'!$F:$F,$A166,'BOM Atual ZPCS12'!$BJ:$BJ)</f>
        <v>19000</v>
      </c>
    </row>
    <row r="167" spans="1:6">
      <c r="A167" s="72" t="s">
        <v>1072</v>
      </c>
      <c r="B167" s="84">
        <v>10000</v>
      </c>
      <c r="C167" s="48" t="b">
        <f>IFERROR(MATCH(A167,'BOM Atual ZPCS12'!F:F,0)&gt;0,FALSE)</f>
        <v>1</v>
      </c>
      <c r="D167" s="49" t="str">
        <f>TRIM(VLOOKUP(A167,'BOM Atual ZPCS12'!F:G,2,0))</f>
        <v>RES 681 OHM 1/16W(0402)1%</v>
      </c>
      <c r="E167" s="47"/>
      <c r="F167" s="56">
        <f ca="1">SUMIF('BOM Atual ZPCS12'!$F:$F,$A167,'BOM Atual ZPCS12'!$BJ:$BJ)</f>
        <v>1000</v>
      </c>
    </row>
    <row r="168" spans="1:6">
      <c r="A168" s="72" t="s">
        <v>1079</v>
      </c>
      <c r="B168" s="84">
        <v>10000</v>
      </c>
      <c r="C168" s="48" t="b">
        <f>IFERROR(MATCH(A168,'BOM Atual ZPCS12'!F:F,0)&gt;0,FALSE)</f>
        <v>1</v>
      </c>
      <c r="D168" s="49" t="str">
        <f>TRIM(VLOOKUP(A168,'BOM Atual ZPCS12'!F:G,2,0))</f>
        <v>RES 75 OHM 1/16W(0402) 1%</v>
      </c>
      <c r="E168" s="47"/>
      <c r="F168" s="56">
        <f ca="1">SUMIF('BOM Atual ZPCS12'!$F:$F,$A168,'BOM Atual ZPCS12'!$BJ:$BJ)</f>
        <v>1000</v>
      </c>
    </row>
    <row r="169" spans="1:6">
      <c r="A169" s="72" t="s">
        <v>1089</v>
      </c>
      <c r="B169" s="84">
        <v>170000</v>
      </c>
      <c r="C169" s="48" t="b">
        <f>IFERROR(MATCH(A169,'BOM Atual ZPCS12'!F:F,0)&gt;0,FALSE)</f>
        <v>1</v>
      </c>
      <c r="D169" s="49" t="str">
        <f>TRIM(VLOOKUP(A169,'BOM Atual ZPCS12'!F:G,2,0))</f>
        <v>RES 8.2K OHM 1 16W 0402 1% RALEC</v>
      </c>
      <c r="E169" s="47"/>
      <c r="F169" s="56">
        <f ca="1">SUMIF('BOM Atual ZPCS12'!$F:$F,$A169,'BOM Atual ZPCS12'!$BJ:$BJ)</f>
        <v>161000</v>
      </c>
    </row>
    <row r="170" spans="1:6">
      <c r="A170" s="72" t="s">
        <v>1093</v>
      </c>
      <c r="B170" s="84">
        <v>12114</v>
      </c>
      <c r="C170" s="48" t="b">
        <f>IFERROR(MATCH(A170,'BOM Atual ZPCS12'!F:F,0)&gt;0,FALSE)</f>
        <v>1</v>
      </c>
      <c r="D170" s="49" t="str">
        <f>TRIM(VLOOKUP(A170,'BOM Atual ZPCS12'!F:G,2,0))</f>
        <v>RES 8.2K OHM 1/16W (0402) 5%</v>
      </c>
      <c r="E170" s="47"/>
      <c r="F170" s="56">
        <f ca="1">SUMIF('BOM Atual ZPCS12'!$F:$F,$A170,'BOM Atual ZPCS12'!$BJ:$BJ)</f>
        <v>3000</v>
      </c>
    </row>
    <row r="171" spans="1:6">
      <c r="A171" s="72" t="s">
        <v>1105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8.66K OHM 1 16W 0402 1% UNI-OHM 0402</v>
      </c>
      <c r="E171" s="47"/>
      <c r="F171" s="56">
        <f ca="1">SUMIF('BOM Atual ZPCS12'!$F:$F,$A171,'BOM Atual ZPCS12'!$BJ:$BJ)</f>
        <v>2000</v>
      </c>
    </row>
    <row r="172" spans="1:6">
      <c r="A172" s="72" t="s">
        <v>1107</v>
      </c>
      <c r="B172" s="84">
        <v>10000</v>
      </c>
      <c r="C172" s="48" t="b">
        <f>IFERROR(MATCH(A172,'BOM Atual ZPCS12'!F:F,0)&gt;0,FALSE)</f>
        <v>1</v>
      </c>
      <c r="D172" s="49" t="str">
        <f>TRIM(VLOOKUP(A172,'BOM Atual ZPCS12'!F:G,2,0))</f>
        <v>RES 90.9 OHM 1/16W(0402)1%//TA-I/RM04FTN</v>
      </c>
      <c r="E172" s="47"/>
      <c r="F172" s="56">
        <f ca="1">SUMIF('BOM Atual ZPCS12'!$F:$F,$A172,'BOM Atual ZPCS12'!$BJ:$BJ)</f>
        <v>4000</v>
      </c>
    </row>
    <row r="173" spans="1:6">
      <c r="A173" s="72" t="s">
        <v>1114</v>
      </c>
      <c r="B173" s="84">
        <v>10000</v>
      </c>
      <c r="C173" s="48" t="b">
        <f>IFERROR(MATCH(A173,'BOM Atual ZPCS12'!F:F,0)&gt;0,FALSE)</f>
        <v>1</v>
      </c>
      <c r="D173" s="49" t="str">
        <f>TRIM(VLOOKUP(A173,'BOM Atual ZPCS12'!F:G,2,0))</f>
        <v>RES 9.76K OHM 1/16W (0402) 1prc</v>
      </c>
      <c r="E173" s="47"/>
      <c r="F173" s="56">
        <f ca="1">SUMIF('BOM Atual ZPCS12'!$F:$F,$A173,'BOM Atual ZPCS12'!$BJ:$BJ)</f>
        <v>1000</v>
      </c>
    </row>
    <row r="174" spans="1:6">
      <c r="A174" s="72" t="s">
        <v>1121</v>
      </c>
      <c r="B174" s="84">
        <v>20000</v>
      </c>
      <c r="C174" s="48" t="b">
        <f>IFERROR(MATCH(A174,'BOM Atual ZPCS12'!F:F,0)&gt;0,FALSE)</f>
        <v>1</v>
      </c>
      <c r="D174" s="49" t="str">
        <f>TRIM(VLOOKUP(A174,'BOM Atual ZPCS12'!F:G,2,0))</f>
        <v>RES 0 OHM 1 10W 0603 JUMP</v>
      </c>
      <c r="E174" s="47"/>
      <c r="F174" s="56">
        <f ca="1">SUMIF('BOM Atual ZPCS12'!$F:$F,$A174,'BOM Atual ZPCS12'!$BJ:$BJ)</f>
        <v>20000</v>
      </c>
    </row>
    <row r="175" spans="1:6">
      <c r="A175" s="72" t="s">
        <v>1125</v>
      </c>
      <c r="B175" s="84">
        <v>5000</v>
      </c>
      <c r="C175" s="48" t="b">
        <f>IFERROR(MATCH(A175,'BOM Atual ZPCS12'!F:F,0)&gt;0,FALSE)</f>
        <v>1</v>
      </c>
      <c r="D175" s="49" t="str">
        <f>TRIM(VLOOKUP(A175,'BOM Atual ZPCS12'!F:G,2,0))</f>
        <v>RES 10 OHM 1/10W(0603)5%</v>
      </c>
      <c r="E175" s="47"/>
      <c r="F175" s="56">
        <f ca="1">SUMIF('BOM Atual ZPCS12'!$F:$F,$A175,'BOM Atual ZPCS12'!$BJ:$BJ)</f>
        <v>5000</v>
      </c>
    </row>
    <row r="176" spans="1:6">
      <c r="A176" s="72" t="s">
        <v>1132</v>
      </c>
      <c r="B176" s="84">
        <v>15000</v>
      </c>
      <c r="C176" s="48" t="b">
        <f>IFERROR(MATCH(A176,'BOM Atual ZPCS12'!F:F,0)&gt;0,FALSE)</f>
        <v>1</v>
      </c>
      <c r="D176" s="49" t="str">
        <f>TRIM(VLOOKUP(A176,'BOM Atual ZPCS12'!F:G,2,0))</f>
        <v>RES 1K OHM 1/10W(0603)1prc</v>
      </c>
      <c r="E176" s="47"/>
      <c r="F176" s="56">
        <f ca="1">SUMIF('BOM Atual ZPCS12'!$F:$F,$A176,'BOM Atual ZPCS12'!$BJ:$BJ)</f>
        <v>12000</v>
      </c>
    </row>
    <row r="177" spans="1:6">
      <c r="A177" s="72" t="s">
        <v>1139</v>
      </c>
      <c r="B177" s="84">
        <v>10000</v>
      </c>
      <c r="C177" s="48" t="b">
        <f>IFERROR(MATCH(A177,'BOM Atual ZPCS12'!F:F,0)&gt;0,FALSE)</f>
        <v>1</v>
      </c>
      <c r="D177" s="49" t="str">
        <f>TRIM(VLOOKUP(A177,'BOM Atual ZPCS12'!F:G,2,0))</f>
        <v>RES 10K OHM 1/10W(0603)1%</v>
      </c>
      <c r="E177" s="47"/>
      <c r="F177" s="56">
        <f ca="1">SUMIF('BOM Atual ZPCS12'!$F:$F,$A177,'BOM Atual ZPCS12'!$BJ:$BJ)</f>
        <v>8000</v>
      </c>
    </row>
    <row r="178" spans="1:6">
      <c r="A178" s="72" t="s">
        <v>1146</v>
      </c>
      <c r="B178" s="84">
        <v>15000</v>
      </c>
      <c r="C178" s="48" t="b">
        <f>IFERROR(MATCH(A178,'BOM Atual ZPCS12'!F:F,0)&gt;0,FALSE)</f>
        <v>1</v>
      </c>
      <c r="D178" s="49" t="str">
        <f>TRIM(VLOOKUP(A178,'BOM Atual ZPCS12'!F:G,2,0))</f>
        <v>RES 100K OHM 1 10W 0603 1% TA-I RM06FTN</v>
      </c>
      <c r="E178" s="47"/>
      <c r="F178" s="56">
        <f ca="1">SUMIF('BOM Atual ZPCS12'!$F:$F,$A178,'BOM Atual ZPCS12'!$BJ:$BJ)</f>
        <v>11000</v>
      </c>
    </row>
    <row r="179" spans="1:6">
      <c r="A179" s="72" t="s">
        <v>1153</v>
      </c>
      <c r="B179" s="84">
        <v>5000</v>
      </c>
      <c r="C179" s="48" t="b">
        <f>IFERROR(MATCH(A179,'BOM Atual ZPCS12'!F:F,0)&gt;0,FALSE)</f>
        <v>1</v>
      </c>
      <c r="D179" s="49" t="str">
        <f>TRIM(VLOOKUP(A179,'BOM Atual ZPCS12'!F:G,2,0))</f>
        <v>RES 140 OHM 1 10W 0603 1% TA-I RM06FTN1</v>
      </c>
      <c r="E179" s="47"/>
      <c r="F179" s="56">
        <f ca="1">SUMIF('BOM Atual ZPCS12'!$F:$F,$A179,'BOM Atual ZPCS12'!$BJ:$BJ)</f>
        <v>4000</v>
      </c>
    </row>
    <row r="180" spans="1:6">
      <c r="A180" s="72" t="s">
        <v>1160</v>
      </c>
      <c r="B180" s="84">
        <v>5000</v>
      </c>
      <c r="C180" s="48" t="b">
        <f>IFERROR(MATCH(A180,'BOM Atual ZPCS12'!F:F,0)&gt;0,FALSE)</f>
        <v>1</v>
      </c>
      <c r="D180" s="49" t="str">
        <f>TRIM(VLOOKUP(A180,'BOM Atual ZPCS12'!F:G,2,0))</f>
        <v>RES 15K OHM 1 10W 0603 1% TA-I RM06FTN1</v>
      </c>
      <c r="E180" s="47"/>
      <c r="F180" s="56">
        <f ca="1">SUMIF('BOM Atual ZPCS12'!$F:$F,$A180,'BOM Atual ZPCS12'!$BJ:$BJ)</f>
        <v>1000</v>
      </c>
    </row>
    <row r="181" spans="1:6">
      <c r="A181" s="72" t="s">
        <v>1172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18K OHM 1/10W (0603) 1%//UNI-OHM/060</v>
      </c>
      <c r="E181" s="47"/>
      <c r="F181" s="56">
        <f ca="1">SUMIF('BOM Atual ZPCS12'!$F:$F,$A181,'BOM Atual ZPCS12'!$BJ:$BJ)</f>
        <v>1000</v>
      </c>
    </row>
    <row r="182" spans="1:6">
      <c r="A182" s="72" t="s">
        <v>1177</v>
      </c>
      <c r="B182" s="84">
        <v>20000</v>
      </c>
      <c r="C182" s="48" t="b">
        <f>IFERROR(MATCH(A182,'BOM Atual ZPCS12'!F:F,0)&gt;0,FALSE)</f>
        <v>1</v>
      </c>
      <c r="D182" s="49" t="str">
        <f>TRIM(VLOOKUP(A182,'BOM Atual ZPCS12'!F:G,2,0))</f>
        <v>RES 1 OHM 1 10W 0603 5% RALEC RTT031R0J</v>
      </c>
      <c r="E182" s="47"/>
      <c r="F182" s="56">
        <f ca="1">SUMIF('BOM Atual ZPCS12'!$F:$F,$A182,'BOM Atual ZPCS12'!$BJ:$BJ)</f>
        <v>16000</v>
      </c>
    </row>
    <row r="183" spans="1:6">
      <c r="A183" s="72" t="s">
        <v>1185</v>
      </c>
      <c r="B183" s="84">
        <v>5000</v>
      </c>
      <c r="C183" s="48" t="b">
        <f>IFERROR(MATCH(A183,'BOM Atual ZPCS12'!F:F,0)&gt;0,FALSE)</f>
        <v>1</v>
      </c>
      <c r="D183" s="49" t="str">
        <f>TRIM(VLOOKUP(A183,'BOM Atual ZPCS12'!F:G,2,0))</f>
        <v>RES 1 OHM 1 10W 0603 1% UNI-OHM0603WAF10</v>
      </c>
      <c r="E183" s="47"/>
      <c r="F183" s="56">
        <f ca="1">SUMIF('BOM Atual ZPCS12'!$F:$F,$A183,'BOM Atual ZPCS12'!$BJ:$BJ)</f>
        <v>2000</v>
      </c>
    </row>
    <row r="184" spans="1:6">
      <c r="A184" s="72" t="s">
        <v>1190</v>
      </c>
      <c r="B184" s="84">
        <v>5000</v>
      </c>
      <c r="C184" s="48" t="b">
        <f>IFERROR(MATCH(A184,'BOM Atual ZPCS12'!F:F,0)&gt;0,FALSE)</f>
        <v>1</v>
      </c>
      <c r="D184" s="49" t="str">
        <f>TRIM(VLOOKUP(A184,'BOM Atual ZPCS12'!F:G,2,0))</f>
        <v>RES 2K OHM 1/10W(0603)1%//RALEC/RTT03200</v>
      </c>
      <c r="E184" s="47"/>
      <c r="F184" s="56">
        <f ca="1">SUMIF('BOM Atual ZPCS12'!$F:$F,$A184,'BOM Atual ZPCS12'!$BJ:$BJ)</f>
        <v>4000</v>
      </c>
    </row>
    <row r="185" spans="1:6">
      <c r="A185" s="72" t="s">
        <v>1194</v>
      </c>
      <c r="B185" s="84">
        <v>5000</v>
      </c>
      <c r="C185" s="48" t="b">
        <f>IFERROR(MATCH(A185,'BOM Atual ZPCS12'!F:F,0)&gt;0,FALSE)</f>
        <v>1</v>
      </c>
      <c r="D185" s="49" t="str">
        <f>TRIM(VLOOKUP(A185,'BOM Atual ZPCS12'!F:G,2,0))</f>
        <v>RES 20K OHM 1 10W 0603 1% TA-I RM06FTN2</v>
      </c>
      <c r="E185" s="47"/>
      <c r="F185" s="56">
        <f ca="1">SUMIF('BOM Atual ZPCS12'!$F:$F,$A185,'BOM Atual ZPCS12'!$BJ:$BJ)</f>
        <v>2000</v>
      </c>
    </row>
    <row r="186" spans="1:6">
      <c r="A186" s="72" t="s">
        <v>1201</v>
      </c>
      <c r="B186" s="84">
        <v>5000</v>
      </c>
      <c r="C186" s="48" t="b">
        <f>IFERROR(MATCH(A186,'BOM Atual ZPCS12'!F:F,0)&gt;0,FALSE)</f>
        <v>1</v>
      </c>
      <c r="D186" s="49" t="str">
        <f>TRIM(VLOOKUP(A186,'BOM Atual ZPCS12'!F:G,2,0))</f>
        <v>RES 200K OHM 1/10W(0603) 1%</v>
      </c>
      <c r="E186" s="47"/>
      <c r="F186" s="56">
        <f ca="1">SUMIF('BOM Atual ZPCS12'!$F:$F,$A186,'BOM Atual ZPCS12'!$BJ:$BJ)</f>
        <v>2000</v>
      </c>
    </row>
    <row r="187" spans="1:6">
      <c r="A187" s="72" t="s">
        <v>1210</v>
      </c>
      <c r="B187" s="84">
        <v>5000</v>
      </c>
      <c r="C187" s="48" t="b">
        <f>IFERROR(MATCH(A187,'BOM Atual ZPCS12'!F:F,0)&gt;0,FALSE)</f>
        <v>1</v>
      </c>
      <c r="D187" s="49" t="str">
        <f>TRIM(VLOOKUP(A187,'BOM Atual ZPCS12'!F:G,2,0))</f>
        <v>RES 2M OHM 1/10W 0603 1% RALEC/RTT032004</v>
      </c>
      <c r="E187" s="47"/>
      <c r="F187" s="56">
        <f ca="1">SUMIF('BOM Atual ZPCS12'!$F:$F,$A187,'BOM Atual ZPCS12'!$BJ:$BJ)</f>
        <v>1000</v>
      </c>
    </row>
    <row r="188" spans="1:6">
      <c r="A188" s="72" t="s">
        <v>1214</v>
      </c>
      <c r="B188" s="84">
        <v>5000</v>
      </c>
      <c r="C188" s="48" t="b">
        <f>IFERROR(MATCH(A188,'BOM Atual ZPCS12'!F:F,0)&gt;0,FALSE)</f>
        <v>1</v>
      </c>
      <c r="D188" s="49" t="str">
        <f>TRIM(VLOOKUP(A188,'BOM Atual ZPCS12'!F:G,2,0))</f>
        <v>RES 20M OHM 1/10W 0603 5% TA-I/RM06JTN20</v>
      </c>
      <c r="E188" s="47"/>
      <c r="F188" s="56">
        <f ca="1">SUMIF('BOM Atual ZPCS12'!$F:$F,$A188,'BOM Atual ZPCS12'!$BJ:$BJ)</f>
        <v>1000</v>
      </c>
    </row>
    <row r="189" spans="1:6">
      <c r="A189" s="72" t="s">
        <v>1226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220K OHM 1/10W (0603) 1%//UNI-OHM/06</v>
      </c>
      <c r="E189" s="47"/>
      <c r="F189" s="56">
        <f ca="1">SUMIF('BOM Atual ZPCS12'!$F:$F,$A189,'BOM Atual ZPCS12'!$BJ:$BJ)</f>
        <v>4000</v>
      </c>
    </row>
    <row r="190" spans="1:6">
      <c r="A190" s="72" t="s">
        <v>1228</v>
      </c>
      <c r="B190" s="84">
        <v>10000</v>
      </c>
      <c r="C190" s="48" t="b">
        <f>IFERROR(MATCH(A190,'BOM Atual ZPCS12'!F:F,0)&gt;0,FALSE)</f>
        <v>1</v>
      </c>
      <c r="D190" s="49" t="str">
        <f>TRIM(VLOOKUP(A190,'BOM Atual ZPCS12'!F:G,2,0))</f>
        <v>RES 2.7K OHM 1 10W 0603 1% TA-I RM06FT</v>
      </c>
      <c r="E190" s="47"/>
      <c r="F190" s="56">
        <f ca="1">SUMIF('BOM Atual ZPCS12'!$F:$F,$A190,'BOM Atual ZPCS12'!$BJ:$BJ)</f>
        <v>8000</v>
      </c>
    </row>
    <row r="191" spans="1:6">
      <c r="A191" s="72" t="s">
        <v>1235</v>
      </c>
      <c r="B191" s="84">
        <v>5000</v>
      </c>
      <c r="C191" s="48" t="b">
        <f>IFERROR(MATCH(A191,'BOM Atual ZPCS12'!F:F,0)&gt;0,FALSE)</f>
        <v>1</v>
      </c>
      <c r="D191" s="49" t="str">
        <f>TRIM(VLOOKUP(A191,'BOM Atual ZPCS12'!F:G,2,0))</f>
        <v>RES 280 OHM 1 10W 0603 1% TA-I RM06FTN28</v>
      </c>
      <c r="E191" s="47"/>
      <c r="F191" s="56">
        <f ca="1">SUMIF('BOM Atual ZPCS12'!$F:$F,$A191,'BOM Atual ZPCS12'!$BJ:$BJ)</f>
        <v>4000</v>
      </c>
    </row>
    <row r="192" spans="1:6">
      <c r="A192" s="72" t="s">
        <v>1242</v>
      </c>
      <c r="B192" s="84">
        <v>20000</v>
      </c>
      <c r="C192" s="48" t="b">
        <f>IFERROR(MATCH(A192,'BOM Atual ZPCS12'!F:F,0)&gt;0,FALSE)</f>
        <v>1</v>
      </c>
      <c r="D192" s="49" t="str">
        <f>TRIM(VLOOKUP(A192,'BOM Atual ZPCS12'!F:G,2,0))</f>
        <v>RES 2.2 OHM 1/10W(0603)5%</v>
      </c>
      <c r="E192" s="47"/>
      <c r="F192" s="56">
        <f ca="1">SUMIF('BOM Atual ZPCS12'!$F:$F,$A192,'BOM Atual ZPCS12'!$BJ:$BJ)</f>
        <v>18000</v>
      </c>
    </row>
    <row r="193" spans="1:6">
      <c r="A193" s="72" t="s">
        <v>1249</v>
      </c>
      <c r="B193" s="84">
        <v>5000</v>
      </c>
      <c r="C193" s="48" t="b">
        <f>IFERROR(MATCH(A193,'BOM Atual ZPCS12'!F:F,0)&gt;0,FALSE)</f>
        <v>1</v>
      </c>
      <c r="D193" s="49" t="str">
        <f>TRIM(VLOOKUP(A193,'BOM Atual ZPCS12'!F:G,2,0))</f>
        <v>RES 3K OHM 1/10W 0603 1% TA-I/RM06FTN300</v>
      </c>
      <c r="E193" s="47"/>
      <c r="F193" s="56">
        <f ca="1">SUMIF('BOM Atual ZPCS12'!$F:$F,$A193,'BOM Atual ZPCS12'!$BJ:$BJ)</f>
        <v>1000</v>
      </c>
    </row>
    <row r="194" spans="1:6">
      <c r="A194" s="72" t="s">
        <v>1263</v>
      </c>
      <c r="B194" s="84">
        <v>5000</v>
      </c>
      <c r="C194" s="48" t="b">
        <f>IFERROR(MATCH(A194,'BOM Atual ZPCS12'!F:F,0)&gt;0,FALSE)</f>
        <v>1</v>
      </c>
      <c r="D194" s="49" t="str">
        <f>TRIM(VLOOKUP(A194,'BOM Atual ZPCS12'!F:G,2,0))</f>
        <v>RES 31.6K OHM 1/10W(0603)1%//UNI-OHM/060</v>
      </c>
      <c r="E194" s="47"/>
      <c r="F194" s="56">
        <f ca="1">SUMIF('BOM Atual ZPCS12'!$F:$F,$A194,'BOM Atual ZPCS12'!$BJ:$BJ)</f>
        <v>1000</v>
      </c>
    </row>
    <row r="195" spans="1:6">
      <c r="A195" s="72" t="s">
        <v>1265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357 OHM 1 10W 0603 1% TA-I RM06FTN</v>
      </c>
      <c r="E195" s="47"/>
      <c r="F195" s="56">
        <f ca="1">SUMIF('BOM Atual ZPCS12'!$F:$F,$A195,'BOM Atual ZPCS12'!$BJ:$BJ)</f>
        <v>4000</v>
      </c>
    </row>
    <row r="196" spans="1:6">
      <c r="A196" s="72" t="s">
        <v>1272</v>
      </c>
      <c r="B196" s="84">
        <v>5000</v>
      </c>
      <c r="C196" s="48" t="b">
        <f>IFERROR(MATCH(A196,'BOM Atual ZPCS12'!F:F,0)&gt;0,FALSE)</f>
        <v>1</v>
      </c>
      <c r="D196" s="49" t="str">
        <f>TRIM(VLOOKUP(A196,'BOM Atual ZPCS12'!F:G,2,0))</f>
        <v>RES 40.2K OHM 1 10W 0603 1% TA-I RM06FT</v>
      </c>
      <c r="E196" s="47"/>
      <c r="F196" s="56">
        <f ca="1">SUMIF('BOM Atual ZPCS12'!$F:$F,$A196,'BOM Atual ZPCS12'!$BJ:$BJ)</f>
        <v>1000</v>
      </c>
    </row>
    <row r="197" spans="1:6">
      <c r="A197" s="72" t="s">
        <v>1279</v>
      </c>
      <c r="B197" s="84">
        <v>5000</v>
      </c>
      <c r="C197" s="48" t="b">
        <f>IFERROR(MATCH(A197,'BOM Atual ZPCS12'!F:F,0)&gt;0,FALSE)</f>
        <v>1</v>
      </c>
      <c r="D197" s="49" t="str">
        <f>TRIM(VLOOKUP(A197,'BOM Atual ZPCS12'!F:G,2,0))</f>
        <v>RES 4.12K OHM 1/10W 0603 1% TA-I/ RM06FT</v>
      </c>
      <c r="E197" s="47"/>
      <c r="F197" s="56">
        <f ca="1">SUMIF('BOM Atual ZPCS12'!$F:$F,$A197,'BOM Atual ZPCS12'!$BJ:$BJ)</f>
        <v>3000</v>
      </c>
    </row>
    <row r="198" spans="1:6">
      <c r="A198" s="72" t="s">
        <v>1286</v>
      </c>
      <c r="B198" s="84">
        <v>5000</v>
      </c>
      <c r="C198" s="48" t="b">
        <f>IFERROR(MATCH(A198,'BOM Atual ZPCS12'!F:F,0)&gt;0,FALSE)</f>
        <v>1</v>
      </c>
      <c r="D198" s="49" t="str">
        <f>TRIM(VLOOKUP(A198,'BOM Atual ZPCS12'!F:G,2,0))</f>
        <v>RES 4.7K OHM 1 10W 0603 1% TA-I RM06FTN</v>
      </c>
      <c r="E198" s="47"/>
      <c r="F198" s="56">
        <f ca="1">SUMIF('BOM Atual ZPCS12'!$F:$F,$A198,'BOM Atual ZPCS12'!$BJ:$BJ)</f>
        <v>1000</v>
      </c>
    </row>
    <row r="199" spans="1:6">
      <c r="A199" s="72" t="s">
        <v>1296</v>
      </c>
      <c r="B199" s="84">
        <v>5000</v>
      </c>
      <c r="C199" s="48" t="b">
        <f>IFERROR(MATCH(A199,'BOM Atual ZPCS12'!F:F,0)&gt;0,FALSE)</f>
        <v>1</v>
      </c>
      <c r="D199" s="49" t="str">
        <f>TRIM(VLOOKUP(A199,'BOM Atual ZPCS12'!F:G,2,0))</f>
        <v>RES 499 OHM 1 10W 0603 1% RALEC RTT03499</v>
      </c>
      <c r="E199" s="47"/>
      <c r="F199" s="56">
        <f ca="1">SUMIF('BOM Atual ZPCS12'!$F:$F,$A199,'BOM Atual ZPCS12'!$BJ:$BJ)</f>
        <v>4000</v>
      </c>
    </row>
    <row r="200" spans="1:6">
      <c r="A200" s="72" t="s">
        <v>1300</v>
      </c>
      <c r="B200" s="84">
        <v>5000</v>
      </c>
      <c r="C200" s="48" t="b">
        <f>IFERROR(MATCH(A200,'BOM Atual ZPCS12'!F:F,0)&gt;0,FALSE)</f>
        <v>1</v>
      </c>
      <c r="D200" s="49" t="str">
        <f>TRIM(VLOOKUP(A200,'BOM Atual ZPCS12'!F:G,2,0))</f>
        <v>RES 5.49K OHM 1 10W 0603 1% TA-I RM06</v>
      </c>
      <c r="E200" s="47"/>
      <c r="F200" s="56">
        <f ca="1">SUMIF('BOM Atual ZPCS12'!$F:$F,$A200,'BOM Atual ZPCS12'!$BJ:$BJ)</f>
        <v>2000</v>
      </c>
    </row>
    <row r="201" spans="1:6">
      <c r="A201" s="72" t="s">
        <v>1307</v>
      </c>
      <c r="B201" s="84">
        <v>15000</v>
      </c>
      <c r="C201" s="48" t="b">
        <f>IFERROR(MATCH(A201,'BOM Atual ZPCS12'!F:F,0)&gt;0,FALSE)</f>
        <v>1</v>
      </c>
      <c r="D201" s="49" t="str">
        <f>TRIM(VLOOKUP(A201,'BOM Atual ZPCS12'!F:G,2,0))</f>
        <v>RES  75 OHM 1 10W 0603 1%</v>
      </c>
      <c r="E201" s="47"/>
      <c r="F201" s="56">
        <f ca="1">SUMIF('BOM Atual ZPCS12'!$F:$F,$A201,'BOM Atual ZPCS12'!$BJ:$BJ)</f>
        <v>12000</v>
      </c>
    </row>
    <row r="202" spans="1:6">
      <c r="A202" s="72" t="s">
        <v>1314</v>
      </c>
      <c r="B202" s="84">
        <v>10000</v>
      </c>
      <c r="C202" s="48" t="b">
        <f>IFERROR(MATCH(A202,'BOM Atual ZPCS12'!F:F,0)&gt;0,FALSE)</f>
        <v>1</v>
      </c>
      <c r="D202" s="49" t="str">
        <f>TRIM(VLOOKUP(A202,'BOM Atual ZPCS12'!F:G,2,0))</f>
        <v>RES 8.2K OHM 1/10W(0603)1PRC</v>
      </c>
      <c r="E202" s="47"/>
      <c r="F202" s="56">
        <f ca="1">SUMIF('BOM Atual ZPCS12'!$F:$F,$A202,'BOM Atual ZPCS12'!$BJ:$BJ)</f>
        <v>7000</v>
      </c>
    </row>
    <row r="203" spans="1:6">
      <c r="A203" s="72" t="s">
        <v>1321</v>
      </c>
      <c r="B203" s="84">
        <v>5000</v>
      </c>
      <c r="C203" s="48" t="b">
        <f>IFERROR(MATCH(A203,'BOM Atual ZPCS12'!F:F,0)&gt;0,FALSE)</f>
        <v>1</v>
      </c>
      <c r="D203" s="49" t="str">
        <f>TRIM(VLOOKUP(A203,'BOM Atual ZPCS12'!F:G,2,0))</f>
        <v>RES 95.3K OHM 1/10W(0603)1%//TA-I/RM06FT</v>
      </c>
      <c r="E203" s="47"/>
      <c r="F203" s="56">
        <f ca="1">SUMIF('BOM Atual ZPCS12'!$F:$F,$A203,'BOM Atual ZPCS12'!$BJ:$BJ)</f>
        <v>1000</v>
      </c>
    </row>
    <row r="204" spans="1:6">
      <c r="A204" s="72" t="s">
        <v>1328</v>
      </c>
      <c r="B204" s="84">
        <v>5000</v>
      </c>
      <c r="C204" s="48" t="b">
        <f>IFERROR(MATCH(A204,'BOM Atual ZPCS12'!F:F,0)&gt;0,FALSE)</f>
        <v>1</v>
      </c>
      <c r="D204" s="49" t="str">
        <f>TRIM(VLOOKUP(A204,'BOM Atual ZPCS12'!F:G,2,0))</f>
        <v>RES 0 OHM 1/8W(0805)JUMP</v>
      </c>
      <c r="E204" s="47"/>
      <c r="F204" s="56">
        <f ca="1">SUMIF('BOM Atual ZPCS12'!$F:$F,$A204,'BOM Atual ZPCS12'!$BJ:$BJ)</f>
        <v>3000</v>
      </c>
    </row>
    <row r="205" spans="1:6">
      <c r="A205" s="72" t="s">
        <v>1335</v>
      </c>
      <c r="B205" s="84">
        <v>5000</v>
      </c>
      <c r="C205" s="48" t="b">
        <f>IFERROR(MATCH(A205,'BOM Atual ZPCS12'!F:F,0)&gt;0,FALSE)</f>
        <v>1</v>
      </c>
      <c r="D205" s="49" t="str">
        <f>TRIM(VLOOKUP(A205,'BOM Atual ZPCS12'!F:G,2,0))</f>
        <v>RES 2.2 OHM 1 8W 0805 5% TA-I RM10JTN</v>
      </c>
      <c r="E205" s="47"/>
      <c r="F205" s="56">
        <f ca="1">SUMIF('BOM Atual ZPCS12'!$F:$F,$A205,'BOM Atual ZPCS12'!$BJ:$BJ)</f>
        <v>2000</v>
      </c>
    </row>
    <row r="206" spans="1:6">
      <c r="A206" s="72" t="s">
        <v>1342</v>
      </c>
      <c r="B206" s="84">
        <v>5000</v>
      </c>
      <c r="C206" s="48" t="b">
        <f>IFERROR(MATCH(A206,'BOM Atual ZPCS12'!F:F,0)&gt;0,FALSE)</f>
        <v>1</v>
      </c>
      <c r="D206" s="49" t="str">
        <f>TRIM(VLOOKUP(A206,'BOM Atual ZPCS12'!F:G,2,0))</f>
        <v>RES 470 OHM 1 8W 0805 5% TA-I RM10JTN</v>
      </c>
      <c r="E206" s="47"/>
      <c r="F206" s="56">
        <f ca="1">SUMIF('BOM Atual ZPCS12'!$F:$F,$A206,'BOM Atual ZPCS12'!$BJ:$BJ)</f>
        <v>2000</v>
      </c>
    </row>
    <row r="207" spans="1:6">
      <c r="A207" s="72" t="s">
        <v>1352</v>
      </c>
      <c r="B207" s="84">
        <v>5000</v>
      </c>
      <c r="C207" s="48" t="b">
        <f>IFERROR(MATCH(A207,'BOM Atual ZPCS12'!F:F,0)&gt;0,FALSE)</f>
        <v>1</v>
      </c>
      <c r="D207" s="49" t="str">
        <f>TRIM(VLOOKUP(A207,'BOM Atual ZPCS12'!F:G,2,0))</f>
        <v>RES 0 OHM 1 4W 1206 JUMP RALEC RTT06000J</v>
      </c>
      <c r="E207" s="47"/>
      <c r="F207" s="56">
        <f ca="1">SUMIF('BOM Atual ZPCS12'!$F:$F,$A207,'BOM Atual ZPCS12'!$BJ:$BJ)</f>
        <v>5000</v>
      </c>
    </row>
    <row r="208" spans="1:6">
      <c r="A208" s="72" t="s">
        <v>1356</v>
      </c>
      <c r="B208" s="84">
        <v>5000</v>
      </c>
      <c r="C208" s="48" t="b">
        <f>IFERROR(MATCH(A208,'BOM Atual ZPCS12'!F:F,0)&gt;0,FALSE)</f>
        <v>1</v>
      </c>
      <c r="D208" s="49" t="str">
        <f>TRIM(VLOOKUP(A208,'BOM Atual ZPCS12'!F:G,2,0))</f>
        <v>RES 100 OHM 1-4W 1206 5% TA-I RM12JTN101</v>
      </c>
      <c r="E208" s="47"/>
      <c r="F208" s="56">
        <f ca="1">SUMIF('BOM Atual ZPCS12'!$F:$F,$A208,'BOM Atual ZPCS12'!$BJ:$BJ)</f>
        <v>2000</v>
      </c>
    </row>
    <row r="209" spans="1:6">
      <c r="A209" s="72" t="s">
        <v>1366</v>
      </c>
      <c r="B209" s="84">
        <v>5000</v>
      </c>
      <c r="C209" s="48" t="b">
        <f>IFERROR(MATCH(A209,'BOM Atual ZPCS12'!F:F,0)&gt;0,FALSE)</f>
        <v>1</v>
      </c>
      <c r="D209" s="49" t="str">
        <f>TRIM(VLOOKUP(A209,'BOM Atual ZPCS12'!F:G,2,0))</f>
        <v>RES 1 OHM 1 4W 1206 5% RALEC</v>
      </c>
      <c r="E209" s="47"/>
      <c r="F209" s="56">
        <f ca="1">SUMIF('BOM Atual ZPCS12'!$F:$F,$A209,'BOM Atual ZPCS12'!$BJ:$BJ)</f>
        <v>4000</v>
      </c>
    </row>
    <row r="210" spans="1:6">
      <c r="A210" s="72" t="s">
        <v>1379</v>
      </c>
      <c r="B210" s="84">
        <v>5000</v>
      </c>
      <c r="C210" s="48" t="b">
        <f>IFERROR(MATCH(A210,'BOM Atual ZPCS12'!F:F,0)&gt;0,FALSE)</f>
        <v>1</v>
      </c>
      <c r="D210" s="49" t="str">
        <f>TRIM(VLOOKUP(A210,'BOM Atual ZPCS12'!F:G,2,0))</f>
        <v>RES A 2.7K OHM(0603)5%4R8P</v>
      </c>
      <c r="E210" s="47"/>
      <c r="F210" s="56">
        <f ca="1">SUMIF('BOM Atual ZPCS12'!$F:$F,$A210,'BOM Atual ZPCS12'!$BJ:$BJ)</f>
        <v>2000</v>
      </c>
    </row>
    <row r="211" spans="1:6">
      <c r="A211" s="72" t="s">
        <v>1393</v>
      </c>
      <c r="B211" s="84">
        <v>5000</v>
      </c>
      <c r="C211" s="48" t="b">
        <f>IFERROR(MATCH(A211,'BOM Atual ZPCS12'!F:F,0)&gt;0,FALSE)</f>
        <v>1</v>
      </c>
      <c r="D211" s="49" t="str">
        <f>TRIM(VLOOKUP(A211,'BOM Atual ZPCS12'!F:G,2,0))</f>
        <v>RES A 33 OHM 0603 5%4R8P</v>
      </c>
      <c r="E211" s="47"/>
      <c r="F211" s="56">
        <f ca="1">SUMIF('BOM Atual ZPCS12'!$F:$F,$A211,'BOM Atual ZPCS12'!$BJ:$BJ)</f>
        <v>3000</v>
      </c>
    </row>
    <row r="212" spans="1:6">
      <c r="A212" s="72" t="s">
        <v>1402</v>
      </c>
      <c r="B212" s="84">
        <v>5000</v>
      </c>
      <c r="C212" s="48" t="b">
        <f>IFERROR(MATCH(A212,'BOM Atual ZPCS12'!F:F,0)&gt;0,FALSE)</f>
        <v>1</v>
      </c>
      <c r="D212" s="49" t="str">
        <f>TRIM(VLOOKUP(A212,'BOM Atual ZPCS12'!F:G,2,0))</f>
        <v>RES A 8.2K OHM 0603 5%4R8P</v>
      </c>
      <c r="E212" s="47"/>
      <c r="F212" s="56">
        <f ca="1">SUMIF('BOM Atual ZPCS12'!$F:$F,$A212,'BOM Atual ZPCS12'!$BJ:$BJ)</f>
        <v>2000</v>
      </c>
    </row>
    <row r="213" spans="1:6">
      <c r="A213" s="72" t="s">
        <v>1928</v>
      </c>
      <c r="B213" s="84">
        <v>8000</v>
      </c>
      <c r="C213" s="48" t="b">
        <f>IFERROR(MATCH(A213,'BOM Atual ZPCS12'!F:F,0)&gt;0,FALSE)</f>
        <v>1</v>
      </c>
      <c r="D213" s="49" t="str">
        <f>TRIM(VLOOKUP(A213,'BOM Atual ZPCS12'!F:G,2,0))</f>
        <v>CAP EL 100UF 16V 6.3X5 20%T CHEMICON EA</v>
      </c>
      <c r="E213" s="47"/>
      <c r="F213" s="56">
        <f ca="1">SUMIF('BOM Atual ZPCS12'!$F:$F,$A213,'BOM Atual ZPCS12'!$BJ:$BJ)</f>
        <v>7000</v>
      </c>
    </row>
    <row r="214" spans="1:6">
      <c r="A214" s="72" t="s">
        <v>1930</v>
      </c>
      <c r="B214" s="84">
        <v>6000</v>
      </c>
      <c r="C214" s="48" t="b">
        <f>IFERROR(MATCH(A214,'BOM Atual ZPCS12'!F:F,0)&gt;0,FALSE)</f>
        <v>1</v>
      </c>
      <c r="D214" s="49" t="str">
        <f>TRIM(VLOOKUP(A214,'BOM Atual ZPCS12'!F:G,2,0))</f>
        <v>CAP PL 100UF 16V 6.3X9 DIP 20%T APAQ 160</v>
      </c>
      <c r="E214" s="47"/>
      <c r="F214" s="56">
        <f ca="1">SUMIF('BOM Atual ZPCS12'!$F:$F,$A214,'BOM Atual ZPCS12'!$BJ:$BJ)</f>
        <v>5000</v>
      </c>
    </row>
    <row r="215" spans="1:6">
      <c r="A215" s="72" t="s">
        <v>1932</v>
      </c>
      <c r="B215" s="84">
        <v>14000</v>
      </c>
      <c r="C215" s="48" t="b">
        <f>IFERROR(MATCH(A215,'BOM Atual ZPCS12'!F:F,0)&gt;0,FALSE)</f>
        <v>1</v>
      </c>
      <c r="D215" s="49" t="str">
        <f>TRIM(VLOOKUP(A215,'BOM Atual ZPCS12'!F:G,2,0))</f>
        <v>CAP PL 560UF 6.3V 6.3X9DIP 20%T APAQ 6R3</v>
      </c>
      <c r="E215" s="47"/>
      <c r="F215" s="56">
        <f ca="1">SUMIF('BOM Atual ZPCS12'!$F:$F,$A215,'BOM Atual ZPCS12'!$BJ:$BJ)</f>
        <v>14000</v>
      </c>
    </row>
    <row r="216" spans="1:6">
      <c r="A216" s="72" t="s">
        <v>1934</v>
      </c>
      <c r="B216" s="84">
        <v>12000</v>
      </c>
      <c r="C216" s="48" t="b">
        <f>IFERROR(MATCH(A216,'BOM Atual ZPCS12'!F:F,0)&gt;0,FALSE)</f>
        <v>1</v>
      </c>
      <c r="D216" s="49" t="str">
        <f>TRIM(VLOOKUP(A216,'BOM Atual ZPCS12'!F:G,2,0))</f>
        <v>CAP PL 820UF/3V 6.39 DIP 20%T APAQ/3R0AR</v>
      </c>
      <c r="E216" s="47"/>
      <c r="F216" s="56">
        <f ca="1">SUMIF('BOM Atual ZPCS12'!$F:$F,$A216,'BOM Atual ZPCS12'!$BJ:$BJ)</f>
        <v>12000</v>
      </c>
    </row>
    <row r="217" spans="1:6">
      <c r="A217" s="72" t="s">
        <v>1936</v>
      </c>
      <c r="B217" s="84">
        <v>9600</v>
      </c>
      <c r="C217" s="48" t="b">
        <f>IFERROR(MATCH(A217,'BOM Atual ZPCS12'!F:F,0)&gt;0,FALSE)</f>
        <v>1</v>
      </c>
      <c r="D217" s="49" t="str">
        <f>TRIM(VLOOKUP(A217,'BOM Atual ZPCS12'!F:G,2,0))</f>
        <v>CAP PL 270UF 16V 8X12 DIP 20%T APAQ 160</v>
      </c>
      <c r="E217" s="47"/>
      <c r="F217" s="56">
        <f ca="1">SUMIF('BOM Atual ZPCS12'!$F:$F,$A217,'BOM Atual ZPCS12'!$BJ:$BJ)</f>
        <v>9000</v>
      </c>
    </row>
    <row r="218" spans="1:6">
      <c r="A218" s="72" t="s">
        <v>1410</v>
      </c>
      <c r="B218" s="84">
        <v>60000</v>
      </c>
      <c r="C218" s="48" t="b">
        <f>IFERROR(MATCH(A218,'BOM Atual ZPCS12'!F:F,0)&gt;0,FALSE)</f>
        <v>1</v>
      </c>
      <c r="D218" s="49" t="str">
        <f>TRIM(VLOOKUP(A218,'BOM Atual ZPCS12'!F:G,2,0))</f>
        <v>MLCC 0.1UF/16V (0201) X5R 10%//VIIYONG/V</v>
      </c>
      <c r="E218" s="47"/>
      <c r="F218" s="56">
        <f ca="1">SUMIF('BOM Atual ZPCS12'!$F:$F,$A218,'BOM Atual ZPCS12'!$BJ:$BJ)</f>
        <v>54000</v>
      </c>
    </row>
    <row r="219" spans="1:6">
      <c r="A219" s="72" t="s">
        <v>1421</v>
      </c>
      <c r="B219" s="84">
        <v>30000</v>
      </c>
      <c r="C219" s="48" t="b">
        <f>IFERROR(MATCH(A219,'BOM Atual ZPCS12'!F:F,0)&gt;0,FALSE)</f>
        <v>1</v>
      </c>
      <c r="D219" s="49" t="str">
        <f>TRIM(VLOOKUP(A219,'BOM Atual ZPCS12'!F:G,2,0))</f>
        <v>MLCC 0.01UF/16V (0201) X5R 10%//VIIYONG/</v>
      </c>
      <c r="E219" s="47"/>
      <c r="F219" s="56">
        <f ca="1">SUMIF('BOM Atual ZPCS12'!$F:$F,$A219,'BOM Atual ZPCS12'!$BJ:$BJ)</f>
        <v>18000</v>
      </c>
    </row>
    <row r="220" spans="1:6">
      <c r="A220" s="72" t="s">
        <v>1430</v>
      </c>
      <c r="B220" s="84">
        <v>15000</v>
      </c>
      <c r="C220" s="48" t="b">
        <f>IFERROR(MATCH(A220,'BOM Atual ZPCS12'!F:F,0)&gt;0,FALSE)</f>
        <v>1</v>
      </c>
      <c r="D220" s="49" t="str">
        <f>TRIM(VLOOKUP(A220,'BOM Atual ZPCS12'!F:G,2,0))</f>
        <v>MLCC 100PF/50V 0201 NP0 5%VIIYONG/V101J0</v>
      </c>
      <c r="E220" s="47"/>
      <c r="F220" s="56">
        <f ca="1">SUMIF('BOM Atual ZPCS12'!$F:$F,$A220,'BOM Atual ZPCS12'!$BJ:$BJ)</f>
        <v>1000</v>
      </c>
    </row>
    <row r="221" spans="1:6">
      <c r="A221" s="72" t="s">
        <v>1437</v>
      </c>
      <c r="B221" s="84">
        <v>15000</v>
      </c>
      <c r="C221" s="48" t="b">
        <f>IFERROR(MATCH(A221,'BOM Atual ZPCS12'!F:F,0)&gt;0,FALSE)</f>
        <v>1</v>
      </c>
      <c r="D221" s="49" t="str">
        <f>TRIM(VLOOKUP(A221,'BOM Atual ZPCS12'!F:G,2,0))</f>
        <v>MLCC 12PF/50V (0201) NP0 5%//VIIYONG/V12</v>
      </c>
      <c r="E221" s="47"/>
      <c r="F221" s="56">
        <f ca="1">SUMIF('BOM Atual ZPCS12'!$F:$F,$A221,'BOM Atual ZPCS12'!$BJ:$BJ)</f>
        <v>1000</v>
      </c>
    </row>
    <row r="222" spans="1:6">
      <c r="A222" s="72" t="s">
        <v>1448</v>
      </c>
      <c r="B222" s="84">
        <v>75000</v>
      </c>
      <c r="C222" s="48" t="b">
        <f>IFERROR(MATCH(A222,'BOM Atual ZPCS12'!F:F,0)&gt;0,FALSE)</f>
        <v>1</v>
      </c>
      <c r="D222" s="49" t="str">
        <f>TRIM(VLOOKUP(A222,'BOM Atual ZPCS12'!F:G,2,0))</f>
        <v>MLCC 0.22UF 10V 0201 X5R 10% VIIYONG V</v>
      </c>
      <c r="E222" s="47"/>
      <c r="F222" s="56">
        <f ca="1">SUMIF('BOM Atual ZPCS12'!$F:$F,$A222,'BOM Atual ZPCS12'!$BJ:$BJ)</f>
        <v>72000</v>
      </c>
    </row>
    <row r="223" spans="1:6">
      <c r="A223" s="72" t="s">
        <v>1690</v>
      </c>
      <c r="B223" s="84">
        <v>20000</v>
      </c>
      <c r="C223" s="48" t="b">
        <f>IFERROR(MATCH(A223,'BOM Atual ZPCS12'!F:F,0)&gt;0,FALSE)</f>
        <v>1</v>
      </c>
      <c r="D223" s="49" t="str">
        <f>TRIM(VLOOKUP(A223,'BOM Atual ZPCS12'!F:G,2,0))</f>
        <v>MLCC 2.2UF/10V (0402) X5R W05//VIIYONG/V</v>
      </c>
      <c r="E223" s="47"/>
      <c r="F223" s="56">
        <f ca="1">SUMIF('BOM Atual ZPCS12'!$F:$F,$A223,'BOM Atual ZPCS12'!$BJ:$BJ)</f>
        <v>11000</v>
      </c>
    </row>
    <row r="224" spans="1:6">
      <c r="A224" s="72" t="s">
        <v>1450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33PF/50V (0402) NP0 W05//VIIYONG/V3</v>
      </c>
      <c r="E224" s="47"/>
      <c r="F224" s="56">
        <f ca="1">SUMIF('BOM Atual ZPCS12'!$F:$F,$A224,'BOM Atual ZPCS12'!$BJ:$BJ)</f>
        <v>2000</v>
      </c>
    </row>
    <row r="225" spans="1:6">
      <c r="A225" s="72" t="s">
        <v>1465</v>
      </c>
      <c r="B225" s="84">
        <v>10000</v>
      </c>
      <c r="C225" s="48" t="b">
        <f>IFERROR(MATCH(A225,'BOM Atual ZPCS12'!F:F,0)&gt;0,FALSE)</f>
        <v>1</v>
      </c>
      <c r="D225" s="49" t="str">
        <f>TRIM(VLOOKUP(A225,'BOM Atual ZPCS12'!F:G,2,0))</f>
        <v>MLCC 18PF/50V(0402) NP0 5% W05 VIIYONG/</v>
      </c>
      <c r="E225" s="47"/>
      <c r="F225" s="56">
        <f ca="1">SUMIF('BOM Atual ZPCS12'!$F:$F,$A225,'BOM Atual ZPCS12'!$BJ:$BJ)</f>
        <v>2000</v>
      </c>
    </row>
    <row r="226" spans="1:6">
      <c r="A226" s="72" t="s">
        <v>1478</v>
      </c>
      <c r="B226" s="84">
        <v>10000</v>
      </c>
      <c r="C226" s="48" t="b">
        <f>IFERROR(MATCH(A226,'BOM Atual ZPCS12'!F:F,0)&gt;0,FALSE)</f>
        <v>1</v>
      </c>
      <c r="D226" s="49" t="str">
        <f>TRIM(VLOOKUP(A226,'BOM Atual ZPCS12'!F:G,2,0))</f>
        <v>MLCC 1000PF/50V (0402) NP0 5% W05//VIIYO</v>
      </c>
      <c r="E226" s="47"/>
      <c r="F226" s="56">
        <f ca="1">SUMIF('BOM Atual ZPCS12'!$F:$F,$A226,'BOM Atual ZPCS12'!$BJ:$BJ)</f>
        <v>1000</v>
      </c>
    </row>
    <row r="227" spans="1:6">
      <c r="A227" s="72" t="s">
        <v>1527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220PF/50V (0402) NP0 W05//VIIYONG/V</v>
      </c>
      <c r="E227" s="47"/>
      <c r="F227" s="56">
        <f ca="1">SUMIF('BOM Atual ZPCS12'!$F:$F,$A227,'BOM Atual ZPCS12'!$BJ:$BJ)</f>
        <v>1000</v>
      </c>
    </row>
    <row r="228" spans="1:6">
      <c r="A228" s="72" t="s">
        <v>1494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0.068UF 16V 0402 X7R W05 VIIYONG V6</v>
      </c>
      <c r="E228" s="47"/>
      <c r="F228" s="56">
        <f ca="1">SUMIF('BOM Atual ZPCS12'!$F:$F,$A228,'BOM Atual ZPCS12'!$BJ:$BJ)</f>
        <v>4000</v>
      </c>
    </row>
    <row r="229" spans="1:6">
      <c r="A229" s="72" t="s">
        <v>1501</v>
      </c>
      <c r="B229" s="84">
        <v>64000</v>
      </c>
      <c r="C229" s="48" t="b">
        <f>IFERROR(MATCH(A229,'BOM Atual ZPCS12'!F:F,0)&gt;0,FALSE)</f>
        <v>1</v>
      </c>
      <c r="D229" s="49" t="str">
        <f>TRIM(VLOOKUP(A229,'BOM Atual ZPCS12'!F:G,2,0))</f>
        <v>MLCC 10UF 16V 0805 X6S 10% SAMSUNG CL2</v>
      </c>
      <c r="E229" s="47"/>
      <c r="F229" s="56">
        <f ca="1">SUMIF('BOM Atual ZPCS12'!$F:$F,$A229,'BOM Atual ZPCS12'!$BJ:$BJ)</f>
        <v>64000</v>
      </c>
    </row>
    <row r="230" spans="1:6">
      <c r="A230" s="72" t="s">
        <v>1517</v>
      </c>
      <c r="B230" s="84">
        <v>3500</v>
      </c>
      <c r="C230" s="48" t="b">
        <f>IFERROR(MATCH(A230,'BOM Atual ZPCS12'!F:F,0)&gt;0,FALSE)</f>
        <v>1</v>
      </c>
      <c r="D230" s="49" t="str">
        <f>TRIM(VLOOKUP(A230,'BOM Atual ZPCS12'!F:G,2,0))</f>
        <v>PL EL 150UF/6.3V(7343/D)+10-35//PANASONI</v>
      </c>
      <c r="E230" s="47"/>
      <c r="F230" s="56">
        <f ca="1">SUMIF('BOM Atual ZPCS12'!$F:$F,$A230,'BOM Atual ZPCS12'!$BJ:$BJ)</f>
        <v>2000</v>
      </c>
    </row>
    <row r="231" spans="1:6">
      <c r="A231" s="72" t="s">
        <v>1525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10PF/50V (0402) NPO 5%</v>
      </c>
      <c r="E231" s="47"/>
      <c r="F231" s="56">
        <f ca="1">SUMIF('BOM Atual ZPCS12'!$F:$F,$A231,'BOM Atual ZPCS12'!$BJ:$BJ)</f>
        <v>4000</v>
      </c>
    </row>
    <row r="232" spans="1:6">
      <c r="A232" s="72" t="s">
        <v>1462</v>
      </c>
      <c r="B232" s="84">
        <v>20000</v>
      </c>
      <c r="C232" s="48" t="b">
        <f>IFERROR(MATCH(A232,'BOM Atual ZPCS12'!F:F,0)&gt;0,FALSE)</f>
        <v>1</v>
      </c>
      <c r="D232" s="49" t="str">
        <f>TRIM(VLOOKUP(A232,'BOM Atual ZPCS12'!F:G,2,0))</f>
        <v>MLCC 100PF/50V (0402) NPO 5%</v>
      </c>
      <c r="E232" s="47"/>
      <c r="F232" s="56">
        <f ca="1">SUMIF('BOM Atual ZPCS12'!$F:$F,$A232,'BOM Atual ZPCS12'!$BJ:$BJ)</f>
        <v>19000</v>
      </c>
    </row>
    <row r="233" spans="1:6">
      <c r="A233" s="72" t="s">
        <v>1539</v>
      </c>
      <c r="B233" s="84">
        <v>10000</v>
      </c>
      <c r="C233" s="48" t="b">
        <f>IFERROR(MATCH(A233,'BOM Atual ZPCS12'!F:F,0)&gt;0,FALSE)</f>
        <v>1</v>
      </c>
      <c r="D233" s="49" t="str">
        <f>TRIM(VLOOKUP(A233,'BOM Atual ZPCS12'!F:G,2,0))</f>
        <v>MLCC 27PF/50V (0402)NPO 5%</v>
      </c>
      <c r="E233" s="47"/>
      <c r="F233" s="56">
        <f ca="1">SUMIF('BOM Atual ZPCS12'!$F:$F,$A233,'BOM Atual ZPCS12'!$BJ:$BJ)</f>
        <v>4000</v>
      </c>
    </row>
    <row r="234" spans="1:6">
      <c r="A234" s="72" t="s">
        <v>1552</v>
      </c>
      <c r="B234" s="84">
        <v>10000</v>
      </c>
      <c r="C234" s="48" t="b">
        <f>IFERROR(MATCH(A234,'BOM Atual ZPCS12'!F:F,0)&gt;0,FALSE)</f>
        <v>1</v>
      </c>
      <c r="D234" s="49" t="str">
        <f>TRIM(VLOOKUP(A234,'BOM Atual ZPCS12'!F:G,2,0))</f>
        <v>MLCC 330PF/50V (0402) NP0 W05</v>
      </c>
      <c r="E234" s="47"/>
      <c r="F234" s="56">
        <f ca="1">SUMIF('BOM Atual ZPCS12'!$F:$F,$A234,'BOM Atual ZPCS12'!$BJ:$BJ)</f>
        <v>2000</v>
      </c>
    </row>
    <row r="235" spans="1:6">
      <c r="A235" s="72" t="s">
        <v>1558</v>
      </c>
      <c r="B235" s="84">
        <v>10000</v>
      </c>
      <c r="C235" s="48" t="b">
        <f>IFERROR(MATCH(A235,'BOM Atual ZPCS12'!F:F,0)&gt;0,FALSE)</f>
        <v>1</v>
      </c>
      <c r="D235" s="49" t="str">
        <f>TRIM(VLOOKUP(A235,'BOM Atual ZPCS12'!F:G,2,0))</f>
        <v>MLCC 5.6PF/50V(0402)NP0 W05//WALSIN/0402</v>
      </c>
      <c r="E235" s="47"/>
      <c r="F235" s="56">
        <f ca="1">SUMIF('BOM Atual ZPCS12'!$F:$F,$A235,'BOM Atual ZPCS12'!$BJ:$BJ)</f>
        <v>2000</v>
      </c>
    </row>
    <row r="236" spans="1:6">
      <c r="A236" s="72" t="s">
        <v>1569</v>
      </c>
      <c r="B236" s="84">
        <v>10000</v>
      </c>
      <c r="C236" s="48" t="b">
        <f>IFERROR(MATCH(A236,'BOM Atual ZPCS12'!F:F,0)&gt;0,FALSE)</f>
        <v>1</v>
      </c>
      <c r="D236" s="49" t="str">
        <f>TRIM(VLOOKUP(A236,'BOM Atual ZPCS12'!F:G,2,0))</f>
        <v>MLCC 1000PF/50V (0402) X7R 10%</v>
      </c>
      <c r="E236" s="47"/>
      <c r="F236" s="56">
        <f ca="1">SUMIF('BOM Atual ZPCS12'!$F:$F,$A236,'BOM Atual ZPCS12'!$BJ:$BJ)</f>
        <v>5000</v>
      </c>
    </row>
    <row r="237" spans="1:6">
      <c r="A237" s="72" t="s">
        <v>1579</v>
      </c>
      <c r="B237" s="84">
        <v>10000</v>
      </c>
      <c r="C237" s="48" t="b">
        <f>IFERROR(MATCH(A237,'BOM Atual ZPCS12'!F:F,0)&gt;0,FALSE)</f>
        <v>1</v>
      </c>
      <c r="D237" s="49" t="str">
        <f>TRIM(VLOOKUP(A237,'BOM Atual ZPCS12'!F:G,2,0))</f>
        <v>MLCC 0.01UF 16V 0402 X7R 10% DARFON C</v>
      </c>
      <c r="E237" s="47"/>
      <c r="F237" s="56">
        <f ca="1">SUMIF('BOM Atual ZPCS12'!$F:$F,$A237,'BOM Atual ZPCS12'!$BJ:$BJ)</f>
        <v>2000</v>
      </c>
    </row>
    <row r="238" spans="1:6">
      <c r="A238" s="72" t="s">
        <v>1489</v>
      </c>
      <c r="B238" s="84">
        <v>140000</v>
      </c>
      <c r="C238" s="48" t="b">
        <f>IFERROR(MATCH(A238,'BOM Atual ZPCS12'!F:F,0)&gt;0,FALSE)</f>
        <v>1</v>
      </c>
      <c r="D238" s="49" t="str">
        <f>TRIM(VLOOKUP(A238,'BOM Atual ZPCS12'!F:G,2,0))</f>
        <v>MLCC 0.1UF/16V(0402) X7R 10%</v>
      </c>
      <c r="E238" s="47"/>
      <c r="F238" s="56">
        <f ca="1">SUMIF('BOM Atual ZPCS12'!$F:$F,$A238,'BOM Atual ZPCS12'!$BJ:$BJ)</f>
        <v>136000</v>
      </c>
    </row>
    <row r="239" spans="1:6">
      <c r="A239" s="72" t="s">
        <v>1588</v>
      </c>
      <c r="B239" s="84">
        <v>10000</v>
      </c>
      <c r="C239" s="48" t="b">
        <f>IFERROR(MATCH(A239,'BOM Atual ZPCS12'!F:F,0)&gt;0,FALSE)</f>
        <v>1</v>
      </c>
      <c r="D239" s="49" t="str">
        <f>TRIM(VLOOKUP(A239,'BOM Atual ZPCS12'!F:G,2,0))</f>
        <v>MLCC 0.1UF/10V(0402) X7R W05//DARFON/C10</v>
      </c>
      <c r="E239" s="47"/>
      <c r="F239" s="56">
        <f ca="1">SUMIF('BOM Atual ZPCS12'!$F:$F,$A239,'BOM Atual ZPCS12'!$BJ:$BJ)</f>
        <v>2000</v>
      </c>
    </row>
    <row r="240" spans="1:6">
      <c r="A240" s="72" t="s">
        <v>1596</v>
      </c>
      <c r="B240" s="84">
        <v>10000</v>
      </c>
      <c r="C240" s="48" t="b">
        <f>IFERROR(MATCH(A240,'BOM Atual ZPCS12'!F:F,0)&gt;0,FALSE)</f>
        <v>1</v>
      </c>
      <c r="D240" s="49" t="str">
        <f>TRIM(VLOOKUP(A240,'BOM Atual ZPCS12'!F:G,2,0))</f>
        <v>MLCC 0.022UF/16V(0402)X7R 10%</v>
      </c>
      <c r="E240" s="47"/>
      <c r="F240" s="56">
        <f ca="1">SUMIF('BOM Atual ZPCS12'!$F:$F,$A240,'BOM Atual ZPCS12'!$BJ:$BJ)</f>
        <v>2000</v>
      </c>
    </row>
    <row r="241" spans="1:6">
      <c r="A241" s="72" t="s">
        <v>1602</v>
      </c>
      <c r="B241" s="84">
        <v>10000</v>
      </c>
      <c r="C241" s="48" t="b">
        <f>IFERROR(MATCH(A241,'BOM Atual ZPCS12'!F:F,0)&gt;0,FALSE)</f>
        <v>1</v>
      </c>
      <c r="D241" s="49" t="str">
        <f>TRIM(VLOOKUP(A241,'BOM Atual ZPCS12'!F:G,2,0))</f>
        <v>MLCC 3300PF/25V 0402 X7R 10% DARFON/C100</v>
      </c>
      <c r="E241" s="47"/>
      <c r="F241" s="56">
        <f ca="1">SUMIF('BOM Atual ZPCS12'!$F:$F,$A241,'BOM Atual ZPCS12'!$BJ:$BJ)</f>
        <v>2000</v>
      </c>
    </row>
    <row r="242" spans="1:6">
      <c r="A242" s="72" t="s">
        <v>1611</v>
      </c>
      <c r="B242" s="84">
        <v>10000</v>
      </c>
      <c r="C242" s="48" t="b">
        <f>IFERROR(MATCH(A242,'BOM Atual ZPCS12'!F:F,0)&gt;0,FALSE)</f>
        <v>1</v>
      </c>
      <c r="D242" s="49" t="str">
        <f>TRIM(VLOOKUP(A242,'BOM Atual ZPCS12'!F:G,2,0))</f>
        <v>MLCC 3300PF 50V 0402 X7R 10% DARFON C1</v>
      </c>
      <c r="E242" s="47"/>
      <c r="F242" s="56">
        <f ca="1">SUMIF('BOM Atual ZPCS12'!$F:$F,$A242,'BOM Atual ZPCS12'!$BJ:$BJ)</f>
        <v>1000</v>
      </c>
    </row>
    <row r="243" spans="1:6">
      <c r="A243" s="72" t="s">
        <v>1613</v>
      </c>
      <c r="B243" s="84">
        <v>10000</v>
      </c>
      <c r="C243" s="48" t="b">
        <f>IFERROR(MATCH(A243,'BOM Atual ZPCS12'!F:F,0)&gt;0,FALSE)</f>
        <v>1</v>
      </c>
      <c r="D243" s="49" t="str">
        <f>TRIM(VLOOKUP(A243,'BOM Atual ZPCS12'!F:G,2,0))</f>
        <v>MLCC 470PF/50V (0402) X7R 10%</v>
      </c>
      <c r="E243" s="47"/>
      <c r="F243" s="56">
        <f ca="1">SUMIF('BOM Atual ZPCS12'!$F:$F,$A243,'BOM Atual ZPCS12'!$BJ:$BJ)</f>
        <v>10000</v>
      </c>
    </row>
    <row r="244" spans="1:6">
      <c r="A244" s="72" t="s">
        <v>1628</v>
      </c>
      <c r="B244" s="84">
        <v>10000</v>
      </c>
      <c r="C244" s="48" t="b">
        <f>IFERROR(MATCH(A244,'BOM Atual ZPCS12'!F:F,0)&gt;0,FALSE)</f>
        <v>1</v>
      </c>
      <c r="D244" s="49" t="str">
        <f>TRIM(VLOOKUP(A244,'BOM Atual ZPCS12'!F:G,2,0))</f>
        <v>MLCC 0.047UF/16V (0402)X7R 10%</v>
      </c>
      <c r="E244" s="47"/>
      <c r="F244" s="56">
        <f ca="1">SUMIF('BOM Atual ZPCS12'!$F:$F,$A244,'BOM Atual ZPCS12'!$BJ:$BJ)</f>
        <v>2000</v>
      </c>
    </row>
    <row r="245" spans="1:6">
      <c r="A245" s="72" t="s">
        <v>1638</v>
      </c>
      <c r="B245" s="84">
        <v>10000</v>
      </c>
      <c r="C245" s="48" t="b">
        <f>IFERROR(MATCH(A245,'BOM Atual ZPCS12'!F:F,0)&gt;0,FALSE)</f>
        <v>1</v>
      </c>
      <c r="D245" s="49" t="str">
        <f>TRIM(VLOOKUP(A245,'BOM Atual ZPCS12'!F:G,2,0))</f>
        <v>MLCC 680PF 50V 0402 X7R 10% DARFON C10</v>
      </c>
      <c r="E245" s="47"/>
      <c r="F245" s="56">
        <f ca="1">SUMIF('BOM Atual ZPCS12'!$F:$F,$A245,'BOM Atual ZPCS12'!$BJ:$BJ)</f>
        <v>1000</v>
      </c>
    </row>
    <row r="246" spans="1:6">
      <c r="A246" s="72" t="s">
        <v>1651</v>
      </c>
      <c r="B246" s="84">
        <v>10000</v>
      </c>
      <c r="C246" s="48" t="b">
        <f>IFERROR(MATCH(A246,'BOM Atual ZPCS12'!F:F,0)&gt;0,FALSE)</f>
        <v>1</v>
      </c>
      <c r="D246" s="49" t="str">
        <f>TRIM(VLOOKUP(A246,'BOM Atual ZPCS12'!F:G,2,0))</f>
        <v>MLCC 0.1UF/16V 0402 X5R W05 DARFON/C100</v>
      </c>
      <c r="E246" s="47"/>
      <c r="F246" s="56">
        <f ca="1">SUMIF('BOM Atual ZPCS12'!$F:$F,$A246,'BOM Atual ZPCS12'!$BJ:$BJ)</f>
        <v>1000</v>
      </c>
    </row>
    <row r="247" spans="1:6">
      <c r="A247" s="72" t="s">
        <v>1656</v>
      </c>
      <c r="B247" s="84">
        <v>20000</v>
      </c>
      <c r="C247" s="48" t="b">
        <f>IFERROR(MATCH(A247,'BOM Atual ZPCS12'!F:F,0)&gt;0,FALSE)</f>
        <v>1</v>
      </c>
      <c r="D247" s="49" t="str">
        <f>TRIM(VLOOKUP(A247,'BOM Atual ZPCS12'!F:G,2,0))</f>
        <v>MLCC 1UF/6.3V (0402) X5R 10%</v>
      </c>
      <c r="E247" s="47"/>
      <c r="F247" s="56">
        <f ca="1">SUMIF('BOM Atual ZPCS12'!$F:$F,$A247,'BOM Atual ZPCS12'!$BJ:$BJ)</f>
        <v>16000</v>
      </c>
    </row>
    <row r="248" spans="1:6">
      <c r="A248" s="72" t="s">
        <v>1659</v>
      </c>
      <c r="B248" s="84">
        <v>10000</v>
      </c>
      <c r="C248" s="48" t="b">
        <f>IFERROR(MATCH(A248,'BOM Atual ZPCS12'!F:F,0)&gt;0,FALSE)</f>
        <v>1</v>
      </c>
      <c r="D248" s="49" t="str">
        <f>TRIM(VLOOKUP(A248,'BOM Atual ZPCS12'!F:G,2,0))</f>
        <v>MLCC 1UF/10V 0402 X5R W05 SAMSUNG/CL05A1</v>
      </c>
      <c r="E248" s="47"/>
      <c r="F248" s="56">
        <f ca="1">SUMIF('BOM Atual ZPCS12'!$F:$F,$A248,'BOM Atual ZPCS12'!$BJ:$BJ)</f>
        <v>5000</v>
      </c>
    </row>
    <row r="249" spans="1:6">
      <c r="A249" s="72" t="s">
        <v>1673</v>
      </c>
      <c r="B249" s="84">
        <v>110000</v>
      </c>
      <c r="C249" s="48" t="b">
        <f>IFERROR(MATCH(A249,'BOM Atual ZPCS12'!F:F,0)&gt;0,FALSE)</f>
        <v>1</v>
      </c>
      <c r="D249" s="49" t="str">
        <f>TRIM(VLOOKUP(A249,'BOM Atual ZPCS12'!F:G,2,0))</f>
        <v>MLCC 0.22UF/10V (0402) X5R 10%</v>
      </c>
      <c r="E249" s="47"/>
      <c r="F249" s="56">
        <f ca="1">SUMIF('BOM Atual ZPCS12'!$F:$F,$A249,'BOM Atual ZPCS12'!$BJ:$BJ)</f>
        <v>110000</v>
      </c>
    </row>
    <row r="250" spans="1:6">
      <c r="A250" s="72" t="s">
        <v>1682</v>
      </c>
      <c r="B250" s="84">
        <v>50000</v>
      </c>
      <c r="C250" s="48" t="b">
        <f>IFERROR(MATCH(A250,'BOM Atual ZPCS12'!F:F,0)&gt;0,FALSE)</f>
        <v>1</v>
      </c>
      <c r="D250" s="49" t="str">
        <f>TRIM(VLOOKUP(A250,'BOM Atual ZPCS12'!F:G,2,0))</f>
        <v>MLCC 2.2UF/6.3V (0402) X5R 20%</v>
      </c>
      <c r="E250" s="47"/>
      <c r="F250" s="56">
        <f ca="1">SUMIF('BOM Atual ZPCS12'!$F:$F,$A250,'BOM Atual ZPCS12'!$BJ:$BJ)</f>
        <v>50000</v>
      </c>
    </row>
    <row r="251" spans="1:6">
      <c r="A251" s="72" t="s">
        <v>1683</v>
      </c>
      <c r="B251" s="84">
        <v>20000</v>
      </c>
      <c r="C251" s="48" t="b">
        <f>IFERROR(MATCH(A251,'BOM Atual ZPCS12'!F:F,0)&gt;0,FALSE)</f>
        <v>1</v>
      </c>
      <c r="D251" s="49" t="str">
        <f>TRIM(VLOOKUP(A251,'BOM Atual ZPCS12'!F:G,2,0))</f>
        <v>MLCC 2.2UF/6.3V (0402) X5R 20%</v>
      </c>
      <c r="E251" s="47"/>
      <c r="F251" s="56">
        <f ca="1">SUMIF('BOM Atual ZPCS12'!$F:$F,$A251,'BOM Atual ZPCS12'!$BJ:$BJ)</f>
        <v>11000</v>
      </c>
    </row>
    <row r="252" spans="1:6">
      <c r="A252" s="72" t="s">
        <v>1701</v>
      </c>
      <c r="B252" s="84">
        <v>40000</v>
      </c>
      <c r="C252" s="48" t="b">
        <f>IFERROR(MATCH(A252,'BOM Atual ZPCS12'!F:F,0)&gt;0,FALSE)</f>
        <v>1</v>
      </c>
      <c r="D252" s="49" t="str">
        <f>TRIM(VLOOKUP(A252,'BOM Atual ZPCS12'!F:G,2,0))</f>
        <v>MLCC 0.33UF 6.3V 0402 X5R 10% DARFON C1</v>
      </c>
      <c r="E252" s="47"/>
      <c r="F252" s="56">
        <f ca="1">SUMIF('BOM Atual ZPCS12'!$F:$F,$A252,'BOM Atual ZPCS12'!$BJ:$BJ)</f>
        <v>36000</v>
      </c>
    </row>
    <row r="253" spans="1:6">
      <c r="A253" s="72" t="s">
        <v>1711</v>
      </c>
      <c r="B253" s="84">
        <v>10000</v>
      </c>
      <c r="C253" s="48" t="b">
        <f>IFERROR(MATCH(A253,'BOM Atual ZPCS12'!F:F,0)&gt;0,FALSE)</f>
        <v>1</v>
      </c>
      <c r="D253" s="49" t="str">
        <f>TRIM(VLOOKUP(A253,'BOM Atual ZPCS12'!F:G,2,0))</f>
        <v>MLCC 0.47UF/6.3V (0402)X5R 10%</v>
      </c>
      <c r="E253" s="47"/>
      <c r="F253" s="56">
        <f ca="1">SUMIF('BOM Atual ZPCS12'!$F:$F,$A253,'BOM Atual ZPCS12'!$BJ:$BJ)</f>
        <v>2000</v>
      </c>
    </row>
    <row r="254" spans="1:6">
      <c r="A254" s="72" t="s">
        <v>1715</v>
      </c>
      <c r="B254" s="84">
        <v>4000</v>
      </c>
      <c r="C254" s="48" t="b">
        <f>IFERROR(MATCH(A254,'BOM Atual ZPCS12'!F:F,0)&gt;0,FALSE)</f>
        <v>1</v>
      </c>
      <c r="D254" s="49" t="str">
        <f>TRIM(VLOOKUP(A254,'BOM Atual ZPCS12'!F:G,2,0))</f>
        <v>MLCC 470PF 16V 0603 NPO 5% DARFON C160</v>
      </c>
      <c r="E254" s="47"/>
      <c r="F254" s="56">
        <f ca="1">SUMIF('BOM Atual ZPCS12'!$F:$F,$A254,'BOM Atual ZPCS12'!$BJ:$BJ)</f>
        <v>2000</v>
      </c>
    </row>
    <row r="255" spans="1:6">
      <c r="A255" s="72" t="s">
        <v>1717</v>
      </c>
      <c r="B255" s="84">
        <v>4000</v>
      </c>
      <c r="C255" s="48" t="b">
        <f>IFERROR(MATCH(A255,'BOM Atual ZPCS12'!F:F,0)&gt;0,FALSE)</f>
        <v>1</v>
      </c>
      <c r="D255" s="49" t="str">
        <f>TRIM(VLOOKUP(A255,'BOM Atual ZPCS12'!F:G,2,0))</f>
        <v>MLCC 0.01UF 16V 0603 X7R 10% WALSIN 0</v>
      </c>
      <c r="E255" s="47"/>
      <c r="F255" s="56">
        <f ca="1">SUMIF('BOM Atual ZPCS12'!$F:$F,$A255,'BOM Atual ZPCS12'!$BJ:$BJ)</f>
        <v>3000</v>
      </c>
    </row>
    <row r="256" spans="1:6">
      <c r="A256" s="72" t="s">
        <v>1724</v>
      </c>
      <c r="B256" s="84">
        <v>12000</v>
      </c>
      <c r="C256" s="48" t="b">
        <f>IFERROR(MATCH(A256,'BOM Atual ZPCS12'!F:F,0)&gt;0,FALSE)</f>
        <v>1</v>
      </c>
      <c r="D256" s="49" t="str">
        <f>TRIM(VLOOKUP(A256,'BOM Atual ZPCS12'!F:G,2,0))</f>
        <v>MLCC 0.1UF/16V (0603)X7R 10%</v>
      </c>
      <c r="E256" s="47"/>
      <c r="F256" s="56">
        <f ca="1">SUMIF('BOM Atual ZPCS12'!$F:$F,$A256,'BOM Atual ZPCS12'!$BJ:$BJ)</f>
        <v>11000</v>
      </c>
    </row>
    <row r="257" spans="1:6">
      <c r="A257" s="72" t="s">
        <v>1736</v>
      </c>
      <c r="B257" s="84">
        <v>48000</v>
      </c>
      <c r="C257" s="48" t="b">
        <f>IFERROR(MATCH(A257,'BOM Atual ZPCS12'!F:F,0)&gt;0,FALSE)</f>
        <v>1</v>
      </c>
      <c r="D257" s="49" t="str">
        <f>TRIM(VLOOKUP(A257,'BOM Atual ZPCS12'!F:G,2,0))</f>
        <v>MLCC 1UF/16V(0603)X7R 10%</v>
      </c>
      <c r="E257" s="47"/>
      <c r="F257" s="56">
        <f ca="1">SUMIF('BOM Atual ZPCS12'!$F:$F,$A257,'BOM Atual ZPCS12'!$BJ:$BJ)</f>
        <v>45000</v>
      </c>
    </row>
    <row r="258" spans="1:6">
      <c r="A258" s="72" t="s">
        <v>1899</v>
      </c>
      <c r="B258" s="84">
        <v>4000</v>
      </c>
      <c r="C258" s="48" t="b">
        <f>IFERROR(MATCH(A258,'BOM Atual ZPCS12'!F:F,0)&gt;0,FALSE)</f>
        <v>1</v>
      </c>
      <c r="D258" s="49" t="str">
        <f>TRIM(VLOOKUP(A258,'BOM Atual ZPCS12'!F:G,2,0))</f>
        <v>MLCC 1500PF/50V(0603)X7R W1 DARFON/C1608</v>
      </c>
      <c r="E258" s="47"/>
      <c r="F258" s="56">
        <f ca="1">SUMIF('BOM Atual ZPCS12'!$F:$F,$A258,'BOM Atual ZPCS12'!$BJ:$BJ)</f>
        <v>2000</v>
      </c>
    </row>
    <row r="259" spans="1:6">
      <c r="A259" s="72" t="s">
        <v>1743</v>
      </c>
      <c r="B259" s="84">
        <v>16000</v>
      </c>
      <c r="C259" s="48" t="b">
        <f>IFERROR(MATCH(A259,'BOM Atual ZPCS12'!F:F,0)&gt;0,FALSE)</f>
        <v>1</v>
      </c>
      <c r="D259" s="49" t="str">
        <f>TRIM(VLOOKUP(A259,'BOM Atual ZPCS12'!F:G,2,0))</f>
        <v>MLCC 0.22UF/16V(0603)X7R 10%</v>
      </c>
      <c r="E259" s="47"/>
      <c r="F259" s="56">
        <f ca="1">SUMIF('BOM Atual ZPCS12'!$F:$F,$A259,'BOM Atual ZPCS12'!$BJ:$BJ)</f>
        <v>16000</v>
      </c>
    </row>
    <row r="260" spans="1:6">
      <c r="A260" s="72" t="s">
        <v>1756</v>
      </c>
      <c r="B260" s="84">
        <v>4000</v>
      </c>
      <c r="C260" s="48" t="b">
        <f>IFERROR(MATCH(A260,'BOM Atual ZPCS12'!F:F,0)&gt;0,FALSE)</f>
        <v>1</v>
      </c>
      <c r="D260" s="49" t="str">
        <f>TRIM(VLOOKUP(A260,'BOM Atual ZPCS12'!F:G,2,0))</f>
        <v>MLCC 4700PF/50V(0603)X7R W1</v>
      </c>
      <c r="E260" s="47"/>
      <c r="F260" s="56">
        <f ca="1">SUMIF('BOM Atual ZPCS12'!$F:$F,$A260,'BOM Atual ZPCS12'!$BJ:$BJ)</f>
        <v>2000</v>
      </c>
    </row>
    <row r="261" spans="1:6">
      <c r="A261" s="72" t="s">
        <v>1764</v>
      </c>
      <c r="B261" s="84">
        <v>4000</v>
      </c>
      <c r="C261" s="48" t="b">
        <f>IFERROR(MATCH(A261,'BOM Atual ZPCS12'!F:F,0)&gt;0,FALSE)</f>
        <v>1</v>
      </c>
      <c r="D261" s="49" t="str">
        <f>TRIM(VLOOKUP(A261,'BOM Atual ZPCS12'!F:G,2,0))</f>
        <v>MLCC 5600PF/50V 0603 X7R W1 DARFON/C1608</v>
      </c>
      <c r="E261" s="47"/>
      <c r="F261" s="56">
        <f ca="1">SUMIF('BOM Atual ZPCS12'!$F:$F,$A261,'BOM Atual ZPCS12'!$BJ:$BJ)</f>
        <v>1000</v>
      </c>
    </row>
    <row r="262" spans="1:6">
      <c r="A262" s="72" t="s">
        <v>1766</v>
      </c>
      <c r="B262" s="84">
        <v>96000</v>
      </c>
      <c r="C262" s="48" t="b">
        <f>IFERROR(MATCH(A262,'BOM Atual ZPCS12'!F:F,0)&gt;0,FALSE)</f>
        <v>1</v>
      </c>
      <c r="D262" s="49" t="str">
        <f>TRIM(VLOOKUP(A262,'BOM Atual ZPCS12'!F:G,2,0))</f>
        <v>MLCC 10UF/6.3V(0603) X5R 20%</v>
      </c>
      <c r="E262" s="47"/>
      <c r="F262" s="56">
        <f ca="1">SUMIF('BOM Atual ZPCS12'!$F:$F,$A262,'BOM Atual ZPCS12'!$BJ:$BJ)</f>
        <v>93000</v>
      </c>
    </row>
    <row r="263" spans="1:6">
      <c r="A263" s="72" t="s">
        <v>1917</v>
      </c>
      <c r="B263" s="84">
        <v>4000</v>
      </c>
      <c r="C263" s="48" t="b">
        <f>IFERROR(MATCH(A263,'BOM Atual ZPCS12'!F:F,0)&gt;0,FALSE)</f>
        <v>1</v>
      </c>
      <c r="D263" s="49" t="str">
        <f>TRIM(VLOOKUP(A263,'BOM Atual ZPCS12'!F:G,2,0))</f>
        <v>MLCC 2.2UF 10V 0603 X5R W1 DARFON C160</v>
      </c>
      <c r="E263" s="47"/>
      <c r="F263" s="56">
        <f ca="1">SUMIF('BOM Atual ZPCS12'!$F:$F,$A263,'BOM Atual ZPCS12'!$BJ:$BJ)</f>
        <v>1000</v>
      </c>
    </row>
    <row r="264" spans="1:6">
      <c r="A264" s="72" t="s">
        <v>1776</v>
      </c>
      <c r="B264" s="84">
        <v>36000</v>
      </c>
      <c r="C264" s="48" t="b">
        <f>IFERROR(MATCH(A264,'BOM Atual ZPCS12'!F:F,0)&gt;0,FALSE)</f>
        <v>1</v>
      </c>
      <c r="D264" s="49" t="str">
        <f>TRIM(VLOOKUP(A264,'BOM Atual ZPCS12'!F:G,2,0))</f>
        <v>MLCC 22uF/6.3V 0603 X5R 20%</v>
      </c>
      <c r="E264" s="47"/>
      <c r="F264" s="56">
        <f ca="1">SUMIF('BOM Atual ZPCS12'!$F:$F,$A264,'BOM Atual ZPCS12'!$BJ:$BJ)</f>
        <v>35000</v>
      </c>
    </row>
    <row r="265" spans="1:6">
      <c r="A265" s="72" t="s">
        <v>1784</v>
      </c>
      <c r="B265" s="84">
        <v>8000</v>
      </c>
      <c r="C265" s="48" t="b">
        <f>IFERROR(MATCH(A265,'BOM Atual ZPCS12'!F:F,0)&gt;0,FALSE)</f>
        <v>1</v>
      </c>
      <c r="D265" s="49" t="str">
        <f>TRIM(VLOOKUP(A265,'BOM Atual ZPCS12'!F:G,2,0))</f>
        <v>MLCC 4.7UF/6.3V(0603)X5R 10%</v>
      </c>
      <c r="E265" s="47"/>
      <c r="F265" s="56">
        <f ca="1">SUMIF('BOM Atual ZPCS12'!$F:$F,$A265,'BOM Atual ZPCS12'!$BJ:$BJ)</f>
        <v>5000</v>
      </c>
    </row>
    <row r="266" spans="1:6">
      <c r="A266" s="72" t="s">
        <v>1794</v>
      </c>
      <c r="B266" s="84">
        <v>27000</v>
      </c>
      <c r="C266" s="48" t="b">
        <f>IFERROR(MATCH(A266,'BOM Atual ZPCS12'!F:F,0)&gt;0,FALSE)</f>
        <v>1</v>
      </c>
      <c r="D266" s="49" t="str">
        <f>TRIM(VLOOKUP(A266,'BOM Atual ZPCS12'!F:G,2,0))</f>
        <v>MLCC 10UF/16V(0805) X5R 10%</v>
      </c>
      <c r="E266" s="47"/>
      <c r="F266" s="56">
        <f ca="1">SUMIF('BOM Atual ZPCS12'!$F:$F,$A266,'BOM Atual ZPCS12'!$BJ:$BJ)</f>
        <v>27000</v>
      </c>
    </row>
    <row r="267" spans="1:6">
      <c r="A267" s="72" t="s">
        <v>1797</v>
      </c>
      <c r="B267" s="84">
        <v>10000</v>
      </c>
      <c r="C267" s="48" t="b">
        <f>IFERROR(MATCH(A267,'BOM Atual ZPCS12'!F:F,0)&gt;0,FALSE)</f>
        <v>1</v>
      </c>
      <c r="D267" s="49" t="str">
        <f>TRIM(VLOOKUP(A267,'BOM Atual ZPCS12'!F:G,2,0))</f>
        <v>MLCC 10UF/6.3V (0805)X5R 10%//SAMSUNG/CL</v>
      </c>
      <c r="E267" s="47"/>
      <c r="F267" s="56">
        <f ca="1">SUMIF('BOM Atual ZPCS12'!$F:$F,$A267,'BOM Atual ZPCS12'!$BJ:$BJ)</f>
        <v>9000</v>
      </c>
    </row>
    <row r="268" spans="1:6">
      <c r="A268" s="72" t="s">
        <v>1803</v>
      </c>
      <c r="B268" s="84">
        <v>28000</v>
      </c>
      <c r="C268" s="48" t="b">
        <f>IFERROR(MATCH(A268,'BOM Atual ZPCS12'!F:F,0)&gt;0,FALSE)</f>
        <v>1</v>
      </c>
      <c r="D268" s="49" t="str">
        <f>TRIM(VLOOKUP(A268,'BOM Atual ZPCS12'!F:G,2,0))</f>
        <v>MLCC 22UF/6.3V (0805) X5R 20%//SAMSUNG/C</v>
      </c>
      <c r="E268" s="47"/>
      <c r="F268" s="56">
        <f ca="1">SUMIF('BOM Atual ZPCS12'!$F:$F,$A268,'BOM Atual ZPCS12'!$BJ:$BJ)</f>
        <v>28000</v>
      </c>
    </row>
    <row r="269" spans="1:6">
      <c r="A269" s="72" t="s">
        <v>1810</v>
      </c>
      <c r="B269" s="84">
        <v>4000</v>
      </c>
      <c r="C269" s="48" t="b">
        <f>IFERROR(MATCH(A269,'BOM Atual ZPCS12'!F:F,0)&gt;0,FALSE)</f>
        <v>1</v>
      </c>
      <c r="D269" s="49" t="str">
        <f>TRIM(VLOOKUP(A269,'BOM Atual ZPCS12'!F:G,2,0))</f>
        <v>MLCC 22UF/10V (0805) X5R 20% T095//SAMSU</v>
      </c>
      <c r="E269" s="47"/>
      <c r="F269" s="56">
        <f ca="1">SUMIF('BOM Atual ZPCS12'!$F:$F,$A269,'BOM Atual ZPCS12'!$BJ:$BJ)</f>
        <v>4000</v>
      </c>
    </row>
    <row r="270" spans="1:6">
      <c r="A270" s="72" t="s">
        <v>1817</v>
      </c>
      <c r="B270" s="84">
        <v>50000</v>
      </c>
      <c r="C270" s="48" t="b">
        <f>IFERROR(MATCH(A270,'BOM Atual ZPCS12'!F:F,0)&gt;0,FALSE)</f>
        <v>1</v>
      </c>
      <c r="D270" s="49" t="str">
        <f>TRIM(VLOOKUP(A270,'BOM Atual ZPCS12'!F:G,2,0))</f>
        <v>MLCC 47UF/4V (0805) X5R 20% SAMSUNG/CL21</v>
      </c>
      <c r="E270" s="47"/>
      <c r="F270" s="56">
        <f ca="1">SUMIF('BOM Atual ZPCS12'!$F:$F,$A270,'BOM Atual ZPCS12'!$BJ:$BJ)</f>
        <v>49000</v>
      </c>
    </row>
    <row r="271" spans="1:6">
      <c r="A271" s="72" t="s">
        <v>1823</v>
      </c>
      <c r="B271" s="84">
        <v>1440</v>
      </c>
      <c r="C271" s="48" t="b">
        <f>IFERROR(MATCH(A271,'BOM Atual ZPCS12'!F:F,0)&gt;0,FALSE)</f>
        <v>1</v>
      </c>
      <c r="D271" s="49" t="str">
        <f>TRIM(VLOOKUP(A271,'BOM Atual ZPCS12'!F:G,2,0))</f>
        <v>LGA 1718P AM5 SOCKET G/F BLK//LOTES/AZIF</v>
      </c>
      <c r="E271" s="47"/>
      <c r="F271" s="56">
        <f ca="1">SUMIF('BOM Atual ZPCS12'!$F:$F,$A271,'BOM Atual ZPCS12'!$BJ:$BJ)</f>
        <v>1000</v>
      </c>
    </row>
    <row r="272" spans="1:6">
      <c r="A272" s="72" t="s">
        <v>1831</v>
      </c>
      <c r="B272" s="84">
        <v>2304</v>
      </c>
      <c r="C272" s="48" t="b">
        <f>IFERROR(MATCH(A272,'BOM Atual ZPCS12'!F:F,0)&gt;0,FALSE)</f>
        <v>1</v>
      </c>
      <c r="D272" s="49" t="str">
        <f>TRIM(VLOOKUP(A272,'BOM Atual ZPCS12'!F:G,2,0))</f>
        <v>DDR5 U-DIMM 288P G/F O/L W/B BLK/U SMT//</v>
      </c>
      <c r="E272" s="47"/>
      <c r="F272" s="56">
        <f ca="1">SUMIF('BOM Atual ZPCS12'!$F:$F,$A272,'BOM Atual ZPCS12'!$BJ:$BJ)</f>
        <v>2000</v>
      </c>
    </row>
    <row r="273" spans="1:6">
      <c r="A273" s="72" t="s">
        <v>1891</v>
      </c>
      <c r="B273" s="84">
        <v>2304</v>
      </c>
      <c r="C273" s="48" t="b">
        <f>IFERROR(MATCH(A273,'BOM Atual ZPCS12'!F:F,0)&gt;0,FALSE)</f>
        <v>1</v>
      </c>
      <c r="D273" s="49" t="str">
        <f>TRIM(VLOOKUP(A273,'BOM Atual ZPCS12'!F:G,2,0))</f>
        <v>DDR5 U-DIMM 288P G/F O/L W/B D-G/U SMT//</v>
      </c>
      <c r="E273" s="47"/>
      <c r="F273" s="56">
        <f ca="1">SUMIF('BOM Atual ZPCS12'!$F:$F,$A273,'BOM Atual ZPCS12'!$BJ:$BJ)</f>
        <v>2000</v>
      </c>
    </row>
    <row r="274" spans="1:6">
      <c r="A274" s="72" t="s">
        <v>1841</v>
      </c>
      <c r="B274" s="84">
        <v>3850</v>
      </c>
      <c r="C274" s="48" t="b">
        <f>IFERROR(MATCH(A274,'BOM Atual ZPCS12'!F:F,0)&gt;0,FALSE)</f>
        <v>1</v>
      </c>
      <c r="D274" s="49" t="str">
        <f>TRIM(VLOOKUP(A274,'BOM Atual ZPCS12'!F:G,2,0))</f>
        <v>NGFF KEY-M 67P G F 8.5H BLK S FOXCONN 2E</v>
      </c>
      <c r="E274" s="47"/>
      <c r="F274" s="56">
        <f ca="1">SUMIF('BOM Atual ZPCS12'!$F:$F,$A274,'BOM Atual ZPCS12'!$BJ:$BJ)</f>
        <v>1000</v>
      </c>
    </row>
    <row r="275" spans="1:6">
      <c r="A275" s="72" t="s">
        <v>1832</v>
      </c>
      <c r="B275" s="84">
        <v>4400</v>
      </c>
      <c r="C275" s="48" t="b">
        <f>IFERROR(MATCH(A275,'BOM Atual ZPCS12'!F:F,0)&gt;0,FALSE)</f>
        <v>1</v>
      </c>
      <c r="D275" s="49" t="str">
        <f>TRIM(VLOOKUP(A275,'BOM Atual ZPCS12'!F:G,2,0))</f>
        <v>NGFF KEY-M GEN4 67P G/F 8.5H S LOTES/APC</v>
      </c>
      <c r="E275" s="47"/>
      <c r="F275" s="56">
        <f ca="1">SUMIF('BOM Atual ZPCS12'!$F:$F,$A275,'BOM Atual ZPCS12'!$BJ:$BJ)</f>
        <v>2000</v>
      </c>
    </row>
    <row r="276" spans="1:6">
      <c r="A276" s="72" t="s">
        <v>1839</v>
      </c>
      <c r="B276" s="84">
        <v>3300</v>
      </c>
      <c r="C276" s="48" t="b">
        <f>IFERROR(MATCH(A276,'BOM Atual ZPCS12'!F:F,0)&gt;0,FALSE)</f>
        <v>1</v>
      </c>
      <c r="D276" s="49" t="str">
        <f>TRIM(VLOOKUP(A276,'BOM Atual ZPCS12'!F:G,2,0))</f>
        <v>NGFF KEY-M GEN5 67P G/F 8.5H SMT//LOTES/</v>
      </c>
      <c r="E276" s="47"/>
      <c r="F276" s="56">
        <f ca="1">SUMIF('BOM Atual ZPCS12'!$F:$F,$A276,'BOM Atual ZPCS12'!$BJ:$BJ)</f>
        <v>1000</v>
      </c>
    </row>
    <row r="277" spans="1:6">
      <c r="A277" s="72" t="s">
        <v>1941</v>
      </c>
      <c r="B277" s="84">
        <v>1144</v>
      </c>
      <c r="C277" s="48" t="b">
        <f>IFERROR(MATCH(A277,'BOM Atual ZPCS12'!F:F,0)&gt;0,FALSE)</f>
        <v>1</v>
      </c>
      <c r="D277" s="49" t="str">
        <f>TRIM(VLOOKUP(A277,'BOM Atual ZPCS12'!F:G,2,0))</f>
        <v>SLOT PCIE X4 66P G/F N/EJ DIP</v>
      </c>
      <c r="E277" s="47"/>
      <c r="F277" s="56">
        <f ca="1">SUMIF('BOM Atual ZPCS12'!$F:$F,$A277,'BOM Atual ZPCS12'!$BJ:$BJ)</f>
        <v>1000</v>
      </c>
    </row>
    <row r="278" spans="1:6">
      <c r="A278" s="72" t="s">
        <v>1943</v>
      </c>
      <c r="B278" s="84">
        <v>1200</v>
      </c>
      <c r="C278" s="48" t="b">
        <f>IFERROR(MATCH(A278,'BOM Atual ZPCS12'!F:F,0)&gt;0,FALSE)</f>
        <v>1</v>
      </c>
      <c r="D278" s="49" t="str">
        <f>TRIM(VLOOKUP(A278,'BOM Atual ZPCS12'!F:G,2,0))</f>
        <v>SLOT PCIE4.0 X4 64P G/F DIP//LOTES/APCI0</v>
      </c>
      <c r="E278" s="47"/>
      <c r="F278" s="56">
        <f ca="1">SUMIF('BOM Atual ZPCS12'!$F:$F,$A278,'BOM Atual ZPCS12'!$BJ:$BJ)</f>
        <v>1000</v>
      </c>
    </row>
    <row r="279" spans="1:6">
      <c r="A279" s="72" t="s">
        <v>1901</v>
      </c>
      <c r="B279" s="84">
        <v>1200</v>
      </c>
      <c r="C279" s="48" t="b">
        <f>IFERROR(MATCH(A279,'BOM Atual ZPCS12'!F:F,0)&gt;0,FALSE)</f>
        <v>1</v>
      </c>
      <c r="D279" s="49" t="str">
        <f>TRIM(VLOOKUP(A279,'BOM Atual ZPCS12'!F:G,2,0))</f>
        <v>SLOT PCIE5.0 X16 164P G/F W/B D-G/U SMT</v>
      </c>
      <c r="E279" s="47"/>
      <c r="F279" s="56">
        <f ca="1">SUMIF('BOM Atual ZPCS12'!$F:$F,$A279,'BOM Atual ZPCS12'!$BJ:$BJ)</f>
        <v>1000</v>
      </c>
    </row>
    <row r="280" spans="1:6">
      <c r="A280" s="72" t="s">
        <v>1953</v>
      </c>
      <c r="B280" s="84">
        <v>1000</v>
      </c>
      <c r="C280" s="48" t="b">
        <f>IFERROR(MATCH(A280,'BOM Atual ZPCS12'!F:F,0)&gt;0,FALSE)</f>
        <v>1</v>
      </c>
      <c r="D280" s="49" t="str">
        <f>TRIM(VLOOKUP(A280,'BOM Atual ZPCS12'!F:G,2,0))</f>
        <v>HEADER 2X5P G F 2.54 K8 BLK C HORNG TON</v>
      </c>
      <c r="E280" s="47"/>
      <c r="F280" s="56">
        <f ca="1">SUMIF('BOM Atual ZPCS12'!$F:$F,$A280,'BOM Atual ZPCS12'!$BJ:$BJ)</f>
        <v>1000</v>
      </c>
    </row>
    <row r="281" spans="1:6">
      <c r="A281" s="72" t="s">
        <v>1959</v>
      </c>
      <c r="B281" s="84">
        <v>1000</v>
      </c>
      <c r="C281" s="48" t="b">
        <f>IFERROR(MATCH(A281,'BOM Atual ZPCS12'!F:F,0)&gt;0,FALSE)</f>
        <v>1</v>
      </c>
      <c r="D281" s="49" t="str">
        <f>TRIM(VLOOKUP(A281,'BOM Atual ZPCS12'!F:G,2,0))</f>
        <v>HEADER 1X4P G F C P 2.54 WHT HR A25411W</v>
      </c>
      <c r="E281" s="47"/>
      <c r="F281" s="56">
        <f ca="1">SUMIF('BOM Atual ZPCS12'!$F:$F,$A281,'BOM Atual ZPCS12'!$BJ:$BJ)</f>
        <v>1000</v>
      </c>
    </row>
    <row r="282" spans="1:6">
      <c r="A282" s="72" t="s">
        <v>1964</v>
      </c>
      <c r="B282" s="84">
        <v>3000</v>
      </c>
      <c r="C282" s="48" t="b">
        <f>IFERROR(MATCH(A282,'BOM Atual ZPCS12'!F:F,0)&gt;0,FALSE)</f>
        <v>1</v>
      </c>
      <c r="D282" s="49" t="str">
        <f>TRIM(VLOOKUP(A282,'BOM Atual ZPCS12'!F:G,2,0))</f>
        <v>HEADER 1X4P G/F C/P 2.54 K3WHT HR/A25411</v>
      </c>
      <c r="E282" s="47"/>
      <c r="F282" s="56">
        <f ca="1">SUMIF('BOM Atual ZPCS12'!$F:$F,$A282,'BOM Atual ZPCS12'!$BJ:$BJ)</f>
        <v>3000</v>
      </c>
    </row>
    <row r="283" spans="1:6">
      <c r="A283" s="72" t="s">
        <v>1974</v>
      </c>
      <c r="B283" s="84">
        <v>2000</v>
      </c>
      <c r="C283" s="48" t="b">
        <f>IFERROR(MATCH(A283,'BOM Atual ZPCS12'!F:F,0)&gt;0,FALSE)</f>
        <v>1</v>
      </c>
      <c r="D283" s="49" t="str">
        <f>TRIM(VLOOKUP(A283,'BOM Atual ZPCS12'!F:G,2,0))</f>
        <v>HEADER 1X2P G F 2.54 BLK C S T PINREX 2</v>
      </c>
      <c r="E283" s="47"/>
      <c r="F283" s="56">
        <f ca="1">SUMIF('BOM Atual ZPCS12'!$F:$F,$A283,'BOM Atual ZPCS12'!$BJ:$BJ)</f>
        <v>2000</v>
      </c>
    </row>
    <row r="284" spans="1:6">
      <c r="A284" s="72" t="s">
        <v>1976</v>
      </c>
      <c r="B284" s="84">
        <v>1000</v>
      </c>
      <c r="C284" s="48" t="b">
        <f>IFERROR(MATCH(A284,'BOM Atual ZPCS12'!F:F,0)&gt;0,FALSE)</f>
        <v>1</v>
      </c>
      <c r="D284" s="49" t="str">
        <f>TRIM(VLOOKUP(A284,'BOM Atual ZPCS12'!F:G,2,0))</f>
        <v>HEADER 2X10P G F 2.54 BLK S T PINREX 21</v>
      </c>
      <c r="E284" s="47"/>
      <c r="F284" s="56">
        <f ca="1">SUMIF('BOM Atual ZPCS12'!$F:$F,$A284,'BOM Atual ZPCS12'!$BJ:$BJ)</f>
        <v>1000</v>
      </c>
    </row>
    <row r="285" spans="1:6">
      <c r="A285" s="72" t="s">
        <v>1983</v>
      </c>
      <c r="B285" s="84">
        <v>1000</v>
      </c>
      <c r="C285" s="48" t="b">
        <f>IFERROR(MATCH(A285,'BOM Atual ZPCS12'!F:F,0)&gt;0,FALSE)</f>
        <v>1</v>
      </c>
      <c r="D285" s="49" t="str">
        <f>TRIM(VLOOKUP(A285,'BOM Atual ZPCS12'!F:G,2,0))</f>
        <v>HEADER 2X7P G/F 2.0 K11BLK S/T</v>
      </c>
      <c r="E285" s="47"/>
      <c r="F285" s="56">
        <f ca="1">SUMIF('BOM Atual ZPCS12'!$F:$F,$A285,'BOM Atual ZPCS12'!$BJ:$BJ)</f>
        <v>1000</v>
      </c>
    </row>
    <row r="286" spans="1:6">
      <c r="A286" s="72" t="s">
        <v>1987</v>
      </c>
      <c r="B286" s="84">
        <v>1000</v>
      </c>
      <c r="C286" s="48" t="b">
        <f>IFERROR(MATCH(A286,'BOM Atual ZPCS12'!F:F,0)&gt;0,FALSE)</f>
        <v>1</v>
      </c>
      <c r="D286" s="49" t="str">
        <f>TRIM(VLOOKUP(A286,'BOM Atual ZPCS12'!F:G,2,0))</f>
        <v>HD2X7PG/F2.0K1,2,3,4,14BLK</v>
      </c>
      <c r="E286" s="47"/>
      <c r="F286" s="56">
        <f ca="1">SUMIF('BOM Atual ZPCS12'!$F:$F,$A286,'BOM Atual ZPCS12'!$BJ:$BJ)</f>
        <v>1000</v>
      </c>
    </row>
    <row r="287" spans="1:6">
      <c r="A287" s="72" t="s">
        <v>1997</v>
      </c>
      <c r="B287" s="84">
        <v>1800</v>
      </c>
      <c r="C287" s="48" t="b">
        <f>IFERROR(MATCH(A287,'BOM Atual ZPCS12'!F:F,0)&gt;0,FALSE)</f>
        <v>1</v>
      </c>
      <c r="D287" s="49" t="str">
        <f>TRIM(VLOOKUP(A287,'BOM Atual ZPCS12'!F:G,2,0))</f>
        <v>BOX HD 2X10P G F 2.0 K20 BLK U HORNG TO</v>
      </c>
      <c r="E287" s="47"/>
      <c r="F287" s="56">
        <f ca="1">SUMIF('BOM Atual ZPCS12'!$F:$F,$A287,'BOM Atual ZPCS12'!$BJ:$BJ)</f>
        <v>1000</v>
      </c>
    </row>
    <row r="288" spans="1:6">
      <c r="A288" s="72" t="s">
        <v>1999</v>
      </c>
      <c r="B288" s="84">
        <v>6500</v>
      </c>
      <c r="C288" s="48" t="b">
        <f>IFERROR(MATCH(A288,'BOM Atual ZPCS12'!F:F,0)&gt;0,FALSE)</f>
        <v>1</v>
      </c>
      <c r="D288" s="49" t="str">
        <f>TRIM(VLOOKUP(A288,'BOM Atual ZPCS12'!F:G,2,0))</f>
        <v>BOX HD 2X5P G F 2.54 K10 BLK U PINREX 5</v>
      </c>
      <c r="E288" s="47"/>
      <c r="F288" s="56">
        <f ca="1">SUMIF('BOM Atual ZPCS12'!$F:$F,$A288,'BOM Atual ZPCS12'!$BJ:$BJ)</f>
        <v>1000</v>
      </c>
    </row>
    <row r="289" spans="1:6">
      <c r="A289" s="72" t="s">
        <v>2009</v>
      </c>
      <c r="B289" s="84">
        <v>9000</v>
      </c>
      <c r="C289" s="48" t="b">
        <f>IFERROR(MATCH(A289,'BOM Atual ZPCS12'!F:F,0)&gt;0,FALSE)</f>
        <v>1</v>
      </c>
      <c r="D289" s="49" t="str">
        <f>TRIM(VLOOKUP(A289,'BOM Atual ZPCS12'!F:G,2,0))</f>
        <v>BOX HD 2X5P G F 2.54 K9 BLK U PINREX 51</v>
      </c>
      <c r="E289" s="47"/>
      <c r="F289" s="56">
        <f ca="1">SUMIF('BOM Atual ZPCS12'!$F:$F,$A289,'BOM Atual ZPCS12'!$BJ:$BJ)</f>
        <v>3000</v>
      </c>
    </row>
    <row r="290" spans="1:6">
      <c r="A290" s="72" t="s">
        <v>1848</v>
      </c>
      <c r="B290" s="84">
        <v>1000</v>
      </c>
      <c r="C290" s="48" t="b">
        <f>IFERROR(MATCH(A290,'BOM Atual ZPCS12'!F:F,0)&gt;0,FALSE)</f>
        <v>1</v>
      </c>
      <c r="D290" s="49" t="str">
        <f>TRIM(VLOOKUP(A290,'BOM Atual ZPCS12'!F:G,2,0))</f>
        <v>FRONT HD 2X10P G/F 0.8 KEY-A</v>
      </c>
      <c r="E290" s="47"/>
      <c r="F290" s="56">
        <f ca="1">SUMIF('BOM Atual ZPCS12'!$F:$F,$A290,'BOM Atual ZPCS12'!$BJ:$BJ)</f>
        <v>1000</v>
      </c>
    </row>
    <row r="291" spans="1:6">
      <c r="A291" s="72" t="s">
        <v>2013</v>
      </c>
      <c r="B291" s="84">
        <v>7000</v>
      </c>
      <c r="C291" s="48" t="b">
        <f>IFERROR(MATCH(A291,'BOM Atual ZPCS12'!F:F,0)&gt;0,FALSE)</f>
        <v>1</v>
      </c>
      <c r="D291" s="49" t="str">
        <f>TRIM(VLOOKUP(A291,'BOM Atual ZPCS12'!F:G,2,0))</f>
        <v>WAFER HD 4P 2.54 W P BLK C S T PINREX 7</v>
      </c>
      <c r="E291" s="47"/>
      <c r="F291" s="56">
        <f ca="1">SUMIF('BOM Atual ZPCS12'!$F:$F,$A291,'BOM Atual ZPCS12'!$BJ:$BJ)</f>
        <v>7000</v>
      </c>
    </row>
    <row r="292" spans="1:6">
      <c r="A292" s="72" t="s">
        <v>2020</v>
      </c>
      <c r="B292" s="84">
        <v>1000</v>
      </c>
      <c r="C292" s="48" t="b">
        <f>IFERROR(MATCH(A292,'BOM Atual ZPCS12'!F:F,0)&gt;0,FALSE)</f>
        <v>1</v>
      </c>
      <c r="D292" s="49" t="str">
        <f>TRIM(VLOOKUP(A292,'BOM Atual ZPCS12'!F:G,2,0))</f>
        <v>WAFER HD 4P 2.54 W/P D-G S/T</v>
      </c>
      <c r="E292" s="47"/>
      <c r="F292" s="56">
        <f ca="1">SUMIF('BOM Atual ZPCS12'!$F:$F,$A292,'BOM Atual ZPCS12'!$BJ:$BJ)</f>
        <v>1000</v>
      </c>
    </row>
    <row r="293" spans="1:6">
      <c r="A293" s="72" t="s">
        <v>2025</v>
      </c>
      <c r="B293" s="84">
        <v>1000</v>
      </c>
      <c r="C293" s="48" t="b">
        <f>IFERROR(MATCH(A293,'BOM Atual ZPCS12'!F:F,0)&gt;0,FALSE)</f>
        <v>1</v>
      </c>
      <c r="D293" s="49" t="str">
        <f>TRIM(VLOOKUP(A293,'BOM Atual ZPCS12'!F:G,2,0))</f>
        <v>TACT SWITCH 4P 4.3H BLK R/A DIP L SH//HU</v>
      </c>
      <c r="E293" s="47"/>
      <c r="F293" s="56">
        <f ca="1">SUMIF('BOM Atual ZPCS12'!$F:$F,$A293,'BOM Atual ZPCS12'!$BJ:$BJ)</f>
        <v>1000</v>
      </c>
    </row>
    <row r="294" spans="1:6">
      <c r="A294" s="72" t="s">
        <v>1853</v>
      </c>
      <c r="B294" s="84">
        <v>3000</v>
      </c>
      <c r="C294" s="48" t="b">
        <f>IFERROR(MATCH(A294,'BOM Atual ZPCS12'!F:F,0)&gt;0,FALSE)</f>
        <v>1</v>
      </c>
      <c r="D294" s="49" t="str">
        <f>TRIM(VLOOKUP(A294,'BOM Atual ZPCS12'!F:G,2,0))</f>
        <v>USB3.1 CON 24P G F TYPEC 3.4CH FOXCONN</v>
      </c>
      <c r="E294" s="47"/>
      <c r="F294" s="56">
        <f ca="1">SUMIF('BOM Atual ZPCS12'!$F:$F,$A294,'BOM Atual ZPCS12'!$BJ:$BJ)</f>
        <v>2000</v>
      </c>
    </row>
    <row r="295" spans="1:6">
      <c r="A295" s="72" t="s">
        <v>2035</v>
      </c>
      <c r="B295" s="84">
        <v>1600</v>
      </c>
      <c r="C295" s="48" t="b">
        <f>IFERROR(MATCH(A295,'BOM Atual ZPCS12'!F:F,0)&gt;0,FALSE)</f>
        <v>1</v>
      </c>
      <c r="D295" s="49" t="str">
        <f>TRIM(VLOOKUP(A295,'BOM Atual ZPCS12'!F:G,2,0))</f>
        <v>USB3.1 CON 2X9P G F T-B DUAL T-CONN 18-</v>
      </c>
      <c r="E295" s="47"/>
      <c r="F295" s="56">
        <f ca="1">SUMIF('BOM Atual ZPCS12'!$F:$F,$A295,'BOM Atual ZPCS12'!$BJ:$BJ)</f>
        <v>1000</v>
      </c>
    </row>
    <row r="296" spans="1:6">
      <c r="A296" s="72" t="s">
        <v>2037</v>
      </c>
      <c r="B296" s="84">
        <v>1800</v>
      </c>
      <c r="C296" s="48" t="b">
        <f>IFERROR(MATCH(A296,'BOM Atual ZPCS12'!F:F,0)&gt;0,FALSE)</f>
        <v>1</v>
      </c>
      <c r="D296" s="49" t="str">
        <f>TRIM(VLOOKUP(A296,'BOM Atual ZPCS12'!F:G,2,0))</f>
        <v>USB3.0 CON 9P G/F BLUE H-R R/A//FOXCONN/</v>
      </c>
      <c r="E296" s="47"/>
      <c r="F296" s="56">
        <f ca="1">SUMIF('BOM Atual ZPCS12'!$F:$F,$A296,'BOM Atual ZPCS12'!$BJ:$BJ)</f>
        <v>1000</v>
      </c>
    </row>
    <row r="297" spans="1:6">
      <c r="A297" s="72" t="s">
        <v>2044</v>
      </c>
      <c r="B297" s="84">
        <v>1535</v>
      </c>
      <c r="C297" s="48" t="b">
        <f>IFERROR(MATCH(A297,'BOM Atual ZPCS12'!F:F,0)&gt;0,FALSE)</f>
        <v>1</v>
      </c>
      <c r="D297" s="49" t="str">
        <f>TRIM(VLOOKUP(A297,'BOM Atual ZPCS12'!F:G,2,0))</f>
        <v>COMBO LAN+USB3.1 23P G/F H-R POE C/D BLU</v>
      </c>
      <c r="E297" s="47"/>
      <c r="F297" s="56">
        <f ca="1">SUMIF('BOM Atual ZPCS12'!$F:$F,$A297,'BOM Atual ZPCS12'!$BJ:$BJ)</f>
        <v>1000</v>
      </c>
    </row>
    <row r="298" spans="1:6">
      <c r="A298" s="72" t="s">
        <v>2049</v>
      </c>
      <c r="B298" s="84">
        <v>1200</v>
      </c>
      <c r="C298" s="48" t="b">
        <f>IFERROR(MATCH(A298,'BOM Atual ZPCS12'!F:F,0)&gt;0,FALSE)</f>
        <v>1</v>
      </c>
      <c r="D298" s="49" t="str">
        <f>TRIM(VLOOKUP(A298,'BOM Atual ZPCS12'!F:G,2,0))</f>
        <v>AUDIO JACK 5IN1 22P G/F//LOTES/AJAK0110-</v>
      </c>
      <c r="E298" s="47"/>
      <c r="F298" s="56">
        <f ca="1">SUMIF('BOM Atual ZPCS12'!$F:$F,$A298,'BOM Atual ZPCS12'!$BJ:$BJ)</f>
        <v>1000</v>
      </c>
    </row>
    <row r="299" spans="1:6">
      <c r="A299" s="72" t="s">
        <v>2056</v>
      </c>
      <c r="B299" s="84">
        <v>1250</v>
      </c>
      <c r="C299" s="48" t="b">
        <f>IFERROR(MATCH(A299,'BOM Atual ZPCS12'!F:F,0)&gt;0,FALSE)</f>
        <v>1</v>
      </c>
      <c r="D299" s="49" t="str">
        <f>TRIM(VLOOKUP(A299,'BOM Atual ZPCS12'!F:G,2,0))</f>
        <v>POWER CON 24P W P BLK S T DIP HORNG TON</v>
      </c>
      <c r="E299" s="47"/>
      <c r="F299" s="56">
        <f ca="1">SUMIF('BOM Atual ZPCS12'!$F:$F,$A299,'BOM Atual ZPCS12'!$BJ:$BJ)</f>
        <v>1000</v>
      </c>
    </row>
    <row r="300" spans="1:6">
      <c r="A300" s="72" t="s">
        <v>2061</v>
      </c>
      <c r="B300" s="84">
        <v>3750</v>
      </c>
      <c r="C300" s="48" t="b">
        <f>IFERROR(MATCH(A300,'BOM Atual ZPCS12'!F:F,0)&gt;0,FALSE)</f>
        <v>1</v>
      </c>
      <c r="D300" s="49" t="str">
        <f>TRIM(VLOOKUP(A300,'BOM Atual ZPCS12'!F:G,2,0))</f>
        <v>POWER CON 8P W/P BLK S/T DIP HORNG TONG/</v>
      </c>
      <c r="E300" s="47"/>
      <c r="F300" s="56">
        <f ca="1">SUMIF('BOM Atual ZPCS12'!$F:$F,$A300,'BOM Atual ZPCS12'!$BJ:$BJ)</f>
        <v>2000</v>
      </c>
    </row>
    <row r="301" spans="1:6">
      <c r="A301" s="72" t="s">
        <v>2068</v>
      </c>
      <c r="B301" s="84">
        <v>4200</v>
      </c>
      <c r="C301" s="48" t="b">
        <f>IFERROR(MATCH(A301,'BOM Atual ZPCS12'!F:F,0)&gt;0,FALSE)</f>
        <v>1</v>
      </c>
      <c r="D301" s="49" t="str">
        <f>TRIM(VLOOKUP(A301,'BOM Atual ZPCS12'!F:G,2,0))</f>
        <v>SATA CON 7P G F D-G S T DIP PINREX 770-</v>
      </c>
      <c r="E301" s="47"/>
      <c r="F301" s="56">
        <f ca="1">SUMIF('BOM Atual ZPCS12'!$F:$F,$A301,'BOM Atual ZPCS12'!$BJ:$BJ)</f>
        <v>2000</v>
      </c>
    </row>
    <row r="302" spans="1:6">
      <c r="A302" s="72" t="s">
        <v>2075</v>
      </c>
      <c r="B302" s="84">
        <v>3400</v>
      </c>
      <c r="C302" s="48" t="b">
        <f>IFERROR(MATCH(A302,'BOM Atual ZPCS12'!F:F,0)&gt;0,FALSE)</f>
        <v>1</v>
      </c>
      <c r="D302" s="49" t="str">
        <f>TRIM(VLOOKUP(A302,'BOM Atual ZPCS12'!F:G,2,0))</f>
        <v>SATA CON 7P G F D-G R A DIP PINREX 770-</v>
      </c>
      <c r="E302" s="47"/>
      <c r="F302" s="56">
        <f ca="1">SUMIF('BOM Atual ZPCS12'!$F:$F,$A302,'BOM Atual ZPCS12'!$BJ:$BJ)</f>
        <v>2000</v>
      </c>
    </row>
    <row r="303" spans="1:6">
      <c r="A303" s="72" t="s">
        <v>2079</v>
      </c>
      <c r="B303" s="84">
        <v>1260</v>
      </c>
      <c r="C303" s="48" t="b">
        <f>IFERROR(MATCH(A303,'BOM Atual ZPCS12'!F:F,0)&gt;0,FALSE)</f>
        <v>1</v>
      </c>
      <c r="D303" s="49" t="str">
        <f>TRIM(VLOOKUP(A303,'BOM Atual ZPCS12'!F:G,2,0))</f>
        <v>COMBO DP HDMI 39P G F R A DIP FOXCONN 3V</v>
      </c>
      <c r="E303" s="47"/>
      <c r="F303" s="56">
        <f ca="1">SUMIF('BOM Atual ZPCS12'!$F:$F,$A303,'BOM Atual ZPCS12'!$BJ:$BJ)</f>
        <v>1000</v>
      </c>
    </row>
    <row r="304" spans="1:6">
      <c r="A304" s="72" t="s">
        <v>1948</v>
      </c>
      <c r="B304" s="84">
        <v>1000</v>
      </c>
      <c r="C304" s="48" t="b">
        <f>IFERROR(MATCH(A304,'BOM Atual ZPCS12'!F:F,0)&gt;0,FALSE)</f>
        <v>1</v>
      </c>
      <c r="D304" s="49" t="str">
        <f>TRIM(VLOOKUP(A304,'BOM Atual ZPCS12'!F:G,2,0))</f>
        <v>HEADER 2X3P S T 2.54mm K3 K4 PINREX 210-</v>
      </c>
      <c r="E304" s="47"/>
      <c r="F304" s="56">
        <f ca="1">SUMIF('BOM Atual ZPCS12'!$F:$F,$A304,'BOM Atual ZPCS12'!$BJ:$BJ)</f>
        <v>1000</v>
      </c>
    </row>
    <row r="305" spans="1:6">
      <c r="A305" s="72" t="s">
        <v>2084</v>
      </c>
      <c r="B305" s="84">
        <v>1440</v>
      </c>
      <c r="C305" s="48" t="b">
        <f>IFERROR(MATCH(A305,'BOM Atual ZPCS12'!F:F,0)&gt;0,FALSE)</f>
        <v>1</v>
      </c>
      <c r="D305" s="49" t="str">
        <f>TRIM(VLOOKUP(A305,'BOM Atual ZPCS12'!F:G,2,0))</f>
        <v>USB3.0 CON 4X9PIN QUAD STACK FOXCONN/UEA</v>
      </c>
      <c r="E305" s="47"/>
      <c r="F305" s="56">
        <f ca="1">SUMIF('BOM Atual ZPCS12'!$F:$F,$A305,'BOM Atual ZPCS12'!$BJ:$BJ)</f>
        <v>1000</v>
      </c>
    </row>
    <row r="306" spans="1:6">
      <c r="A306" s="72" t="s">
        <v>2086</v>
      </c>
      <c r="B306" s="84">
        <v>2000</v>
      </c>
      <c r="C306" s="48" t="b">
        <f>IFERROR(MATCH(A306,'BOM Atual ZPCS12'!F:F,0)&gt;0,FALSE)</f>
        <v>1</v>
      </c>
      <c r="D306" s="49" t="str">
        <f>TRIM(VLOOKUP(A306,'BOM Atual ZPCS12'!F:G,2,0))</f>
        <v>BATT HOLDER CR2032 AAA-BAT-029-K01</v>
      </c>
      <c r="E306" s="47"/>
      <c r="F306" s="56">
        <f ca="1">SUMIF('BOM Atual ZPCS12'!$F:$F,$A306,'BOM Atual ZPCS12'!$BJ:$BJ)</f>
        <v>1000</v>
      </c>
    </row>
    <row r="307" spans="1:6">
      <c r="A307" s="72" t="s">
        <v>206</v>
      </c>
      <c r="B307" s="84">
        <v>1000</v>
      </c>
      <c r="C307" s="48" t="b">
        <f>IFERROR(MATCH(A307,'BOM Atual ZPCS12'!F:F,0)&gt;0,FALSE)</f>
        <v>1</v>
      </c>
      <c r="D307" s="49" t="str">
        <f>TRIM(VLOOKUP(A307,'BOM Atual ZPCS12'!F:G,2,0))</f>
        <v>RETENTION FRAME MODULE FOR AMD AM5//AJOH</v>
      </c>
      <c r="E307" s="47"/>
      <c r="F307" s="56">
        <f ca="1">SUMIF('BOM Atual ZPCS12'!$F:$F,$A307,'BOM Atual ZPCS12'!$BJ:$BJ)</f>
        <v>1000</v>
      </c>
    </row>
    <row r="308" spans="1:6">
      <c r="A308" s="72" t="s">
        <v>247</v>
      </c>
      <c r="B308" s="84">
        <v>2000</v>
      </c>
      <c r="C308" s="48" t="b">
        <f>IFERROR(MATCH(A308,'BOM Atual ZPCS12'!F:F,0)&gt;0,FALSE)</f>
        <v>1</v>
      </c>
      <c r="D308" s="49" t="str">
        <f>TRIM(VLOOKUP(A308,'BOM Atual ZPCS12'!F:G,2,0))</f>
        <v>SCREW HEX M2XH9.15 GODMOTHER E1 QLATCH</v>
      </c>
      <c r="E308" s="47"/>
      <c r="F308" s="56">
        <f ca="1">SUMIF('BOM Atual ZPCS12'!$F:$F,$A308,'BOM Atual ZPCS12'!$BJ:$BJ)</f>
        <v>1000</v>
      </c>
    </row>
    <row r="309" spans="1:6">
      <c r="A309" s="72" t="s">
        <v>259</v>
      </c>
      <c r="B309" s="84">
        <v>14000</v>
      </c>
      <c r="C309" s="48" t="b">
        <f>IFERROR(MATCH(A309,'BOM Atual ZPCS12'!F:F,0)&gt;0,FALSE)</f>
        <v>1</v>
      </c>
      <c r="D309" s="49" t="str">
        <f>TRIM(VLOOKUP(A309,'BOM Atual ZPCS12'!F:G,2,0))</f>
        <v>SCREW M2x4L MYLAR D6.5X1.7 BLK HARMONY M</v>
      </c>
      <c r="E309" s="47"/>
      <c r="F309" s="56">
        <f ca="1">SUMIF('BOM Atual ZPCS12'!$F:$F,$A309,'BOM Atual ZPCS12'!$BJ:$BJ)</f>
        <v>13000</v>
      </c>
    </row>
    <row r="310" spans="1:6">
      <c r="A310" s="72" t="s">
        <v>1860</v>
      </c>
      <c r="B310" s="84">
        <v>1000</v>
      </c>
      <c r="C310" s="48" t="b">
        <f>IFERROR(MATCH(A310,'BOM Atual ZPCS12'!F:F,0)&gt;0,FALSE)</f>
        <v>1</v>
      </c>
      <c r="D310" s="49" t="str">
        <f>TRIM(VLOOKUP(A310,'BOM Atual ZPCS12'!F:G,2,0))</f>
        <v>NUT M2x4.5 H-9.2 I/H2.5 T-HOLE</v>
      </c>
      <c r="E310" s="47"/>
      <c r="F310" s="56">
        <f ca="1">SUMIF('BOM Atual ZPCS12'!$F:$F,$A310,'BOM Atual ZPCS12'!$BJ:$BJ)</f>
        <v>1000</v>
      </c>
    </row>
    <row r="311" spans="1:6">
      <c r="A311" s="72" t="s">
        <v>1867</v>
      </c>
      <c r="B311" s="84">
        <v>3200</v>
      </c>
      <c r="C311" s="48" t="b">
        <f>IFERROR(MATCH(A311,'BOM Atual ZPCS12'!F:F,0)&gt;0,FALSE)</f>
        <v>1</v>
      </c>
      <c r="D311" s="49" t="str">
        <f>TRIM(VLOOKUP(A311,'BOM Atual ZPCS12'!F:G,2,0))</f>
        <v>NUT M2X4.5 H7.7MM THROUGH-HOLE HARMONY M</v>
      </c>
      <c r="E311" s="47"/>
      <c r="F311" s="56">
        <f ca="1">SUMIF('BOM Atual ZPCS12'!$F:$F,$A311,'BOM Atual ZPCS12'!$BJ:$BJ)</f>
        <v>3000</v>
      </c>
    </row>
    <row r="312" spans="1:6">
      <c r="A312" s="72" t="s">
        <v>1877</v>
      </c>
      <c r="B312" s="84">
        <v>10500</v>
      </c>
      <c r="C312" s="48" t="b">
        <f>IFERROR(MATCH(A312,'BOM Atual ZPCS12'!F:F,0)&gt;0,FALSE)</f>
        <v>1</v>
      </c>
      <c r="D312" s="49" t="str">
        <f>TRIM(VLOOKUP(A312,'BOM Atual ZPCS12'!F:G,2,0))</f>
        <v>NUT M2X4.75 H=2.0 THOUNGH-HOLE</v>
      </c>
      <c r="E312" s="47"/>
      <c r="F312" s="56">
        <f ca="1">SUMIF('BOM Atual ZPCS12'!$F:$F,$A312,'BOM Atual ZPCS12'!$BJ:$BJ)</f>
        <v>10000</v>
      </c>
    </row>
    <row r="313" spans="1:6">
      <c r="A313" s="72" t="s">
        <v>183</v>
      </c>
      <c r="B313" s="84">
        <v>1000</v>
      </c>
      <c r="C313" s="48" t="b">
        <f>IFERROR(MATCH(A313,'BOM Atual ZPCS12'!F:F,0)&gt;0,FALSE)</f>
        <v>1</v>
      </c>
      <c r="D313" s="49" t="str">
        <f>TRIM(VLOOKUP(A313,'BOM Atual ZPCS12'!F:G,2,0))</f>
        <v>M.2 SCREW(P+C)+SCREW HEX 2IN1 HARMONY</v>
      </c>
      <c r="E313" s="47"/>
      <c r="F313" s="56">
        <f ca="1">SUMIF('BOM Atual ZPCS12'!$F:$F,$A313,'BOM Atual ZPCS12'!$BJ:$BJ)</f>
        <v>1000</v>
      </c>
    </row>
    <row r="314" spans="1:6">
      <c r="A314" s="72" t="s">
        <v>188</v>
      </c>
      <c r="B314" s="84">
        <v>1000</v>
      </c>
      <c r="C314" s="48" t="b">
        <f>IFERROR(MATCH(A314,'BOM Atual ZPCS12'!F:F,0)&gt;0,FALSE)</f>
        <v>1</v>
      </c>
      <c r="D314" s="49" t="str">
        <f>TRIM(VLOOKUP(A314,'BOM Atual ZPCS12'!F:G,2,0))</f>
        <v>M.2 SCREW(P+C)+SCREW HEX HARMONY</v>
      </c>
      <c r="E314" s="47"/>
      <c r="F314" s="56">
        <f ca="1">SUMIF('BOM Atual ZPCS12'!$F:$F,$A314,'BOM Atual ZPCS12'!$BJ:$BJ)</f>
        <v>1000</v>
      </c>
    </row>
    <row r="315" spans="1:6">
      <c r="A315" s="72" t="s">
        <v>2089</v>
      </c>
      <c r="B315" s="84">
        <v>1000</v>
      </c>
      <c r="C315" s="48" t="b">
        <f>IFERROR(MATCH(A315,'BOM Atual ZPCS12'!F:F,0)&gt;0,FALSE)</f>
        <v>1</v>
      </c>
      <c r="D315" s="49" t="str">
        <f>TRIM(VLOOKUP(A315,'BOM Atual ZPCS12'!F:G,2,0))</f>
        <v>SHIELDING FOR NEW TUF LOGO AUDIO 2X2CM A</v>
      </c>
      <c r="E315" s="47"/>
      <c r="F315" s="56">
        <f ca="1">SUMIF('BOM Atual ZPCS12'!$F:$F,$A315,'BOM Atual ZPCS12'!$BJ:$BJ)</f>
        <v>1000</v>
      </c>
    </row>
    <row r="316" spans="1:6">
      <c r="A316" s="72" t="s">
        <v>204</v>
      </c>
      <c r="B316" s="84">
        <v>1000</v>
      </c>
      <c r="C316" s="48" t="b">
        <f>IFERROR(MATCH(A316,'BOM Atual ZPCS12'!F:F,0)&gt;0,FALSE)</f>
        <v>1</v>
      </c>
      <c r="D316" s="49" t="str">
        <f>TRIM(VLOOKUP(A316,'BOM Atual ZPCS12'!F:G,2,0))</f>
        <v>LGA 1718P AM5 SAM+BP+COVER//LOTES/AZIF00</v>
      </c>
      <c r="E316" s="47"/>
      <c r="F316" s="56">
        <f ca="1">SUMIF('BOM Atual ZPCS12'!$F:$F,$A316,'BOM Atual ZPCS12'!$BJ:$BJ)</f>
        <v>1000</v>
      </c>
    </row>
    <row r="317" spans="1:6">
      <c r="A317" s="72" t="s">
        <v>257</v>
      </c>
      <c r="B317" s="84">
        <v>4000</v>
      </c>
      <c r="C317" s="48" t="b">
        <f>IFERROR(MATCH(A317,'BOM Atual ZPCS12'!F:F,0)&gt;0,FALSE)</f>
        <v>1</v>
      </c>
      <c r="D317" s="49" t="str">
        <f>TRIM(VLOOKUP(A317,'BOM Atual ZPCS12'!F:G,2,0))</f>
        <v>MYLAR-2 7.5X3.2X0.325 SHENGFEN</v>
      </c>
      <c r="E317" s="47"/>
      <c r="F317" s="56">
        <f ca="1">SUMIF('BOM Atual ZPCS12'!$F:$F,$A317,'BOM Atual ZPCS12'!$BJ:$BJ)</f>
        <v>4000</v>
      </c>
    </row>
    <row r="318" spans="1:6">
      <c r="A318" s="72" t="s">
        <v>227</v>
      </c>
      <c r="B318" s="84">
        <v>1008</v>
      </c>
      <c r="C318" s="48" t="b">
        <f>IFERROR(MATCH(A318,'BOM Atual ZPCS12'!F:F,0)&gt;0,FALSE)</f>
        <v>1</v>
      </c>
      <c r="D318" s="49" t="str">
        <f>TRIM(VLOOKUP(A318,'BOM Atual ZPCS12'!F:G,2,0))</f>
        <v>TUF GAMING X670E-PLUS WIFI MOSW HS ASSYK</v>
      </c>
      <c r="E318" s="47"/>
      <c r="F318" s="56">
        <f ca="1">SUMIF('BOM Atual ZPCS12'!$F:$F,$A318,'BOM Atual ZPCS12'!$BJ:$BJ)</f>
        <v>1000</v>
      </c>
    </row>
    <row r="319" spans="1:6">
      <c r="A319" s="72" t="s">
        <v>242</v>
      </c>
      <c r="B319" s="84">
        <v>1056</v>
      </c>
      <c r="C319" s="48" t="b">
        <f>IFERROR(MATCH(A319,'BOM Atual ZPCS12'!F:F,0)&gt;0,FALSE)</f>
        <v>1</v>
      </c>
      <c r="D319" s="49" t="str">
        <f>TRIM(VLOOKUP(A319,'BOM Atual ZPCS12'!F:G,2,0))</f>
        <v>TUF GAMING X670E-PLUS WIFI M2-P HSKG/057</v>
      </c>
      <c r="E319" s="47"/>
      <c r="F319" s="56">
        <f ca="1">SUMIF('BOM Atual ZPCS12'!$F:$F,$A319,'BOM Atual ZPCS12'!$BJ:$BJ)</f>
        <v>1000</v>
      </c>
    </row>
    <row r="320" spans="1:6">
      <c r="A320" s="72" t="s">
        <v>235</v>
      </c>
      <c r="B320" s="84">
        <v>1000</v>
      </c>
      <c r="C320" s="48" t="b">
        <f>IFERROR(MATCH(A320,'BOM Atual ZPCS12'!F:F,0)&gt;0,FALSE)</f>
        <v>1</v>
      </c>
      <c r="D320" s="49" t="str">
        <f>TRIM(VLOOKUP(A320,'BOM Atual ZPCS12'!F:G,2,0))</f>
        <v>TUF GAMING X670E-PLUS WIFI PCH HSAURAS/0</v>
      </c>
      <c r="E320" s="47"/>
      <c r="F320" s="56">
        <f ca="1">SUMIF('BOM Atual ZPCS12'!$F:$F,$A320,'BOM Atual ZPCS12'!$BJ:$BJ)</f>
        <v>1000</v>
      </c>
    </row>
    <row r="321" spans="1:6">
      <c r="A321" s="72" t="s">
        <v>240</v>
      </c>
      <c r="B321" s="84">
        <v>1130</v>
      </c>
      <c r="C321" s="48" t="b">
        <f>IFERROR(MATCH(A321,'BOM Atual ZPCS12'!F:F,0)&gt;0,FALSE)</f>
        <v>1</v>
      </c>
      <c r="D321" s="49" t="str">
        <f>TRIM(VLOOKUP(A321,'BOM Atual ZPCS12'!F:G,2,0))</f>
        <v>TUF GAMING X670E-PLUS WIFI M2-C HSAURAS/</v>
      </c>
      <c r="E321" s="47"/>
      <c r="F321" s="56">
        <f ca="1">SUMIF('BOM Atual ZPCS12'!$F:$F,$A321,'BOM Atual ZPCS12'!$BJ:$BJ)</f>
        <v>1000</v>
      </c>
    </row>
    <row r="322" spans="1:6">
      <c r="A322" s="72" t="s">
        <v>225</v>
      </c>
      <c r="B322" s="84">
        <v>1090</v>
      </c>
      <c r="C322" s="48" t="b">
        <f>IFERROR(MATCH(A322,'BOM Atual ZPCS12'!F:F,0)&gt;0,FALSE)</f>
        <v>1</v>
      </c>
      <c r="D322" s="49" t="str">
        <f>TRIM(VLOOKUP(A322,'BOM Atual ZPCS12'!F:G,2,0))</f>
        <v>TUF GAMING X670E-PLUS WIFI MOSN HSKG/057</v>
      </c>
      <c r="E322" s="47"/>
      <c r="F322" s="56">
        <f ca="1">SUMIF('BOM Atual ZPCS12'!$F:$F,$A322,'BOM Atual ZPCS12'!$BJ:$BJ)</f>
        <v>1000</v>
      </c>
    </row>
    <row r="323" spans="1:6">
      <c r="A323" s="72" t="s">
        <v>181</v>
      </c>
      <c r="B323" s="84">
        <v>1000</v>
      </c>
      <c r="C323" s="48" t="b">
        <f>IFERROR(MATCH(A323,'BOM Atual ZPCS12'!F:F,0)&gt;0,FALSE)</f>
        <v>1</v>
      </c>
      <c r="D323" s="49" t="str">
        <f>TRIM(VLOOKUP(A323,'BOM Atual ZPCS12'!F:G,2,0))</f>
        <v>RUBBER 9X9X1T 2IN1 JUN BWO/JM-ASUS-005</v>
      </c>
      <c r="E323" s="47"/>
      <c r="F323" s="56">
        <f ca="1">SUMIF('BOM Atual ZPCS12'!$F:$F,$A323,'BOM Atual ZPCS12'!$BJ:$BJ)</f>
        <v>1000</v>
      </c>
    </row>
    <row r="324" spans="1:6">
      <c r="A324" s="72" t="s">
        <v>176</v>
      </c>
      <c r="B324" s="84">
        <v>1000</v>
      </c>
      <c r="C324" s="48" t="b">
        <f>IFERROR(MATCH(A324,'BOM Atual ZPCS12'!F:F,0)&gt;0,FALSE)</f>
        <v>1</v>
      </c>
      <c r="D324" s="49" t="str">
        <f>TRIM(VLOOKUP(A324,'BOM Atual ZPCS12'!F:G,2,0))</f>
        <v>RUBBER 9X9X1T 1IN1 SHENGFENG</v>
      </c>
      <c r="E324" s="47"/>
      <c r="F324" s="56">
        <f ca="1">SUMIF('BOM Atual ZPCS12'!$F:$F,$A324,'BOM Atual ZPCS12'!$BJ:$BJ)</f>
        <v>1000</v>
      </c>
    </row>
    <row r="325" spans="1:6">
      <c r="A325" s="72" t="s">
        <v>267</v>
      </c>
      <c r="B325" s="84">
        <v>4056</v>
      </c>
      <c r="C325" s="48" t="b">
        <f>IFERROR(MATCH(A325,'BOM Atual ZPCS12'!F:F,0)&gt;0,FALSE)</f>
        <v>1</v>
      </c>
      <c r="D325" s="49" t="str">
        <f>TRIM(VLOOKUP(A325,'BOM Atual ZPCS12'!F:G,2,0))</f>
        <v>RUBBER 9X9X5T SHENGFENG</v>
      </c>
      <c r="E325" s="47"/>
      <c r="F325" s="56">
        <f ca="1">SUMIF('BOM Atual ZPCS12'!$F:$F,$A325,'BOM Atual ZPCS12'!$BJ:$BJ)</f>
        <v>3000</v>
      </c>
    </row>
    <row r="326" spans="1:6">
      <c r="A326" s="72" t="s">
        <v>252</v>
      </c>
      <c r="B326" s="84">
        <v>3000</v>
      </c>
      <c r="C326" s="48" t="b">
        <f>IFERROR(MATCH(A326,'BOM Atual ZPCS12'!F:F,0)&gt;0,FALSE)</f>
        <v>1</v>
      </c>
      <c r="D326" s="49" t="str">
        <f>TRIM(VLOOKUP(A326,'BOM Atual ZPCS12'!F:G,2,0))</f>
        <v>MZ690H E1 QLATCH XIEYI</v>
      </c>
      <c r="E326" s="47"/>
      <c r="F326" s="56">
        <f ca="1">SUMIF('BOM Atual ZPCS12'!$F:$F,$A326,'BOM Atual ZPCS12'!$BJ:$BJ)</f>
        <v>3000</v>
      </c>
    </row>
    <row r="327" spans="1:6">
      <c r="A327" s="72" t="s">
        <v>220</v>
      </c>
      <c r="B327" s="84">
        <v>1020</v>
      </c>
      <c r="C327" s="48" t="b">
        <f>IFERROR(MATCH(A327,'BOM Atual ZPCS12'!F:F,0)&gt;0,FALSE)</f>
        <v>1</v>
      </c>
      <c r="D327" s="49" t="str">
        <f>TRIM(VLOOKUP(A327,'BOM Atual ZPCS12'!F:G,2,0))</f>
        <v>TUF GM X670E-PLUS IO SHIELDING ASMAJOHO/</v>
      </c>
      <c r="E327" s="47"/>
      <c r="F327" s="56">
        <f ca="1">SUMIF('BOM Atual ZPCS12'!$F:$F,$A327,'BOM Atual ZPCS12'!$BJ:$BJ)</f>
        <v>1000</v>
      </c>
    </row>
    <row r="328" spans="1:6">
      <c r="A328" s="72" t="s">
        <v>283</v>
      </c>
      <c r="B328" s="84">
        <v>1040</v>
      </c>
      <c r="C328" s="48" t="b">
        <f>IFERROR(MATCH(A328,'BOM Atual ZPCS12'!F:F,0)&gt;0,FALSE)</f>
        <v>1</v>
      </c>
      <c r="D328" s="49" t="str">
        <f>TRIM(VLOOKUP(A328,'BOM Atual ZPCS12'!F:G,2,0))</f>
        <v>TUF GM B650-PLUS WF MOSW RUBBER//JUN BWO</v>
      </c>
      <c r="E328" s="47"/>
      <c r="F328" s="56">
        <f ca="1">SUMIF('BOM Atual ZPCS12'!$F:$F,$A328,'BOM Atual ZPCS12'!$BJ:$BJ)</f>
        <v>1000</v>
      </c>
    </row>
    <row r="329" spans="1:6">
      <c r="A329" s="72" t="s">
        <v>171</v>
      </c>
      <c r="B329" s="84">
        <v>1200</v>
      </c>
      <c r="C329" s="48" t="b">
        <f>IFERROR(MATCH(A329,'BOM Atual ZPCS12'!F:F,0)&gt;0,FALSE)</f>
        <v>1</v>
      </c>
      <c r="D329" s="49" t="str">
        <f>TRIM(VLOOKUP(A329,'BOM Atual ZPCS12'!F:G,2,0))</f>
        <v>SATA 6G CABLE 7P G/F 500 BLK ASAP/L67SA1</v>
      </c>
      <c r="E329" s="47"/>
      <c r="F329" s="56">
        <f ca="1">SUMIF('BOM Atual ZPCS12'!$F:$F,$A329,'BOM Atual ZPCS12'!$BJ:$BJ)</f>
        <v>1000</v>
      </c>
    </row>
    <row r="330" spans="1:6">
      <c r="A330" s="72" t="s">
        <v>154</v>
      </c>
      <c r="B330" s="84">
        <v>1000</v>
      </c>
      <c r="C330" s="48" t="b">
        <f>IFERROR(MATCH(A330,'BOM Atual ZPCS12'!F:F,0)&gt;0,FALSE)</f>
        <v>1</v>
      </c>
      <c r="D330" s="49" t="str">
        <f>TRIM(VLOOKUP(A330,'BOM Atual ZPCS12'!F:G,2,0))</f>
        <v>MG3854U-C GB TG X670E-PLUS BR</v>
      </c>
      <c r="E330" s="47"/>
      <c r="F330" s="56">
        <f ca="1">SUMIF('BOM Atual ZPCS12'!$F:$F,$A330,'BOM Atual ZPCS12'!$BJ:$BJ)</f>
        <v>1000</v>
      </c>
    </row>
    <row r="331" spans="1:6">
      <c r="A331" s="72" t="s">
        <v>160</v>
      </c>
      <c r="B331" s="84">
        <v>255</v>
      </c>
      <c r="C331" s="48" t="b">
        <f>IFERROR(MATCH(A331,'BOM Atual ZPCS12'!F:F,0)&gt;0,FALSE)</f>
        <v>1</v>
      </c>
      <c r="D331" s="49" t="str">
        <f>TRIM(VLOOKUP(A331,'BOM Atual ZPCS12'!F:G,2,0))</f>
        <v>EPE SHEET FOR B TYPE CARTON</v>
      </c>
      <c r="E331" s="47"/>
      <c r="F331" s="56">
        <f ca="1">SUMIF('BOM Atual ZPCS12'!$F:$F,$A331,'BOM Atual ZPCS12'!$BJ:$BJ)</f>
        <v>250</v>
      </c>
    </row>
    <row r="332" spans="1:6">
      <c r="A332" s="72" t="s">
        <v>162</v>
      </c>
      <c r="B332" s="84">
        <v>255</v>
      </c>
      <c r="C332" s="48" t="b">
        <f>IFERROR(MATCH(A332,'BOM Atual ZPCS12'!F:F,0)&gt;0,FALSE)</f>
        <v>1</v>
      </c>
      <c r="D332" s="49" t="str">
        <f>TRIM(VLOOKUP(A332,'BOM Atual ZPCS12'!F:G,2,0))</f>
        <v>EPE CUSHION FOR MC105-2-C CARTON</v>
      </c>
      <c r="E332" s="47"/>
      <c r="F332" s="56">
        <f ca="1">SUMIF('BOM Atual ZPCS12'!$F:$F,$A332,'BOM Atual ZPCS12'!$BJ:$BJ)</f>
        <v>250</v>
      </c>
    </row>
    <row r="333" spans="1:6">
      <c r="A333" s="72" t="s">
        <v>166</v>
      </c>
      <c r="B333" s="84">
        <v>1000</v>
      </c>
      <c r="C333" s="48" t="b">
        <f>IFERROR(MATCH(A333,'BOM Atual ZPCS12'!F:F,0)&gt;0,FALSE)</f>
        <v>1</v>
      </c>
      <c r="D333" s="49" t="str">
        <f>TRIM(VLOOKUP(A333,'BOM Atual ZPCS12'!F:G,2,0))</f>
        <v>Q20196 QSG TG X670E-PLUS</v>
      </c>
      <c r="E333" s="47"/>
      <c r="F333" s="56">
        <f ca="1">SUMIF('BOM Atual ZPCS12'!$F:$F,$A333,'BOM Atual ZPCS12'!$BJ:$BJ)</f>
        <v>1000</v>
      </c>
    </row>
    <row r="334" spans="1:6">
      <c r="A334" s="72" t="s">
        <v>195</v>
      </c>
      <c r="B334" s="84">
        <v>1000</v>
      </c>
      <c r="C334" s="48" t="b">
        <f>IFERROR(MATCH(A334,'BOM Atual ZPCS12'!F:F,0)&gt;0,FALSE)</f>
        <v>1</v>
      </c>
      <c r="D334" s="49" t="str">
        <f>TRIM(VLOOKUP(A334,'BOM Atual ZPCS12'!F:G,2,0))</f>
        <v>ASUS WEBSTORAGE INSERT PAGE FOR MB//V1.0</v>
      </c>
      <c r="E334" s="47"/>
      <c r="F334" s="56">
        <f ca="1">SUMIF('BOM Atual ZPCS12'!$F:$F,$A334,'BOM Atual ZPCS12'!$BJ:$BJ)</f>
        <v>1000</v>
      </c>
    </row>
    <row r="335" spans="1:6">
      <c r="A335" s="72" t="s">
        <v>152</v>
      </c>
      <c r="B335" s="84">
        <v>1000</v>
      </c>
      <c r="C335" s="48" t="b">
        <f>IFERROR(MATCH(A335,'BOM Atual ZPCS12'!F:F,0)&gt;0,FALSE)</f>
        <v>1</v>
      </c>
      <c r="D335" s="49" t="str">
        <f>TRIM(VLOOKUP(A335,'BOM Atual ZPCS12'!F:G,2,0))</f>
        <v>M6650 SDVD TUF GAMING X670E SERIES</v>
      </c>
      <c r="E335" s="47"/>
      <c r="F335" s="56">
        <f ca="1">SUMIF('BOM Atual ZPCS12'!$F:$F,$A335,'BOM Atual ZPCS12'!$BJ:$BJ)</f>
        <v>1000</v>
      </c>
    </row>
    <row r="336" spans="1:6">
      <c r="A336" s="72" t="s">
        <v>199</v>
      </c>
      <c r="B336" s="84">
        <v>1000</v>
      </c>
      <c r="C336" s="48" t="b">
        <f>IFERROR(MATCH(A336,'BOM Atual ZPCS12'!F:F,0)&gt;0,FALSE)</f>
        <v>1</v>
      </c>
      <c r="D336" s="49" t="str">
        <f>TRIM(VLOOKUP(A336,'BOM Atual ZPCS12'!F:G,2,0))</f>
        <v>TUF GAMING STICKER V5.0</v>
      </c>
      <c r="E336" s="47"/>
      <c r="F336" s="56">
        <f ca="1">SUMIF('BOM Atual ZPCS12'!$F:$F,$A336,'BOM Atual ZPCS12'!$BJ:$BJ)</f>
        <v>1000</v>
      </c>
    </row>
    <row r="337" spans="1:6">
      <c r="A337" s="72" t="s">
        <v>193</v>
      </c>
      <c r="B337" s="84">
        <v>1000</v>
      </c>
      <c r="C337" s="48" t="b">
        <f>IFERROR(MATCH(A337,'BOM Atual ZPCS12'!F:F,0)&gt;0,FALSE)</f>
        <v>1</v>
      </c>
      <c r="D337" s="49" t="str">
        <f>TRIM(VLOOKUP(A337,'BOM Atual ZPCS12'!F:G,2,0))</f>
        <v>MB TUF GAMING LGA1700/AM5 CPU STICKER_EC</v>
      </c>
      <c r="E337" s="47"/>
      <c r="F337" s="56">
        <f ca="1">SUMIF('BOM Atual ZPCS12'!$F:$F,$A337,'BOM Atual ZPCS12'!$BJ:$BJ)</f>
        <v>1000</v>
      </c>
    </row>
    <row r="338" spans="1:6">
      <c r="A338" s="72" t="s">
        <v>197</v>
      </c>
      <c r="B338" s="84">
        <v>1000</v>
      </c>
      <c r="C338" s="48" t="b">
        <f>IFERROR(MATCH(A338,'BOM Atual ZPCS12'!F:F,0)&gt;0,FALSE)</f>
        <v>1</v>
      </c>
      <c r="D338" s="49" t="str">
        <f>TRIM(VLOOKUP(A338,'BOM Atual ZPCS12'!F:G,2,0))</f>
        <v>ASUS WEBSTORAGE STICKER_BLACK//V1.0</v>
      </c>
      <c r="E338" s="47"/>
      <c r="F338" s="56">
        <f ca="1">SUMIF('BOM Atual ZPCS12'!$F:$F,$A338,'BOM Atual ZPCS12'!$BJ:$BJ)</f>
        <v>1000</v>
      </c>
    </row>
    <row r="339" spans="1:6">
      <c r="A339" s="72" t="s">
        <v>164</v>
      </c>
      <c r="B339" s="84">
        <v>1100</v>
      </c>
      <c r="C339" s="48" t="b">
        <f>IFERROR(MATCH(A339,'BOM Atual ZPCS12'!F:F,0)&gt;0,FALSE)</f>
        <v>1</v>
      </c>
      <c r="D339" s="49" t="str">
        <f>TRIM(VLOOKUP(A339,'BOM Atual ZPCS12'!F:G,2,0))</f>
        <v>ESD SHIELDING BAG 0.075MM</v>
      </c>
      <c r="E339" s="47"/>
      <c r="F339" s="56">
        <f ca="1">SUMIF('BOM Atual ZPCS12'!$F:$F,$A339,'BOM Atual ZPCS12'!$BJ:$BJ)</f>
        <v>1000</v>
      </c>
    </row>
    <row r="340" spans="1:6">
      <c r="A340" s="72" t="s">
        <v>148</v>
      </c>
      <c r="B340" s="84">
        <v>1000</v>
      </c>
      <c r="C340" s="48" t="b">
        <f>IFERROR(MATCH(A340,'BOM Atual ZPCS12'!F:F,0)&gt;0,FALSE)</f>
        <v>1</v>
      </c>
      <c r="D340" s="49" t="str">
        <f>TRIM(VLOOKUP(A340,'BOM Atual ZPCS12'!F:G,2,0))</f>
        <v>TUF GAMING CERTIFICATE CARD BR</v>
      </c>
      <c r="E340" s="47"/>
      <c r="F340" s="56">
        <f ca="1">SUMIF('BOM Atual ZPCS12'!$F:$F,$A340,'BOM Atual ZPCS12'!$BJ:$BJ)</f>
        <v>1000</v>
      </c>
    </row>
    <row r="341" spans="1:6">
      <c r="A341" s="72" t="s">
        <v>158</v>
      </c>
      <c r="B341" s="84">
        <v>1000</v>
      </c>
      <c r="C341" s="48" t="b">
        <f>IFERROR(MATCH(A341,'BOM Atual ZPCS12'!F:F,0)&gt;0,FALSE)</f>
        <v>1</v>
      </c>
      <c r="D341" s="49" t="str">
        <f>TRIM(VLOOKUP(A341,'BOM Atual ZPCS12'!F:G,2,0))</f>
        <v>PARTITION FOR ARTICHOKE_B TYPE W_4 C</v>
      </c>
      <c r="E341" s="47"/>
      <c r="F341" s="56">
        <f ca="1">SUMIF('BOM Atual ZPCS12'!$F:$F,$A341,'BOM Atual ZPCS12'!$BJ:$BJ)</f>
        <v>1000</v>
      </c>
    </row>
  </sheetData>
  <autoFilter ref="A3:J99">
    <filterColumn colId="0"/>
    <filterColumn colId="2"/>
    <filterColumn colId="4"/>
  </autoFilter>
  <conditionalFormatting sqref="F4:F341">
    <cfRule type="expression" dxfId="240" priority="243">
      <formula>$B4=$F4</formula>
    </cfRule>
  </conditionalFormatting>
  <conditionalFormatting sqref="F102">
    <cfRule type="expression" dxfId="239" priority="235">
      <formula>$B102=$F102</formula>
    </cfRule>
  </conditionalFormatting>
  <conditionalFormatting sqref="A58:A62 B61:B62">
    <cfRule type="duplicateValues" dxfId="238" priority="233"/>
    <cfRule type="duplicateValues" dxfId="237" priority="234"/>
  </conditionalFormatting>
  <conditionalFormatting sqref="A58:A62">
    <cfRule type="duplicateValues" dxfId="236" priority="231"/>
    <cfRule type="duplicateValues" dxfId="235" priority="232"/>
  </conditionalFormatting>
  <conditionalFormatting sqref="A4:A5">
    <cfRule type="duplicateValues" dxfId="234" priority="229"/>
    <cfRule type="duplicateValues" dxfId="233" priority="230"/>
  </conditionalFormatting>
  <conditionalFormatting sqref="A6:A7">
    <cfRule type="duplicateValues" dxfId="232" priority="227"/>
    <cfRule type="duplicateValues" dxfId="231" priority="228"/>
  </conditionalFormatting>
  <conditionalFormatting sqref="A8:A48">
    <cfRule type="duplicateValues" dxfId="230" priority="225"/>
    <cfRule type="duplicateValues" dxfId="229" priority="226"/>
  </conditionalFormatting>
  <conditionalFormatting sqref="B8:B48">
    <cfRule type="duplicateValues" dxfId="228" priority="223"/>
    <cfRule type="duplicateValues" dxfId="227" priority="224"/>
  </conditionalFormatting>
  <conditionalFormatting sqref="A49:A50">
    <cfRule type="duplicateValues" dxfId="226" priority="221"/>
    <cfRule type="duplicateValues" dxfId="225" priority="222"/>
  </conditionalFormatting>
  <conditionalFormatting sqref="A51:A89">
    <cfRule type="duplicateValues" dxfId="224" priority="219"/>
    <cfRule type="duplicateValues" dxfId="223" priority="220"/>
  </conditionalFormatting>
  <conditionalFormatting sqref="B51:B57 B61:B89">
    <cfRule type="duplicateValues" dxfId="222" priority="217"/>
    <cfRule type="duplicateValues" dxfId="221" priority="218"/>
  </conditionalFormatting>
  <conditionalFormatting sqref="A91">
    <cfRule type="duplicateValues" dxfId="220" priority="215"/>
    <cfRule type="duplicateValues" dxfId="219" priority="216"/>
  </conditionalFormatting>
  <conditionalFormatting sqref="A10">
    <cfRule type="duplicateValues" dxfId="218" priority="213"/>
    <cfRule type="duplicateValues" dxfId="217" priority="214"/>
  </conditionalFormatting>
  <conditionalFormatting sqref="A10:A57">
    <cfRule type="expression" dxfId="216" priority="212">
      <formula>$D10="S"</formula>
    </cfRule>
  </conditionalFormatting>
  <conditionalFormatting sqref="A10:A57">
    <cfRule type="duplicateValues" dxfId="215" priority="210"/>
    <cfRule type="duplicateValues" dxfId="214" priority="211"/>
  </conditionalFormatting>
  <conditionalFormatting sqref="A10:A57">
    <cfRule type="duplicateValues" dxfId="213" priority="208"/>
    <cfRule type="duplicateValues" dxfId="212" priority="209"/>
  </conditionalFormatting>
  <conditionalFormatting sqref="A10:A57">
    <cfRule type="duplicateValues" dxfId="211" priority="206"/>
    <cfRule type="duplicateValues" dxfId="210" priority="207"/>
  </conditionalFormatting>
  <conditionalFormatting sqref="A10:A57">
    <cfRule type="duplicateValues" dxfId="209" priority="204"/>
    <cfRule type="duplicateValues" dxfId="208" priority="205"/>
  </conditionalFormatting>
  <conditionalFormatting sqref="A10:A57">
    <cfRule type="duplicateValues" dxfId="207" priority="202"/>
    <cfRule type="duplicateValues" dxfId="206" priority="203"/>
  </conditionalFormatting>
  <conditionalFormatting sqref="A10:A57">
    <cfRule type="duplicateValues" dxfId="205" priority="200"/>
    <cfRule type="duplicateValues" dxfId="204" priority="201"/>
  </conditionalFormatting>
  <conditionalFormatting sqref="A10:A57">
    <cfRule type="duplicateValues" dxfId="203" priority="198"/>
    <cfRule type="duplicateValues" dxfId="202" priority="199"/>
  </conditionalFormatting>
  <conditionalFormatting sqref="A10:A57">
    <cfRule type="duplicateValues" dxfId="201" priority="196"/>
    <cfRule type="duplicateValues" dxfId="200" priority="197"/>
  </conditionalFormatting>
  <conditionalFormatting sqref="A10:A57">
    <cfRule type="duplicateValues" dxfId="199" priority="194"/>
    <cfRule type="duplicateValues" dxfId="198" priority="195"/>
  </conditionalFormatting>
  <conditionalFormatting sqref="A10:A57">
    <cfRule type="duplicateValues" dxfId="197" priority="192"/>
    <cfRule type="duplicateValues" dxfId="196" priority="193"/>
  </conditionalFormatting>
  <conditionalFormatting sqref="A10:A57">
    <cfRule type="duplicateValues" dxfId="195" priority="190"/>
    <cfRule type="duplicateValues" dxfId="194" priority="191"/>
  </conditionalFormatting>
  <conditionalFormatting sqref="A10:A57">
    <cfRule type="duplicateValues" dxfId="193" priority="188"/>
    <cfRule type="duplicateValues" dxfId="192" priority="189"/>
  </conditionalFormatting>
  <conditionalFormatting sqref="A10:A57">
    <cfRule type="duplicateValues" dxfId="191" priority="186"/>
    <cfRule type="duplicateValues" dxfId="190" priority="187"/>
  </conditionalFormatting>
  <conditionalFormatting sqref="A10:A57">
    <cfRule type="duplicateValues" dxfId="189" priority="185"/>
  </conditionalFormatting>
  <conditionalFormatting sqref="A10:A57">
    <cfRule type="duplicateValues" dxfId="188" priority="183"/>
    <cfRule type="duplicateValues" dxfId="187" priority="184"/>
  </conditionalFormatting>
  <conditionalFormatting sqref="A10:A57">
    <cfRule type="duplicateValues" dxfId="186" priority="181"/>
    <cfRule type="duplicateValues" dxfId="185" priority="182"/>
  </conditionalFormatting>
  <conditionalFormatting sqref="A10:A57">
    <cfRule type="duplicateValues" dxfId="184" priority="179"/>
    <cfRule type="duplicateValues" dxfId="183" priority="180"/>
  </conditionalFormatting>
  <conditionalFormatting sqref="A10:A57">
    <cfRule type="duplicateValues" dxfId="182" priority="177"/>
    <cfRule type="duplicateValues" dxfId="181" priority="178"/>
  </conditionalFormatting>
  <conditionalFormatting sqref="A10:A57">
    <cfRule type="duplicateValues" dxfId="180" priority="175"/>
    <cfRule type="duplicateValues" dxfId="179" priority="176"/>
  </conditionalFormatting>
  <conditionalFormatting sqref="A10:A57">
    <cfRule type="duplicateValues" dxfId="178" priority="173"/>
    <cfRule type="duplicateValues" dxfId="177" priority="174"/>
  </conditionalFormatting>
  <conditionalFormatting sqref="A10:A57">
    <cfRule type="duplicateValues" dxfId="176" priority="171"/>
    <cfRule type="duplicateValues" dxfId="175" priority="172"/>
  </conditionalFormatting>
  <conditionalFormatting sqref="A10:A57">
    <cfRule type="duplicateValues" dxfId="174" priority="169"/>
    <cfRule type="duplicateValues" dxfId="173" priority="170"/>
  </conditionalFormatting>
  <conditionalFormatting sqref="A10:A57">
    <cfRule type="duplicateValues" dxfId="172" priority="167"/>
    <cfRule type="duplicateValues" dxfId="171" priority="168"/>
  </conditionalFormatting>
  <conditionalFormatting sqref="A10:A57">
    <cfRule type="duplicateValues" dxfId="170" priority="165"/>
    <cfRule type="duplicateValues" dxfId="169" priority="166"/>
  </conditionalFormatting>
  <conditionalFormatting sqref="A10:A57">
    <cfRule type="duplicateValues" dxfId="168" priority="163"/>
    <cfRule type="duplicateValues" dxfId="167" priority="164"/>
  </conditionalFormatting>
  <conditionalFormatting sqref="A10:A57">
    <cfRule type="duplicateValues" dxfId="166" priority="161"/>
    <cfRule type="duplicateValues" dxfId="165" priority="162"/>
  </conditionalFormatting>
  <conditionalFormatting sqref="A10:A57">
    <cfRule type="duplicateValues" dxfId="164" priority="159"/>
    <cfRule type="duplicateValues" dxfId="163" priority="160"/>
  </conditionalFormatting>
  <conditionalFormatting sqref="A10:A57">
    <cfRule type="duplicateValues" dxfId="162" priority="157"/>
    <cfRule type="duplicateValues" dxfId="161" priority="158"/>
  </conditionalFormatting>
  <conditionalFormatting sqref="A10:A57">
    <cfRule type="duplicateValues" dxfId="160" priority="155"/>
    <cfRule type="duplicateValues" dxfId="159" priority="156"/>
  </conditionalFormatting>
  <conditionalFormatting sqref="A10:A57">
    <cfRule type="duplicateValues" dxfId="158" priority="153"/>
    <cfRule type="duplicateValues" dxfId="157" priority="154"/>
  </conditionalFormatting>
  <conditionalFormatting sqref="A10:A57">
    <cfRule type="duplicateValues" dxfId="156" priority="151"/>
    <cfRule type="duplicateValues" dxfId="155" priority="152"/>
  </conditionalFormatting>
  <conditionalFormatting sqref="A10:A57">
    <cfRule type="duplicateValues" dxfId="154" priority="149"/>
    <cfRule type="duplicateValues" dxfId="153" priority="150"/>
  </conditionalFormatting>
  <conditionalFormatting sqref="A10:A57">
    <cfRule type="duplicateValues" dxfId="152" priority="147"/>
    <cfRule type="duplicateValues" dxfId="151" priority="148"/>
  </conditionalFormatting>
  <conditionalFormatting sqref="A10:A57">
    <cfRule type="duplicateValues" dxfId="150" priority="145"/>
    <cfRule type="duplicateValues" dxfId="149" priority="146"/>
  </conditionalFormatting>
  <conditionalFormatting sqref="A10:A57">
    <cfRule type="duplicateValues" dxfId="148" priority="143"/>
    <cfRule type="duplicateValues" dxfId="147" priority="144"/>
  </conditionalFormatting>
  <conditionalFormatting sqref="A10:A57">
    <cfRule type="duplicateValues" dxfId="146" priority="141"/>
    <cfRule type="duplicateValues" dxfId="145" priority="142"/>
  </conditionalFormatting>
  <conditionalFormatting sqref="A10:A57">
    <cfRule type="duplicateValues" dxfId="144" priority="139"/>
    <cfRule type="duplicateValues" dxfId="143" priority="140"/>
  </conditionalFormatting>
  <conditionalFormatting sqref="A10:A57">
    <cfRule type="duplicateValues" dxfId="142" priority="137"/>
    <cfRule type="duplicateValues" dxfId="141" priority="138"/>
  </conditionalFormatting>
  <conditionalFormatting sqref="A10:A57">
    <cfRule type="duplicateValues" dxfId="140" priority="135"/>
    <cfRule type="duplicateValues" dxfId="139" priority="136"/>
  </conditionalFormatting>
  <conditionalFormatting sqref="A10:A57">
    <cfRule type="duplicateValues" dxfId="138" priority="133"/>
    <cfRule type="duplicateValues" dxfId="137" priority="134"/>
  </conditionalFormatting>
  <conditionalFormatting sqref="A10:A57">
    <cfRule type="duplicateValues" dxfId="136" priority="131"/>
    <cfRule type="duplicateValues" dxfId="135" priority="132"/>
  </conditionalFormatting>
  <conditionalFormatting sqref="A10:A57">
    <cfRule type="duplicateValues" dxfId="134" priority="129"/>
    <cfRule type="duplicateValues" dxfId="133" priority="130"/>
  </conditionalFormatting>
  <conditionalFormatting sqref="A10:A57">
    <cfRule type="duplicateValues" dxfId="132" priority="127"/>
    <cfRule type="duplicateValues" dxfId="131" priority="128"/>
  </conditionalFormatting>
  <conditionalFormatting sqref="A10:A57">
    <cfRule type="duplicateValues" dxfId="130" priority="125"/>
    <cfRule type="duplicateValues" dxfId="129" priority="126"/>
  </conditionalFormatting>
  <conditionalFormatting sqref="A10:A57">
    <cfRule type="duplicateValues" dxfId="128" priority="124"/>
  </conditionalFormatting>
  <conditionalFormatting sqref="A10:A57">
    <cfRule type="duplicateValues" dxfId="127" priority="122"/>
    <cfRule type="duplicateValues" dxfId="126" priority="123"/>
  </conditionalFormatting>
  <conditionalFormatting sqref="A10:A57">
    <cfRule type="duplicateValues" dxfId="125" priority="120"/>
    <cfRule type="duplicateValues" dxfId="124" priority="121"/>
  </conditionalFormatting>
  <conditionalFormatting sqref="A10:A57">
    <cfRule type="duplicateValues" dxfId="123" priority="118"/>
    <cfRule type="duplicateValues" dxfId="122" priority="119"/>
  </conditionalFormatting>
  <conditionalFormatting sqref="A10:A57">
    <cfRule type="duplicateValues" dxfId="121" priority="116"/>
    <cfRule type="duplicateValues" dxfId="120" priority="117"/>
  </conditionalFormatting>
  <conditionalFormatting sqref="A10:A57">
    <cfRule type="duplicateValues" dxfId="119" priority="114"/>
    <cfRule type="duplicateValues" dxfId="118" priority="115"/>
  </conditionalFormatting>
  <conditionalFormatting sqref="A10:A57">
    <cfRule type="duplicateValues" dxfId="117" priority="112"/>
    <cfRule type="duplicateValues" dxfId="116" priority="113"/>
  </conditionalFormatting>
  <conditionalFormatting sqref="A10:A57">
    <cfRule type="duplicateValues" dxfId="115" priority="110"/>
    <cfRule type="duplicateValues" dxfId="114" priority="111"/>
  </conditionalFormatting>
  <conditionalFormatting sqref="A10:A57">
    <cfRule type="duplicateValues" dxfId="113" priority="108"/>
    <cfRule type="duplicateValues" dxfId="112" priority="109"/>
  </conditionalFormatting>
  <conditionalFormatting sqref="B10">
    <cfRule type="duplicateValues" dxfId="111" priority="106"/>
    <cfRule type="duplicateValues" dxfId="110" priority="107"/>
  </conditionalFormatting>
  <conditionalFormatting sqref="A58:A60">
    <cfRule type="expression" dxfId="109" priority="105">
      <formula>$D58="S"</formula>
    </cfRule>
  </conditionalFormatting>
  <conditionalFormatting sqref="A58:A60">
    <cfRule type="duplicateValues" dxfId="108" priority="103"/>
    <cfRule type="duplicateValues" dxfId="107" priority="104"/>
  </conditionalFormatting>
  <conditionalFormatting sqref="A58:A60">
    <cfRule type="duplicateValues" dxfId="106" priority="101"/>
    <cfRule type="duplicateValues" dxfId="105" priority="102"/>
  </conditionalFormatting>
  <conditionalFormatting sqref="A58:A60">
    <cfRule type="duplicateValues" dxfId="104" priority="99"/>
    <cfRule type="duplicateValues" dxfId="103" priority="100"/>
  </conditionalFormatting>
  <conditionalFormatting sqref="A58:A60">
    <cfRule type="duplicateValues" dxfId="102" priority="97"/>
    <cfRule type="duplicateValues" dxfId="101" priority="98"/>
  </conditionalFormatting>
  <conditionalFormatting sqref="A58:A60">
    <cfRule type="duplicateValues" dxfId="100" priority="95"/>
    <cfRule type="duplicateValues" dxfId="99" priority="96"/>
  </conditionalFormatting>
  <conditionalFormatting sqref="A58:A60">
    <cfRule type="duplicateValues" dxfId="98" priority="93"/>
    <cfRule type="duplicateValues" dxfId="97" priority="94"/>
  </conditionalFormatting>
  <conditionalFormatting sqref="A58:A60">
    <cfRule type="duplicateValues" dxfId="96" priority="91"/>
    <cfRule type="duplicateValues" dxfId="95" priority="92"/>
  </conditionalFormatting>
  <conditionalFormatting sqref="A58:A60">
    <cfRule type="duplicateValues" dxfId="94" priority="89"/>
    <cfRule type="duplicateValues" dxfId="93" priority="90"/>
  </conditionalFormatting>
  <conditionalFormatting sqref="A58:A60">
    <cfRule type="duplicateValues" dxfId="92" priority="87"/>
    <cfRule type="duplicateValues" dxfId="91" priority="88"/>
  </conditionalFormatting>
  <conditionalFormatting sqref="A58:A60">
    <cfRule type="duplicateValues" dxfId="90" priority="85"/>
    <cfRule type="duplicateValues" dxfId="89" priority="86"/>
  </conditionalFormatting>
  <conditionalFormatting sqref="A58:A60">
    <cfRule type="duplicateValues" dxfId="88" priority="83"/>
    <cfRule type="duplicateValues" dxfId="87" priority="84"/>
  </conditionalFormatting>
  <conditionalFormatting sqref="A58:A60">
    <cfRule type="duplicateValues" dxfId="86" priority="81"/>
    <cfRule type="duplicateValues" dxfId="85" priority="82"/>
  </conditionalFormatting>
  <conditionalFormatting sqref="A58:A60">
    <cfRule type="duplicateValues" dxfId="84" priority="79"/>
    <cfRule type="duplicateValues" dxfId="83" priority="80"/>
  </conditionalFormatting>
  <conditionalFormatting sqref="A58:A60">
    <cfRule type="duplicateValues" dxfId="82" priority="78"/>
  </conditionalFormatting>
  <conditionalFormatting sqref="A58:A60">
    <cfRule type="duplicateValues" dxfId="81" priority="76"/>
    <cfRule type="duplicateValues" dxfId="80" priority="77"/>
  </conditionalFormatting>
  <conditionalFormatting sqref="A58:A60">
    <cfRule type="duplicateValues" dxfId="79" priority="74"/>
    <cfRule type="duplicateValues" dxfId="78" priority="75"/>
  </conditionalFormatting>
  <conditionalFormatting sqref="A58:A60">
    <cfRule type="duplicateValues" dxfId="77" priority="72"/>
    <cfRule type="duplicateValues" dxfId="76" priority="73"/>
  </conditionalFormatting>
  <conditionalFormatting sqref="A58:A60">
    <cfRule type="duplicateValues" dxfId="75" priority="70"/>
    <cfRule type="duplicateValues" dxfId="74" priority="71"/>
  </conditionalFormatting>
  <conditionalFormatting sqref="A58:A60">
    <cfRule type="duplicateValues" dxfId="73" priority="68"/>
    <cfRule type="duplicateValues" dxfId="72" priority="69"/>
  </conditionalFormatting>
  <conditionalFormatting sqref="A58:A60">
    <cfRule type="duplicateValues" dxfId="71" priority="66"/>
    <cfRule type="duplicateValues" dxfId="70" priority="67"/>
  </conditionalFormatting>
  <conditionalFormatting sqref="A58:A60">
    <cfRule type="duplicateValues" dxfId="69" priority="64"/>
    <cfRule type="duplicateValues" dxfId="68" priority="65"/>
  </conditionalFormatting>
  <conditionalFormatting sqref="A58:A60">
    <cfRule type="duplicateValues" dxfId="67" priority="62"/>
    <cfRule type="duplicateValues" dxfId="66" priority="63"/>
  </conditionalFormatting>
  <conditionalFormatting sqref="A58:A60">
    <cfRule type="duplicateValues" dxfId="65" priority="60"/>
    <cfRule type="duplicateValues" dxfId="64" priority="61"/>
  </conditionalFormatting>
  <conditionalFormatting sqref="A58:A60">
    <cfRule type="duplicateValues" dxfId="63" priority="58"/>
    <cfRule type="duplicateValues" dxfId="62" priority="59"/>
  </conditionalFormatting>
  <conditionalFormatting sqref="A58:A60">
    <cfRule type="duplicateValues" dxfId="61" priority="56"/>
    <cfRule type="duplicateValues" dxfId="60" priority="57"/>
  </conditionalFormatting>
  <conditionalFormatting sqref="A58:A60">
    <cfRule type="duplicateValues" dxfId="59" priority="54"/>
    <cfRule type="duplicateValues" dxfId="58" priority="55"/>
  </conditionalFormatting>
  <conditionalFormatting sqref="A58:A60">
    <cfRule type="duplicateValues" dxfId="57" priority="52"/>
    <cfRule type="duplicateValues" dxfId="56" priority="53"/>
  </conditionalFormatting>
  <conditionalFormatting sqref="A58:A60">
    <cfRule type="duplicateValues" dxfId="55" priority="50"/>
    <cfRule type="duplicateValues" dxfId="54" priority="51"/>
  </conditionalFormatting>
  <conditionalFormatting sqref="A58:A60">
    <cfRule type="duplicateValues" dxfId="53" priority="48"/>
    <cfRule type="duplicateValues" dxfId="52" priority="49"/>
  </conditionalFormatting>
  <conditionalFormatting sqref="A58:A60">
    <cfRule type="duplicateValues" dxfId="51" priority="46"/>
    <cfRule type="duplicateValues" dxfId="50" priority="47"/>
  </conditionalFormatting>
  <conditionalFormatting sqref="A58:A60">
    <cfRule type="duplicateValues" dxfId="49" priority="44"/>
    <cfRule type="duplicateValues" dxfId="48" priority="45"/>
  </conditionalFormatting>
  <conditionalFormatting sqref="A58:A60">
    <cfRule type="duplicateValues" dxfId="47" priority="42"/>
    <cfRule type="duplicateValues" dxfId="46" priority="43"/>
  </conditionalFormatting>
  <conditionalFormatting sqref="A58:A60">
    <cfRule type="duplicateValues" dxfId="45" priority="40"/>
    <cfRule type="duplicateValues" dxfId="44" priority="41"/>
  </conditionalFormatting>
  <conditionalFormatting sqref="A58:A60">
    <cfRule type="duplicateValues" dxfId="43" priority="38"/>
    <cfRule type="duplicateValues" dxfId="42" priority="39"/>
  </conditionalFormatting>
  <conditionalFormatting sqref="A58:A60">
    <cfRule type="duplicateValues" dxfId="41" priority="36"/>
    <cfRule type="duplicateValues" dxfId="40" priority="37"/>
  </conditionalFormatting>
  <conditionalFormatting sqref="A58:A60">
    <cfRule type="duplicateValues" dxfId="39" priority="34"/>
    <cfRule type="duplicateValues" dxfId="38" priority="35"/>
  </conditionalFormatting>
  <conditionalFormatting sqref="A58:A60">
    <cfRule type="duplicateValues" dxfId="37" priority="32"/>
    <cfRule type="duplicateValues" dxfId="36" priority="33"/>
  </conditionalFormatting>
  <conditionalFormatting sqref="A58:A60">
    <cfRule type="duplicateValues" dxfId="35" priority="30"/>
    <cfRule type="duplicateValues" dxfId="34" priority="31"/>
  </conditionalFormatting>
  <conditionalFormatting sqref="A58:A60">
    <cfRule type="duplicateValues" dxfId="33" priority="28"/>
    <cfRule type="duplicateValues" dxfId="32" priority="29"/>
  </conditionalFormatting>
  <conditionalFormatting sqref="A58:A60">
    <cfRule type="duplicateValues" dxfId="31" priority="26"/>
    <cfRule type="duplicateValues" dxfId="30" priority="27"/>
  </conditionalFormatting>
  <conditionalFormatting sqref="A58:A60">
    <cfRule type="duplicateValues" dxfId="29" priority="24"/>
    <cfRule type="duplicateValues" dxfId="28" priority="25"/>
  </conditionalFormatting>
  <conditionalFormatting sqref="A58:A60">
    <cfRule type="duplicateValues" dxfId="27" priority="22"/>
    <cfRule type="duplicateValues" dxfId="26" priority="23"/>
  </conditionalFormatting>
  <conditionalFormatting sqref="A58:A60">
    <cfRule type="duplicateValues" dxfId="25" priority="20"/>
    <cfRule type="duplicateValues" dxfId="24" priority="21"/>
  </conditionalFormatting>
  <conditionalFormatting sqref="A58:A60">
    <cfRule type="duplicateValues" dxfId="23" priority="18"/>
    <cfRule type="duplicateValues" dxfId="22" priority="19"/>
  </conditionalFormatting>
  <conditionalFormatting sqref="A58:A60">
    <cfRule type="duplicateValues" dxfId="21" priority="17"/>
  </conditionalFormatting>
  <conditionalFormatting sqref="A58:A60">
    <cfRule type="duplicateValues" dxfId="20" priority="15"/>
    <cfRule type="duplicateValues" dxfId="19" priority="16"/>
  </conditionalFormatting>
  <conditionalFormatting sqref="A58:A60">
    <cfRule type="duplicateValues" dxfId="18" priority="13"/>
    <cfRule type="duplicateValues" dxfId="17" priority="14"/>
  </conditionalFormatting>
  <conditionalFormatting sqref="A58:A60">
    <cfRule type="duplicateValues" dxfId="16" priority="11"/>
    <cfRule type="duplicateValues" dxfId="15" priority="12"/>
  </conditionalFormatting>
  <conditionalFormatting sqref="A58:A60">
    <cfRule type="duplicateValues" dxfId="14" priority="9"/>
    <cfRule type="duplicateValues" dxfId="13" priority="10"/>
  </conditionalFormatting>
  <conditionalFormatting sqref="A58:A60">
    <cfRule type="duplicateValues" dxfId="12" priority="7"/>
    <cfRule type="duplicateValues" dxfId="11" priority="8"/>
  </conditionalFormatting>
  <conditionalFormatting sqref="A58:A60">
    <cfRule type="duplicateValues" dxfId="10" priority="5"/>
    <cfRule type="duplicateValues" dxfId="9" priority="6"/>
  </conditionalFormatting>
  <conditionalFormatting sqref="A58:A60">
    <cfRule type="duplicateValues" dxfId="8" priority="3"/>
    <cfRule type="duplicateValues" dxfId="7" priority="4"/>
  </conditionalFormatting>
  <conditionalFormatting sqref="A58:A60">
    <cfRule type="duplicateValues" dxfId="6" priority="1"/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2023-03-08T15:51:50Z</dcterms:modified>
</cp:coreProperties>
</file>